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tables/table1.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2.xml" ContentType="application/vnd.openxmlformats-officedocument.spreadsheetml.table+xml"/>
  <Override PartName="/xl/worksheets/sheet5.xml" ContentType="application/vnd.openxmlformats-officedocument.spreadsheetml.worksheet+xml"/>
  <Override PartName="/xl/worksheets/sheet6.xml" ContentType="application/vnd.openxmlformats-officedocument.spreadsheetml.worksheet+xml"/>
  <Override PartName="/xl/comments/comment4.xml" ContentType="application/vnd.openxmlformats-officedocument.spreadsheetml.comments+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Drill schedule" sheetId="2" state="visible" r:id="rId2"/>
    <sheet xmlns:r="http://schemas.openxmlformats.org/officeDocument/2006/relationships" name="Drill log" sheetId="3" state="visible" r:id="rId3"/>
    <sheet xmlns:r="http://schemas.openxmlformats.org/officeDocument/2006/relationships" name="Inspections" sheetId="4" state="visible" r:id="rId4"/>
    <sheet xmlns:r="http://schemas.openxmlformats.org/officeDocument/2006/relationships" name="Dashboard" sheetId="5" state="visible" r:id="rId5"/>
    <sheet xmlns:r="http://schemas.openxmlformats.org/officeDocument/2006/relationships" name="Import to ExpiryEdge" sheetId="6" state="visible" r:id="rId6"/>
    <sheet xmlns:r="http://schemas.openxmlformats.org/officeDocument/2006/relationships" name="Lists" sheetId="7" state="visible" r:id="rId7"/>
    <sheet xmlns:r="http://schemas.openxmlformats.org/officeDocument/2006/relationships" name="_calc" sheetId="8" state="hidden" r:id="rId8"/>
  </sheets>
  <definedNames>
    <definedName name="_xlnm.Print_Area" localSheetId="0">'Start here'!$A$1:$C$95</definedName>
    <definedName name="_xlnm.Print_Titles" localSheetId="1">'Drill schedule'!$8:$8</definedName>
    <definedName name="_xlnm.Print_Area" localSheetId="1">'Drill schedule'!$A$1:$N$20</definedName>
    <definedName name="_xlnm.Print_Area" localSheetId="2">OFFSET('Drill log'!$A$1,0,0,MAX(4,COUNTA('Drill log'!$A$1:$A$503)),25)</definedName>
    <definedName name="_xlnm.Print_Titles" localSheetId="2">'Drill log'!$3:$3</definedName>
    <definedName name="_xlnm.Print_Area" localSheetId="3">OFFSET('Inspections'!$A$1,0,0,MAX(4,COUNTA('Inspections'!$A$1:$A$503)),18)</definedName>
    <definedName name="_xlnm.Print_Titles" localSheetId="3">'Inspections'!$3:$3</definedName>
    <definedName name="_xlnm.Print_Area" localSheetId="4">'Dashboard'!$A$1:$H$45</definedName>
    <definedName name="_xlnm.Print_Area" localSheetId="5">OFFSET('Import to ExpiryEdge'!$A$1,0,0,MAX(2,COUNTIF('Import to ExpiryEdge'!$A$1:$A$501,"?*")),11)</definedName>
    <definedName name="_xlnm.Print_Titles" localSheetId="5">'Import to ExpiryEdge'!$1:$1</definedName>
  </definedNames>
  <calcPr calcId="124519" fullCalcOnLoad="1"/>
</workbook>
</file>

<file path=xl/styles.xml><?xml version="1.0" encoding="utf-8"?>
<styleSheet xmlns="http://schemas.openxmlformats.org/spreadsheetml/2006/main">
  <numFmts count="3">
    <numFmt numFmtId="164" formatCode="yyyy-mm-dd"/>
    <numFmt numFmtId="165" formatCode="mmm d, yyyy"/>
    <numFmt numFmtId="166" formatCode="[m]:ss"/>
  </numFmts>
  <fonts count="18">
    <font>
      <name val="Calibri"/>
      <family val="2"/>
      <color theme="1"/>
      <sz val="11"/>
      <scheme val="minor"/>
    </font>
    <font>
      <name val="Arial"/>
      <b val="1"/>
      <color rgb="00FFFFFF"/>
      <sz val="10"/>
    </font>
    <font>
      <name val="Arial"/>
      <color rgb="001F2A24"/>
      <sz val="10"/>
    </font>
    <font>
      <name val="Arial"/>
      <b val="1"/>
      <color rgb="001F2A24"/>
      <sz val="10"/>
    </font>
    <font>
      <name val="Arial"/>
      <color rgb="005F675C"/>
      <sz val="9"/>
    </font>
    <font>
      <name val="Arial"/>
      <b val="1"/>
      <color rgb="001F2A24"/>
      <sz val="15"/>
    </font>
    <font>
      <name val="Arial"/>
      <b val="1"/>
      <color rgb="001F2A24"/>
      <sz val="11"/>
    </font>
    <font>
      <name val="Arial"/>
      <b val="1"/>
      <color rgb="001F2A24"/>
      <sz val="16"/>
    </font>
    <font>
      <name val="Arial"/>
      <b val="1"/>
      <color rgb="001F2A24"/>
      <sz val="12"/>
    </font>
    <font>
      <name val="Arial"/>
      <b val="1"/>
      <color rgb="00B03A21"/>
      <sz val="10"/>
    </font>
    <font>
      <name val="Arial"/>
      <b val="1"/>
      <color rgb="008A5A13"/>
      <sz val="10"/>
    </font>
    <font>
      <name val="Arial"/>
      <b val="1"/>
      <color rgb="0017693A"/>
      <sz val="10"/>
    </font>
    <font>
      <name val="Arial"/>
      <color rgb="005F675C"/>
      <sz val="10"/>
    </font>
    <font>
      <name val="Arial"/>
      <b val="1"/>
      <color rgb="001F2A24"/>
      <sz val="20"/>
    </font>
    <font>
      <name val="Arial"/>
      <color rgb="00434B45"/>
      <sz val="11"/>
    </font>
    <font>
      <name val="Arial"/>
      <b val="1"/>
      <color rgb="001F2A24"/>
      <sz val="13"/>
    </font>
    <font>
      <name val="Arial"/>
      <color rgb="00434B45"/>
      <sz val="10"/>
    </font>
    <font>
      <name val="Arial"/>
      <color rgb="000E6B4F"/>
      <sz val="9"/>
      <u val="single"/>
    </font>
  </fonts>
  <fills count="10">
    <fill>
      <patternFill/>
    </fill>
    <fill>
      <patternFill patternType="gray125"/>
    </fill>
    <fill>
      <patternFill patternType="solid">
        <fgColor rgb="000E6B4F"/>
        <bgColor rgb="000E6B4F"/>
      </patternFill>
    </fill>
    <fill>
      <patternFill patternType="solid">
        <fgColor rgb="0035584B"/>
        <bgColor rgb="0035584B"/>
      </patternFill>
    </fill>
    <fill>
      <patternFill patternType="solid">
        <fgColor rgb="00F1F4EF"/>
        <bgColor rgb="00F1F4EF"/>
      </patternFill>
    </fill>
    <fill>
      <patternFill patternType="solid">
        <fgColor rgb="00E3F3E9"/>
        <bgColor rgb="00E3F3E9"/>
      </patternFill>
    </fill>
    <fill>
      <patternFill patternType="solid">
        <fgColor rgb="00F8DFD8"/>
        <bgColor rgb="00F8DFD8"/>
      </patternFill>
    </fill>
    <fill>
      <patternFill patternType="solid">
        <fgColor rgb="00FCEFD4"/>
        <bgColor rgb="00FCEFD4"/>
      </patternFill>
    </fill>
    <fill>
      <patternFill patternType="solid">
        <fgColor rgb="00FEF7E7"/>
        <bgColor rgb="00FEF7E7"/>
      </patternFill>
    </fill>
    <fill>
      <patternFill patternType="solid">
        <fgColor rgb="00D8F0DC"/>
        <bgColor rgb="00D8F0DC"/>
      </patternFill>
    </fill>
  </fills>
  <borders count="4">
    <border>
      <left/>
      <right/>
      <top/>
      <bottom/>
      <diagonal/>
    </border>
    <border>
      <left style="thin">
        <color rgb="00E0E2DA"/>
      </left>
      <right style="thin">
        <color rgb="00E0E2DA"/>
      </right>
      <top style="thin">
        <color rgb="00E0E2DA"/>
      </top>
      <bottom style="thin">
        <color rgb="00E0E2DA"/>
      </bottom>
    </border>
    <border>
      <bottom style="hair">
        <color rgb="00E0E2DA"/>
      </bottom>
    </border>
    <border>
      <bottom style="thin">
        <color rgb="00E0E2DA"/>
      </bottom>
    </border>
  </borders>
  <cellStyleXfs count="1">
    <xf numFmtId="0" fontId="0" fillId="0" borderId="0"/>
  </cellStyleXfs>
  <cellXfs count="56">
    <xf numFmtId="0" fontId="0" fillId="0" borderId="0" pivotButton="0" quotePrefix="0" xfId="0"/>
    <xf numFmtId="0" fontId="13" fillId="0" borderId="0" pivotButton="0" quotePrefix="0" xfId="0"/>
    <xf numFmtId="0" fontId="14" fillId="0" borderId="0" pivotButton="0" quotePrefix="0" xfId="0"/>
    <xf numFmtId="0" fontId="4" fillId="0" borderId="0" pivotButton="0" quotePrefix="0" xfId="0"/>
    <xf numFmtId="0" fontId="15" fillId="0" borderId="0" pivotButton="0" quotePrefix="0" xfId="0"/>
    <xf numFmtId="0" fontId="3" fillId="0" borderId="0" applyAlignment="1" pivotButton="0" quotePrefix="0" xfId="0">
      <alignment vertical="top" wrapText="1"/>
    </xf>
    <xf numFmtId="0" fontId="16" fillId="0" borderId="0" applyAlignment="1" pivotButton="0" quotePrefix="0" xfId="0">
      <alignment vertical="top" wrapText="1"/>
    </xf>
    <xf numFmtId="0" fontId="9" fillId="6" borderId="0" pivotButton="0" quotePrefix="0" xfId="0"/>
    <xf numFmtId="0" fontId="16" fillId="0" borderId="0" pivotButton="0" quotePrefix="0" xfId="0"/>
    <xf numFmtId="0" fontId="10" fillId="7" borderId="0" pivotButton="0" quotePrefix="0" xfId="0"/>
    <xf numFmtId="0" fontId="10" fillId="8" borderId="0" pivotButton="0" quotePrefix="0" xfId="0"/>
    <xf numFmtId="0" fontId="11" fillId="9" borderId="0" pivotButton="0" quotePrefix="0" xfId="0"/>
    <xf numFmtId="0" fontId="1" fillId="3" borderId="0" pivotButton="0" quotePrefix="0" xfId="0"/>
    <xf numFmtId="0" fontId="1" fillId="2" borderId="0" pivotButton="0" quotePrefix="0" xfId="0"/>
    <xf numFmtId="0" fontId="3" fillId="0" borderId="3" applyAlignment="1" pivotButton="0" quotePrefix="0" xfId="0">
      <alignment vertical="top" wrapText="1"/>
    </xf>
    <xf numFmtId="0" fontId="16" fillId="0" borderId="3" applyAlignment="1" pivotButton="0" quotePrefix="0" xfId="0">
      <alignment vertical="top" wrapText="1"/>
    </xf>
    <xf numFmtId="0" fontId="3" fillId="4" borderId="3" applyAlignment="1" pivotButton="0" quotePrefix="0" xfId="0">
      <alignment vertical="top" wrapText="1"/>
    </xf>
    <xf numFmtId="0" fontId="17" fillId="0" borderId="0" pivotButton="0" quotePrefix="0" xfId="0"/>
    <xf numFmtId="0" fontId="5" fillId="0" borderId="0" pivotButton="0" quotePrefix="0" xfId="0"/>
    <xf numFmtId="0" fontId="3" fillId="0" borderId="0" pivotButton="0" quotePrefix="0" xfId="0"/>
    <xf numFmtId="0" fontId="6" fillId="5" borderId="1" applyAlignment="1" pivotButton="0" quotePrefix="0" xfId="0">
      <alignment horizontal="center"/>
    </xf>
    <xf numFmtId="0" fontId="6" fillId="4" borderId="1" applyAlignment="1" pivotButton="0" quotePrefix="0" xfId="0">
      <alignment horizontal="center"/>
    </xf>
    <xf numFmtId="0" fontId="4" fillId="0" borderId="0" applyAlignment="1" pivotButton="0" quotePrefix="0" xfId="0">
      <alignment vertical="top" wrapText="1"/>
    </xf>
    <xf numFmtId="0" fontId="1" fillId="2" borderId="1" applyAlignment="1" pivotButton="0" quotePrefix="0" xfId="0">
      <alignment vertical="center" wrapText="1"/>
    </xf>
    <xf numFmtId="0" fontId="1" fillId="3" borderId="1" applyAlignment="1" pivotButton="0" quotePrefix="0" xfId="0">
      <alignment vertical="center" wrapText="1"/>
    </xf>
    <xf numFmtId="1" fontId="2" fillId="0" borderId="2" pivotButton="0" quotePrefix="0" xfId="0"/>
    <xf numFmtId="165" fontId="2" fillId="4" borderId="2" applyAlignment="1" pivotButton="0" quotePrefix="0" xfId="0">
      <alignment horizontal="left"/>
    </xf>
    <xf numFmtId="0" fontId="2" fillId="0" borderId="2" pivotButton="0" quotePrefix="0" xfId="0"/>
    <xf numFmtId="165" fontId="2" fillId="0" borderId="2" applyAlignment="1" pivotButton="0" quotePrefix="0" xfId="0">
      <alignment horizontal="left"/>
    </xf>
    <xf numFmtId="18" fontId="2" fillId="0" borderId="2" applyAlignment="1" pivotButton="0" quotePrefix="0" xfId="0">
      <alignment horizontal="left"/>
    </xf>
    <xf numFmtId="0" fontId="2" fillId="4" borderId="2" pivotButton="0" quotePrefix="0" xfId="0"/>
    <xf numFmtId="1" fontId="2" fillId="4" borderId="2" pivotButton="0" quotePrefix="0" xfId="0"/>
    <xf numFmtId="0" fontId="3" fillId="4" borderId="2" pivotButton="0" quotePrefix="0" xfId="0"/>
    <xf numFmtId="166" fontId="2" fillId="4" borderId="2" applyAlignment="1" pivotButton="0" quotePrefix="0" xfId="0">
      <alignment horizontal="right"/>
    </xf>
    <xf numFmtId="1" fontId="2" fillId="0" borderId="2" applyAlignment="1" pivotButton="0" quotePrefix="0" xfId="0">
      <alignment horizontal="right"/>
    </xf>
    <xf numFmtId="1" fontId="2" fillId="4" borderId="2" applyAlignment="1" pivotButton="0" quotePrefix="0" xfId="0">
      <alignment horizontal="right"/>
    </xf>
    <xf numFmtId="0" fontId="7" fillId="0" borderId="0" pivotButton="0" quotePrefix="0" xfId="0"/>
    <xf numFmtId="165" fontId="4" fillId="0" borderId="0" applyAlignment="1" pivotButton="0" quotePrefix="0" xfId="0">
      <alignment horizontal="left"/>
    </xf>
    <xf numFmtId="0" fontId="8" fillId="0" borderId="0" pivotButton="0" quotePrefix="0" xfId="0"/>
    <xf numFmtId="0" fontId="3" fillId="0" borderId="3" pivotButton="0" quotePrefix="0" xfId="0"/>
    <xf numFmtId="1" fontId="6" fillId="0" borderId="3" applyAlignment="1" pivotButton="0" quotePrefix="0" xfId="0">
      <alignment horizontal="right"/>
    </xf>
    <xf numFmtId="165" fontId="6" fillId="0" borderId="3" applyAlignment="1" pivotButton="0" quotePrefix="0" xfId="0">
      <alignment horizontal="right"/>
    </xf>
    <xf numFmtId="166" fontId="6" fillId="0" borderId="3" applyAlignment="1" pivotButton="0" quotePrefix="0" xfId="0">
      <alignment horizontal="right"/>
    </xf>
    <xf numFmtId="0" fontId="0" fillId="2" borderId="0" pivotButton="0" quotePrefix="0" xfId="0"/>
    <xf numFmtId="0" fontId="1" fillId="2" borderId="0" applyAlignment="1" pivotButton="0" quotePrefix="0" xfId="0">
      <alignment horizontal="left"/>
    </xf>
    <xf numFmtId="0" fontId="1" fillId="2" borderId="0" applyAlignment="1" pivotButton="0" quotePrefix="0" xfId="0">
      <alignment horizontal="right"/>
    </xf>
    <xf numFmtId="0" fontId="9" fillId="6" borderId="3" pivotButton="0" quotePrefix="0" xfId="0"/>
    <xf numFmtId="1" fontId="6" fillId="0" borderId="3" pivotButton="0" quotePrefix="0" xfId="0"/>
    <xf numFmtId="0" fontId="10" fillId="7" borderId="3" pivotButton="0" quotePrefix="0" xfId="0"/>
    <xf numFmtId="0" fontId="10" fillId="8" borderId="3" pivotButton="0" quotePrefix="0" xfId="0"/>
    <xf numFmtId="0" fontId="11" fillId="9" borderId="3" pivotButton="0" quotePrefix="0" xfId="0"/>
    <xf numFmtId="0" fontId="12" fillId="0" borderId="3" applyAlignment="1" pivotButton="0" quotePrefix="0" xfId="0">
      <alignment horizontal="center"/>
    </xf>
    <xf numFmtId="0" fontId="2" fillId="0" borderId="3" pivotButton="0" quotePrefix="0" xfId="0"/>
    <xf numFmtId="165" fontId="2" fillId="0" borderId="3" applyAlignment="1" pivotButton="0" quotePrefix="0" xfId="0">
      <alignment horizontal="left"/>
    </xf>
    <xf numFmtId="1" fontId="2" fillId="0" borderId="3" pivotButton="0" quotePrefix="0" xfId="0"/>
    <xf numFmtId="0" fontId="2" fillId="0" borderId="0" pivotButton="0" quotePrefix="0" xfId="0"/>
  </cellXfs>
  <cellStyles count="1">
    <cellStyle name="Normal" xfId="0" builtinId="0" hidden="0"/>
  </cellStyles>
  <dxfs count="8">
    <dxf>
      <font>
        <b val="1"/>
        <color rgb="008A5A13"/>
      </font>
      <fill>
        <patternFill patternType="solid">
          <fgColor rgb="00FCEFD4"/>
          <bgColor rgb="00FCEFD4"/>
        </patternFill>
      </fill>
    </dxf>
    <dxf>
      <font>
        <b val="1"/>
        <color rgb="00B03A21"/>
      </font>
      <fill>
        <patternFill patternType="solid">
          <fgColor rgb="00F8DFD8"/>
          <bgColor rgb="00F8DFD8"/>
        </patternFill>
      </fill>
    </dxf>
    <dxf>
      <font>
        <color rgb="008A5A13"/>
      </font>
      <fill>
        <patternFill patternType="solid">
          <fgColor rgb="00FEF7E7"/>
          <bgColor rgb="00FEF7E7"/>
        </patternFill>
      </fill>
    </dxf>
    <dxf>
      <font>
        <color rgb="0017693A"/>
      </font>
      <fill>
        <patternFill patternType="solid">
          <fgColor rgb="00D8F0DC"/>
          <bgColor rgb="00D8F0DC"/>
        </patternFill>
      </fill>
    </dxf>
    <dxf>
      <font>
        <i val="1"/>
        <color rgb="007A8178"/>
      </font>
    </dxf>
    <dxf>
      <font>
        <b val="1"/>
        <color rgb="001F2A24"/>
      </font>
      <fill>
        <patternFill patternType="solid">
          <fgColor rgb="00E3F3E9"/>
          <bgColor rgb="00E3F3E9"/>
        </patternFill>
      </fill>
    </dxf>
    <dxf>
      <font>
        <color rgb="00C3C8C0"/>
      </font>
    </dxf>
    <dxf>
      <fill>
        <patternFill patternType="solid">
          <fgColor rgb="00F7F8F4"/>
          <bgColor rgb="00F7F8F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ExpiryEdge</author>
  </authors>
  <commentList>
    <comment ref="D4" authorId="0" shapeId="0">
      <text>
        <t>The calendar year this schedule covers. Change it each January; the windows move with it.</t>
      </text>
    </comment>
    <comment ref="D5" authorId="0" shapeId="0">
      <text>
        <t>2 = six bimonthly drills a year; 3 = quarterly (four); 1 = monthly (twelve).</t>
      </text>
    </comment>
    <comment ref="D6" authorId="0" shapeId="0">
      <text>
        <t>Drills to run while residents are asleep.</t>
      </text>
    </comment>
    <comment ref="A8" authorId="0" shapeId="0">
      <text>
        <t>Window number.</t>
      </text>
    </comment>
    <comment ref="B8" authorId="0" shapeId="0">
      <text>
        <t>Calculated from the year and months per window.</t>
      </text>
    </comment>
    <comment ref="C8" authorId="0" shapeId="0">
      <text>
        <t>Calculated. The drill must happen by this date.</t>
      </text>
    </comment>
    <comment ref="D8" authorId="0" shapeId="0">
      <text>
        <t>Rotate Day, Evening and Night so every shift drills. Night = residents asleep.</t>
      </text>
    </comment>
    <comment ref="E8" authorId="0" shapeId="0">
      <text>
        <t>A date inside the window. Vary the weekday and time year to year.</t>
      </text>
    </comment>
    <comment ref="F8" authorId="0" shapeId="0">
      <text>
        <t>For night drills, a time when residents are usually asleep.</t>
      </text>
    </comment>
    <comment ref="G8" authorId="0" shapeId="0">
      <text>
        <t>Change it every drill.</t>
      </text>
    </comment>
    <comment ref="H8" authorId="0" shapeId="0">
      <text>
        <t>Times the drill and signs the log.</t>
      </text>
    </comment>
    <comment ref="I8" authorId="0" shapeId="0">
      <text>
        <t>Runs it if the lead is off.</t>
      </text>
    </comment>
    <comment ref="J8" authorId="0" shapeId="0">
      <text>
        <t>Calculated. Latest Drill log date inside this window.</t>
      </text>
    </comment>
    <comment ref="K8" authorId="0" shapeId="0">
      <text>
        <t>Calculated, night rows only: Yes if a log row in the window has "Residents asleep?" = Yes.</t>
      </text>
    </comment>
    <comment ref="L8" authorId="0" shapeId="0">
      <text>
        <t>Calculated. Days to the planned date (or to the window end if there is no planned date inside the window). Blank once done.</t>
      </text>
    </comment>
    <comment ref="M8" authorId="0" shapeId="0">
      <text>
        <t>Calculated. Done, Planned, Due ≤90 days, Due ≤30 days, Overdue (planned date passed), Missed (window over, nothing logged) or "Done, not asleep".</t>
      </text>
    </comment>
    <comment ref="N8" authorId="0" shapeId="0">
      <text>
        <t>Calculated. Warns if the planned date is outside the window.</t>
      </text>
    </comment>
  </commentList>
</comments>
</file>

<file path=xl/comments/comment2.xml><?xml version="1.0" encoding="utf-8"?>
<comments xmlns="http://schemas.openxmlformats.org/spreadsheetml/2006/main">
  <authors>
    <author>ExpiryEdge</author>
  </authors>
  <commentList>
    <comment ref="A3" authorId="0" shapeId="0">
      <text>
        <t>Date of the drill. The schedule and dashboard read this column.</t>
      </text>
    </comment>
    <comment ref="B3" authorId="0" shapeId="0">
      <text>
        <t>Time the alarm sounded, e.g. 2:30 AM.</t>
      </text>
    </comment>
    <comment ref="C3" authorId="0" shapeId="0">
      <text>
        <t>Day, Evening or Night: the shift whose staff ran the drill.</t>
      </text>
    </comment>
    <comment ref="D3" authorId="0" shapeId="0">
      <text>
        <t>Yes if the drill ran during residents' usual sleeping hours. The night-drill count uses this column.</t>
      </text>
    </comment>
    <comment ref="E3" authorId="0" shapeId="0">
      <text>
        <t>The person who ran and timed the drill.</t>
      </text>
    </comment>
    <comment ref="F3" authorId="0" shapeId="0">
      <text>
        <t>Everyone on shift who took part. Use the staff actually scheduled for that shift.</t>
      </text>
    </comment>
    <comment ref="G3" authorId="0" shapeId="0">
      <text>
        <t>Where the pretend fire was. Change it every drill.</t>
      </text>
    </comment>
    <comment ref="H3" authorId="0" shapeId="0">
      <text>
        <t>For example, pull station by the east stairs.</t>
      </text>
    </comment>
    <comment ref="I3" authorId="0" shapeId="0">
      <text>
        <t>Exits and route to the assembly point or point of safety.</t>
      </text>
    </comment>
    <comment ref="J3" authorId="0" shapeId="0">
      <text>
        <t>Census at the time of the drill.</t>
      </text>
    </comment>
    <comment ref="K3" authorId="0" shapeId="0">
      <text>
        <t>How many reached the point of safety.</t>
      </text>
    </comment>
    <comment ref="L3" authorId="0" shapeId="0">
      <text>
        <t>Whole minutes from alarm to the last resident reaching the point of safety.</t>
      </text>
    </comment>
    <comment ref="M3" authorId="0" shapeId="0">
      <text>
        <t>The extra seconds (0 to 59).</t>
      </text>
    </comment>
    <comment ref="N3" authorId="0" shapeId="0">
      <text>
        <t>Calculated. Minutes and seconds, from the two columns before it.</t>
      </text>
    </comment>
    <comment ref="O3" authorId="0" shapeId="0">
      <text>
        <t>Room and the help given, e.g. "112: one-person transfer". Note anyone over your state's time limit.</t>
      </text>
    </comment>
    <comment ref="P3" authorId="0" shapeId="0">
      <text>
        <t>Who, and what staff did.</t>
      </text>
    </comment>
    <comment ref="Q3" authorId="0" shapeId="0">
      <text>
        <t>Whether the alarm monitoring company was called before the drill and the signal confirmed after.</t>
      </text>
    </comment>
    <comment ref="R3" authorId="0" shapeId="0">
      <text>
        <t>What slowed you down or went wrong. Leave blank if nothing.</t>
      </text>
    </comment>
    <comment ref="S3" authorId="0" shapeId="0">
      <text>
        <t>The one change you will make before the next drill.</t>
      </text>
    </comment>
    <comment ref="T3" authorId="0" shapeId="0">
      <text>
        <t>Who will make the fix.</t>
      </text>
    </comment>
    <comment ref="U3" authorId="0" shapeId="0">
      <text>
        <t>When the fix should be done.</t>
      </text>
    </comment>
    <comment ref="V3" authorId="0" shapeId="0">
      <text>
        <t>When it was done. Keep the proof.</t>
      </text>
    </comment>
    <comment ref="W3" authorId="0" shapeId="0">
      <text>
        <t>Calculated. Open, Overdue or Closed. Blank when no problem was logged.</t>
      </text>
    </comment>
    <comment ref="X3" authorId="0" shapeId="0">
      <text>
        <t>Name of the person who signed the paper log.</t>
      </text>
    </comment>
    <comment ref="Y3" authorId="0" shapeId="0">
      <text>
        <t>Link to the scanned, signed log, or where the paper copy is filed.</t>
      </text>
    </comment>
  </commentList>
</comments>
</file>

<file path=xl/comments/comment3.xml><?xml version="1.0" encoding="utf-8"?>
<comments xmlns="http://schemas.openxmlformats.org/spreadsheetml/2006/main">
  <authors>
    <author>ExpiryEdge</author>
  </authors>
  <commentList>
    <comment ref="A3" authorId="0" shapeId="0">
      <text>
        <t>Which building or site. Spell it the same way on every row. (Required for import.)</t>
      </text>
    </comment>
    <comment ref="B3" authorId="0" shapeId="0">
      <text>
        <t>Pick from the list; add your own on the Lists sheet.</t>
      </text>
    </comment>
    <comment ref="C3" authorId="0" shapeId="0">
      <text>
        <t>What has to be done. (Required for import.)</t>
      </text>
    </comment>
    <comment ref="D3" authorId="0" shapeId="0">
      <text>
        <t>How often, as a number. The starter rows use the frequency in the source column; your fire authority or a newer code edition may require something different. (Required for import.)</t>
      </text>
    </comment>
    <comment ref="E3" authorId="0" shapeId="0">
      <text>
        <t>Weeks, Months or Years. Blank counts as Months.</t>
      </text>
    </comment>
    <comment ref="F3" authorId="0" shapeId="0">
      <text>
        <t>Staff, a service company or the fire authority.</t>
      </text>
    </comment>
    <comment ref="G3" authorId="0" shapeId="0">
      <text>
        <t>Date of the last check, from the tag, log or vendor report. (Required for import.)</t>
      </text>
    </comment>
    <comment ref="H3" authorId="0" shapeId="0">
      <text>
        <t>Calculated. Last done plus the interval. If a report or tag gives an earlier date, use that.</t>
      </text>
    </comment>
    <comment ref="I3" authorId="0" shapeId="0">
      <text>
        <t>How many days before the date you want to start acting. Leave blank for 30.</t>
      </text>
    </comment>
    <comment ref="J3" authorId="0" shapeId="0">
      <text>
        <t>Calculated. Next due minus the lead time: book the vendor or put it on the rota before this.</t>
      </text>
    </comment>
    <comment ref="K3" authorId="0" shapeId="0">
      <text>
        <t>Calculated. Days until the next due date; negative once it has passed.</t>
      </text>
    </comment>
    <comment ref="L3" authorId="0" shapeId="0">
      <text>
        <t>Calculated. Overdue, Due ≤30 days, Due ≤90 days or OK. Weekly and monthly checks are always within 30 days, so amber is normal for them; red is not.</t>
      </text>
    </comment>
    <comment ref="M3" authorId="0" shapeId="0">
      <text>
        <t>Where the starter frequency comes from. Check it against the code edition your fire authority enforces.</t>
      </text>
    </comment>
    <comment ref="N3" authorId="0" shapeId="0">
      <text>
        <t>The person who makes sure it happens.</t>
      </text>
    </comment>
    <comment ref="O3" authorId="0" shapeId="0">
      <text>
        <t>Who covers when the owner is off.</t>
      </text>
    </comment>
    <comment ref="P3" authorId="0" shapeId="0">
      <text>
        <t>Who should be reminded. Becomes notification_email on import.</t>
      </text>
    </comment>
    <comment ref="Q3" authorId="0" shapeId="0">
      <text>
        <t>Link to the signed log, tag photo or vendor report.</t>
      </text>
    </comment>
    <comment ref="R3" authorId="0" shapeId="0">
      <text>
        <t>Anything the next person needs to know.</t>
      </text>
    </comment>
  </commentList>
</comments>
</file>

<file path=xl/comments/comment4.xml><?xml version="1.0" encoding="utf-8"?>
<comments xmlns="http://schemas.openxmlformats.org/spreadsheetml/2006/main">
  <authors>
    <author>ExpiryEdge</author>
  </authors>
  <commentList>
    <comment ref="A1" authorId="0" shapeId="0">
      <text>
        <t>This sheet fills itself from the tracker. Only rows with a name and a date appear. In ExpiryEdge, go to Bulk Import and upload this .xlsx (choose this sheet), or save this sheet as CSV first. Required columns: name, expiry_date, type.</t>
      </text>
    </comment>
  </commentList>
</comments>
</file>

<file path=xl/tables/table1.xml><?xml version="1.0" encoding="utf-8"?>
<table xmlns="http://schemas.openxmlformats.org/spreadsheetml/2006/main" id="1" name="tblDrillLog" displayName="tblDrillLog" ref="A3:Y503" headerRowCount="1">
  <autoFilter ref="A3:Y503"/>
  <tableColumns count="25">
    <tableColumn id="1" name="Date"/>
    <tableColumn id="2" name="Time started"/>
    <tableColumn id="3" name="Shift"/>
    <tableColumn id="4" name="Residents asleep?"/>
    <tableColumn id="5" name="Drill lead (signs the log)"/>
    <tableColumn id="6" name="Staff on duty (names)"/>
    <tableColumn id="7" name="Simulated fire origin"/>
    <tableColumn id="8" name="How the alarm was raised"/>
    <tableColumn id="9" name="Escape paths used"/>
    <tableColumn id="10" name="Residents in building"/>
    <tableColumn id="11" name="Residents evacuated"/>
    <tableColumn id="12" name="Evac time: minutes"/>
    <tableColumn id="13" name="Evac time: seconds"/>
    <tableColumn id="14" name="Total evacuation time"/>
    <tableColumn id="15" name="Residents who needed help (and what help)"/>
    <tableColumn id="16" name="Residents who resisted or did not take part"/>
    <tableColumn id="17" name="Monitoring company told before &amp; after?"/>
    <tableColumn id="18" name="Problems found"/>
    <tableColumn id="19" name="Fix"/>
    <tableColumn id="20" name="Fix owner"/>
    <tableColumn id="21" name="Fix due"/>
    <tableColumn id="22" name="Fix closed on"/>
    <tableColumn id="23" name="Fix status"/>
    <tableColumn id="24" name="Signed by"/>
    <tableColumn id="25" name="Signed log / proof link"/>
  </tableColumns>
  <tableStyleInfo name="TableStyleLight1" showRowStripes="0"/>
</table>
</file>

<file path=xl/tables/table2.xml><?xml version="1.0" encoding="utf-8"?>
<table xmlns="http://schemas.openxmlformats.org/spreadsheetml/2006/main" id="2" name="tblInspections" displayName="tblInspections" ref="A3:R503" headerRowCount="1">
  <autoFilter ref="A3:R503"/>
  <tableColumns count="18">
    <tableColumn id="1" name="Building"/>
    <tableColumn id="2" name="System"/>
    <tableColumn id="3" name="Check / service"/>
    <tableColumn id="4" name="Every"/>
    <tableColumn id="5" name="Unit"/>
    <tableColumn id="6" name="Done by"/>
    <tableColumn id="7" name="Last done"/>
    <tableColumn id="8" name="Next due"/>
    <tableColumn id="9" name="Lead time (days)"/>
    <tableColumn id="10" name="Book-by date"/>
    <tableColumn id="11" name="Days left"/>
    <tableColumn id="12" name="Status"/>
    <tableColumn id="13" name="Standard / rule (source)"/>
    <tableColumn id="14" name="Owner"/>
    <tableColumn id="15" name="Backup owner"/>
    <tableColumn id="16" name="Owner email"/>
    <tableColumn id="17" name="Proof link"/>
    <tableColumn id="18"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expiryedge.com/templates/fire-drill-log-and-schedule/" TargetMode="External" Id="rId1"/></Relationships>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000E6B4F"/>
    <outlinePr summaryBelow="1" summaryRight="1"/>
    <pageSetUpPr fitToPage="1"/>
  </sheetPr>
  <dimension ref="B2:C95"/>
  <sheetViews>
    <sheetView showGridLines="0" tabSelected="1" workbookViewId="0">
      <selection activeCell="A1" sqref="A1"/>
    </sheetView>
  </sheetViews>
  <sheetFormatPr baseColWidth="8" defaultRowHeight="15"/>
  <cols>
    <col width="3" customWidth="1" min="1" max="1"/>
    <col width="30" customWidth="1" min="2" max="2"/>
    <col width="96" customWidth="1" min="3" max="3"/>
  </cols>
  <sheetData>
    <row r="2">
      <c r="B2" s="1" t="inlineStr">
        <is>
          <t>Fire drill log &amp; schedule (assisted living)</t>
        </is>
      </c>
    </row>
    <row r="3">
      <c r="B3" s="2" t="inlineStr">
        <is>
          <t>Plan the year's fire drills across every shift, log each one with times and who needed help, and keep recurring fire-safety inspections on schedule.</t>
        </is>
      </c>
    </row>
    <row r="4">
      <c r="B4" s="3" t="inlineStr">
        <is>
          <t>Free template · October 2026 edition · works in Excel, Google Sheets and LibreOffice</t>
        </is>
      </c>
    </row>
    <row r="6">
      <c r="B6" s="4" t="inlineStr">
        <is>
          <t>How to use it</t>
        </is>
      </c>
    </row>
    <row r="7" ht="48" customHeight="1">
      <c r="B7" s="5" t="inlineStr">
        <is>
          <t>1. Set up the schedule</t>
        </is>
      </c>
      <c r="C7" s="6" t="inlineStr">
        <is>
          <t>On "Drill schedule", check the year, the months per window (2 = six drills a year) and the night drills you need. Then give each window a shift, a planned date and time, a fire origin and a lead. Rotate shifts so every shift drills.</t>
        </is>
      </c>
    </row>
    <row r="8" ht="33" customHeight="1">
      <c r="B8" s="5" t="inlineStr">
        <is>
          <t>2. Log every drill the same day</t>
        </is>
      </c>
      <c r="C8" s="6" t="inlineStr">
        <is>
          <t>Add a row on "Drill log": date, time, shift, whether residents were asleep, staff, origin, times, who needed help, problems and the fix with an owner. The schedule marks the window Done by itself.</t>
        </is>
      </c>
    </row>
    <row r="9" ht="33" customHeight="1">
      <c r="B9" s="5" t="inlineStr">
        <is>
          <t>3. Keep inspections current</t>
        </is>
      </c>
      <c r="C9" s="6" t="inlineStr">
        <is>
          <t>On "Inspections", replace "Example – Main building" with your building and type the real last-done date from each tag, log or vendor report. Delete rows that do not apply to you.</t>
        </is>
      </c>
    </row>
    <row r="10" ht="33" customHeight="1">
      <c r="B10" s="5" t="inlineStr">
        <is>
          <t>4. Check the Dashboard weekly</t>
        </is>
      </c>
      <c r="C10" s="6" t="inlineStr">
        <is>
          <t>Drills logged against the target, night drills, missed windows, open fixes, and the next 10 inspections due.</t>
        </is>
      </c>
    </row>
    <row r="12">
      <c r="B12" s="4" t="inlineStr">
        <is>
          <t>Colour key</t>
        </is>
      </c>
    </row>
    <row r="13">
      <c r="B13" s="7" t="inlineStr">
        <is>
          <t>Missed / Overdue</t>
        </is>
      </c>
      <c r="C13" s="8" t="inlineStr">
        <is>
          <t>Drill window over with nothing logged, planned date passed, or inspection past due.</t>
        </is>
      </c>
    </row>
    <row r="14">
      <c r="B14" s="9" t="inlineStr">
        <is>
          <t>Due ≤30 days</t>
        </is>
      </c>
      <c r="C14" s="8" t="inlineStr">
        <is>
          <t>Due within 30 days. Act now.</t>
        </is>
      </c>
    </row>
    <row r="15">
      <c r="B15" s="10" t="inlineStr">
        <is>
          <t>Due ≤90 days</t>
        </is>
      </c>
      <c r="C15" s="8" t="inlineStr">
        <is>
          <t>Due within 90 days. Plan it or book the vendor.</t>
        </is>
      </c>
    </row>
    <row r="16">
      <c r="B16" s="11" t="inlineStr">
        <is>
          <t>Done / Planned / OK</t>
        </is>
      </c>
      <c r="C16" s="8" t="inlineStr">
        <is>
          <t>Drill logged, or more than 90 days away.</t>
        </is>
      </c>
    </row>
    <row r="17">
      <c r="B17" s="12" t="inlineStr">
        <is>
          <t>Calculated column</t>
        </is>
      </c>
      <c r="C17" s="8" t="inlineStr">
        <is>
          <t>Dark header and shaded cells: filled in by formula, no need to type.</t>
        </is>
      </c>
    </row>
    <row r="18">
      <c r="B18" s="13" t="inlineStr">
        <is>
          <t>Your input</t>
        </is>
      </c>
      <c r="C18" s="8" t="inlineStr">
        <is>
          <t>Green header: type here. Hover a header to see what it expects.</t>
        </is>
      </c>
    </row>
    <row r="20">
      <c r="B20" s="4" t="inlineStr">
        <is>
          <t>Columns on "Drill schedule"</t>
        </is>
      </c>
    </row>
    <row r="21">
      <c r="B21" s="13" t="inlineStr">
        <is>
          <t>Column</t>
        </is>
      </c>
      <c r="C21" s="13" t="inlineStr">
        <is>
          <t>What to enter</t>
        </is>
      </c>
    </row>
    <row r="22" ht="33" customHeight="1">
      <c r="B22" s="14" t="inlineStr">
        <is>
          <t>Year · Months per window · Night drills needed</t>
        </is>
      </c>
      <c r="C22" s="15" t="inlineStr">
        <is>
          <t>Settings at the top of the sheet. Defaults: 2 months and 2 night drills (NFPA 101 board-and-care rule as published by the Kansas State Fire Marshal). Wisconsin CBRFs: 3 months and 1.</t>
        </is>
      </c>
    </row>
    <row r="23" ht="18" customHeight="1">
      <c r="B23" s="16" t="inlineStr">
        <is>
          <t>Window starts / ends</t>
        </is>
      </c>
      <c r="C23" s="15" t="inlineStr">
        <is>
          <t>Calculated from the settings.</t>
        </is>
      </c>
    </row>
    <row r="24" ht="18" customHeight="1">
      <c r="B24" s="14" t="inlineStr">
        <is>
          <t>Shift</t>
        </is>
      </c>
      <c r="C24" s="15" t="inlineStr">
        <is>
          <t>Day, Evening or Night. Night means residents are asleep.</t>
        </is>
      </c>
    </row>
    <row r="25" ht="18" customHeight="1">
      <c r="B25" s="14" t="inlineStr">
        <is>
          <t>Planned date / time</t>
        </is>
      </c>
      <c r="C25" s="15" t="inlineStr">
        <is>
          <t>Inside the window. Vary days and times so no pattern is detectable.</t>
        </is>
      </c>
    </row>
    <row r="26" ht="33" customHeight="1">
      <c r="B26" s="14" t="inlineStr">
        <is>
          <t>Simulated fire origin, Drill lead, Backup lead</t>
        </is>
      </c>
      <c r="C26" s="15" t="inlineStr">
        <is>
          <t>A new origin each time; a lead who times the drill and signs the log, and a backup.</t>
        </is>
      </c>
    </row>
    <row r="27" ht="48" customHeight="1">
      <c r="B27" s="16" t="inlineStr">
        <is>
          <t>Logged on / Night drill logged? / Days left / Status / Plan check</t>
        </is>
      </c>
      <c r="C27" s="15" t="inlineStr">
        <is>
          <t>Calculated from the Drill log.</t>
        </is>
      </c>
    </row>
    <row r="28">
      <c r="B28" s="3" t="inlineStr">
        <is>
          <t>* needed for the import sheet.</t>
        </is>
      </c>
    </row>
    <row r="30">
      <c r="B30" s="4" t="inlineStr">
        <is>
          <t>Columns on "Drill log"</t>
        </is>
      </c>
    </row>
    <row r="31">
      <c r="B31" s="13" t="inlineStr">
        <is>
          <t>Column</t>
        </is>
      </c>
      <c r="C31" s="13" t="inlineStr">
        <is>
          <t>What to enter</t>
        </is>
      </c>
    </row>
    <row r="32" ht="18" customHeight="1">
      <c r="B32" s="14" t="inlineStr">
        <is>
          <t>Date</t>
        </is>
      </c>
      <c r="C32" s="15" t="inlineStr">
        <is>
          <t>Date of the drill. The schedule and dashboard read this column.</t>
        </is>
      </c>
    </row>
    <row r="33" ht="18" customHeight="1">
      <c r="B33" s="14" t="inlineStr">
        <is>
          <t>Time started</t>
        </is>
      </c>
      <c r="C33" s="15" t="inlineStr">
        <is>
          <t>Time the alarm sounded, e.g. 2:30 AM.</t>
        </is>
      </c>
    </row>
    <row r="34" ht="18" customHeight="1">
      <c r="B34" s="14" t="inlineStr">
        <is>
          <t>Shift</t>
        </is>
      </c>
      <c r="C34" s="15" t="inlineStr">
        <is>
          <t>Day, Evening or Night: the shift whose staff ran the drill.</t>
        </is>
      </c>
    </row>
    <row r="35" ht="18" customHeight="1">
      <c r="B35" s="14" t="inlineStr">
        <is>
          <t>Residents asleep?</t>
        </is>
      </c>
      <c r="C35" s="15" t="inlineStr">
        <is>
          <t>Yes if the drill ran during residents' usual sleeping hours. The night-drill count uses this column.</t>
        </is>
      </c>
    </row>
    <row r="36" ht="18" customHeight="1">
      <c r="B36" s="14" t="inlineStr">
        <is>
          <t>Drill lead (signs the log)</t>
        </is>
      </c>
      <c r="C36" s="15" t="inlineStr">
        <is>
          <t>The person who ran and timed the drill.</t>
        </is>
      </c>
    </row>
    <row r="37" ht="18" customHeight="1">
      <c r="B37" s="14" t="inlineStr">
        <is>
          <t>Staff on duty (names)</t>
        </is>
      </c>
      <c r="C37" s="15" t="inlineStr">
        <is>
          <t>Everyone on shift who took part. Use the staff actually scheduled for that shift.</t>
        </is>
      </c>
    </row>
    <row r="38" ht="18" customHeight="1">
      <c r="B38" s="14" t="inlineStr">
        <is>
          <t>Simulated fire origin</t>
        </is>
      </c>
      <c r="C38" s="15" t="inlineStr">
        <is>
          <t>Where the pretend fire was. Change it every drill.</t>
        </is>
      </c>
    </row>
    <row r="39" ht="18" customHeight="1">
      <c r="B39" s="14" t="inlineStr">
        <is>
          <t>How the alarm was raised</t>
        </is>
      </c>
      <c r="C39" s="15" t="inlineStr">
        <is>
          <t>For example, pull station by the east stairs.</t>
        </is>
      </c>
    </row>
    <row r="40" ht="18" customHeight="1">
      <c r="B40" s="14" t="inlineStr">
        <is>
          <t>Escape paths used</t>
        </is>
      </c>
      <c r="C40" s="15" t="inlineStr">
        <is>
          <t>Exits and route to the assembly point or point of safety.</t>
        </is>
      </c>
    </row>
    <row r="41" ht="18" customHeight="1">
      <c r="B41" s="14" t="inlineStr">
        <is>
          <t>Residents in building</t>
        </is>
      </c>
      <c r="C41" s="15" t="inlineStr">
        <is>
          <t>Census at the time of the drill.</t>
        </is>
      </c>
    </row>
    <row r="42" ht="18" customHeight="1">
      <c r="B42" s="14" t="inlineStr">
        <is>
          <t>Residents evacuated</t>
        </is>
      </c>
      <c r="C42" s="15" t="inlineStr">
        <is>
          <t>How many reached the point of safety.</t>
        </is>
      </c>
    </row>
    <row r="43" ht="18" customHeight="1">
      <c r="B43" s="14" t="inlineStr">
        <is>
          <t>Evac time: minutes</t>
        </is>
      </c>
      <c r="C43" s="15" t="inlineStr">
        <is>
          <t>Whole minutes from alarm to the last resident reaching the point of safety.</t>
        </is>
      </c>
    </row>
    <row r="44" ht="18" customHeight="1">
      <c r="B44" s="14" t="inlineStr">
        <is>
          <t>Evac time: seconds</t>
        </is>
      </c>
      <c r="C44" s="15" t="inlineStr">
        <is>
          <t>The extra seconds (0 to 59).</t>
        </is>
      </c>
    </row>
    <row r="45" ht="18" customHeight="1">
      <c r="B45" s="16" t="inlineStr">
        <is>
          <t>Total evacuation time</t>
        </is>
      </c>
      <c r="C45" s="15" t="inlineStr">
        <is>
          <t>Calculated. Minutes and seconds, from the two columns before it.</t>
        </is>
      </c>
    </row>
    <row r="46" ht="33" customHeight="1">
      <c r="B46" s="14" t="inlineStr">
        <is>
          <t>Residents who needed help (and what help)</t>
        </is>
      </c>
      <c r="C46" s="15" t="inlineStr">
        <is>
          <t>Room and the help given, e.g. "112: one-person transfer". Note anyone over your state's time limit.</t>
        </is>
      </c>
    </row>
    <row r="47" ht="33" customHeight="1">
      <c r="B47" s="14" t="inlineStr">
        <is>
          <t>Residents who resisted or did not take part</t>
        </is>
      </c>
      <c r="C47" s="15" t="inlineStr">
        <is>
          <t>Who, and what staff did.</t>
        </is>
      </c>
    </row>
    <row r="48" ht="33" customHeight="1">
      <c r="B48" s="14" t="inlineStr">
        <is>
          <t>Monitoring company told before &amp; after?</t>
        </is>
      </c>
      <c r="C48" s="15" t="inlineStr">
        <is>
          <t>Whether the alarm monitoring company was called before the drill and the signal confirmed after.</t>
        </is>
      </c>
    </row>
    <row r="49" ht="18" customHeight="1">
      <c r="B49" s="14" t="inlineStr">
        <is>
          <t>Problems found</t>
        </is>
      </c>
      <c r="C49" s="15" t="inlineStr">
        <is>
          <t>What slowed you down or went wrong. Leave blank if nothing.</t>
        </is>
      </c>
    </row>
    <row r="50" ht="18" customHeight="1">
      <c r="B50" s="14" t="inlineStr">
        <is>
          <t>Fix</t>
        </is>
      </c>
      <c r="C50" s="15" t="inlineStr">
        <is>
          <t>The one change you will make before the next drill.</t>
        </is>
      </c>
    </row>
    <row r="51" ht="18" customHeight="1">
      <c r="B51" s="14" t="inlineStr">
        <is>
          <t>Fix owner</t>
        </is>
      </c>
      <c r="C51" s="15" t="inlineStr">
        <is>
          <t>Who will make the fix.</t>
        </is>
      </c>
    </row>
    <row r="52" ht="18" customHeight="1">
      <c r="B52" s="14" t="inlineStr">
        <is>
          <t>Fix due</t>
        </is>
      </c>
      <c r="C52" s="15" t="inlineStr">
        <is>
          <t>When the fix should be done.</t>
        </is>
      </c>
    </row>
    <row r="53" ht="18" customHeight="1">
      <c r="B53" s="14" t="inlineStr">
        <is>
          <t>Fix closed on</t>
        </is>
      </c>
      <c r="C53" s="15" t="inlineStr">
        <is>
          <t>When it was done. Keep the proof.</t>
        </is>
      </c>
    </row>
    <row r="54" ht="18" customHeight="1">
      <c r="B54" s="16" t="inlineStr">
        <is>
          <t>Fix status</t>
        </is>
      </c>
      <c r="C54" s="15" t="inlineStr">
        <is>
          <t>Calculated. Open, Overdue or Closed. Blank when no problem was logged.</t>
        </is>
      </c>
    </row>
    <row r="55" ht="18" customHeight="1">
      <c r="B55" s="14" t="inlineStr">
        <is>
          <t>Signed by</t>
        </is>
      </c>
      <c r="C55" s="15" t="inlineStr">
        <is>
          <t>Name of the person who signed the paper log.</t>
        </is>
      </c>
    </row>
    <row r="56" ht="18" customHeight="1">
      <c r="B56" s="14" t="inlineStr">
        <is>
          <t>Signed log / proof link</t>
        </is>
      </c>
      <c r="C56" s="15" t="inlineStr">
        <is>
          <t>Link to the scanned, signed log, or where the paper copy is filed.</t>
        </is>
      </c>
    </row>
    <row r="57">
      <c r="B57" s="3" t="inlineStr">
        <is>
          <t>* needed for the import sheet.</t>
        </is>
      </c>
    </row>
    <row r="59">
      <c r="B59" s="4" t="inlineStr">
        <is>
          <t>Columns on "Inspections"</t>
        </is>
      </c>
    </row>
    <row r="60">
      <c r="B60" s="13" t="inlineStr">
        <is>
          <t>Column</t>
        </is>
      </c>
      <c r="C60" s="13" t="inlineStr">
        <is>
          <t>What to enter</t>
        </is>
      </c>
    </row>
    <row r="61" ht="18" customHeight="1">
      <c r="B61" s="14" t="inlineStr">
        <is>
          <t>Building *</t>
        </is>
      </c>
      <c r="C61" s="15" t="inlineStr">
        <is>
          <t>Which building or site. Spell it the same way on every row.</t>
        </is>
      </c>
    </row>
    <row r="62" ht="18" customHeight="1">
      <c r="B62" s="14" t="inlineStr">
        <is>
          <t>System</t>
        </is>
      </c>
      <c r="C62" s="15" t="inlineStr">
        <is>
          <t>Pick from the list; add your own on the Lists sheet.</t>
        </is>
      </c>
    </row>
    <row r="63" ht="18" customHeight="1">
      <c r="B63" s="14" t="inlineStr">
        <is>
          <t>Check / service *</t>
        </is>
      </c>
      <c r="C63" s="15" t="inlineStr">
        <is>
          <t>What has to be done.</t>
        </is>
      </c>
    </row>
    <row r="64" ht="33" customHeight="1">
      <c r="B64" s="14" t="inlineStr">
        <is>
          <t>Every *</t>
        </is>
      </c>
      <c r="C64" s="15" t="inlineStr">
        <is>
          <t>How often, as a number. The starter rows use the frequency in the source column; your fire authority or a newer code edition may require something different.</t>
        </is>
      </c>
    </row>
    <row r="65" ht="18" customHeight="1">
      <c r="B65" s="14" t="inlineStr">
        <is>
          <t>Unit</t>
        </is>
      </c>
      <c r="C65" s="15" t="inlineStr">
        <is>
          <t>Weeks, Months or Years. Blank counts as Months.</t>
        </is>
      </c>
    </row>
    <row r="66" ht="18" customHeight="1">
      <c r="B66" s="14" t="inlineStr">
        <is>
          <t>Done by</t>
        </is>
      </c>
      <c r="C66" s="15" t="inlineStr">
        <is>
          <t>Staff, a service company or the fire authority.</t>
        </is>
      </c>
    </row>
    <row r="67" ht="18" customHeight="1">
      <c r="B67" s="14" t="inlineStr">
        <is>
          <t>Last done *</t>
        </is>
      </c>
      <c r="C67" s="15" t="inlineStr">
        <is>
          <t>Date of the last check, from the tag, log or vendor report.</t>
        </is>
      </c>
    </row>
    <row r="68" ht="18" customHeight="1">
      <c r="B68" s="16" t="inlineStr">
        <is>
          <t>Next due</t>
        </is>
      </c>
      <c r="C68" s="15" t="inlineStr">
        <is>
          <t>Calculated. Last done plus the interval. If a report or tag gives an earlier date, use that.</t>
        </is>
      </c>
    </row>
    <row r="69" ht="18" customHeight="1">
      <c r="B69" s="14" t="inlineStr">
        <is>
          <t>Lead time (days)</t>
        </is>
      </c>
      <c r="C69" s="15" t="inlineStr">
        <is>
          <t>How many days before the date you want to start acting. Leave blank for 30.</t>
        </is>
      </c>
    </row>
    <row r="70" ht="18" customHeight="1">
      <c r="B70" s="16" t="inlineStr">
        <is>
          <t>Book-by date</t>
        </is>
      </c>
      <c r="C70" s="15" t="inlineStr">
        <is>
          <t>Calculated. Next due minus the lead time: book the vendor or put it on the rota before this.</t>
        </is>
      </c>
    </row>
    <row r="71" ht="18" customHeight="1">
      <c r="B71" s="16" t="inlineStr">
        <is>
          <t>Days left</t>
        </is>
      </c>
      <c r="C71" s="15" t="inlineStr">
        <is>
          <t>Calculated. Days until the next due date; negative once it has passed.</t>
        </is>
      </c>
    </row>
    <row r="72" ht="33" customHeight="1">
      <c r="B72" s="16" t="inlineStr">
        <is>
          <t>Status</t>
        </is>
      </c>
      <c r="C72" s="15" t="inlineStr">
        <is>
          <t>Calculated. Overdue, Due ≤30 days, Due ≤90 days or OK. Weekly and monthly checks are always within 30 days, so amber is normal for them; red is not.</t>
        </is>
      </c>
    </row>
    <row r="73" ht="33" customHeight="1">
      <c r="B73" s="14" t="inlineStr">
        <is>
          <t>Standard / rule (source)</t>
        </is>
      </c>
      <c r="C73" s="15" t="inlineStr">
        <is>
          <t>Where the starter frequency comes from. Check it against the code edition your fire authority enforces.</t>
        </is>
      </c>
    </row>
    <row r="74" ht="18" customHeight="1">
      <c r="B74" s="14" t="inlineStr">
        <is>
          <t>Owner</t>
        </is>
      </c>
      <c r="C74" s="15" t="inlineStr">
        <is>
          <t>The person who makes sure it happens.</t>
        </is>
      </c>
    </row>
    <row r="75" ht="18" customHeight="1">
      <c r="B75" s="14" t="inlineStr">
        <is>
          <t>Backup owner</t>
        </is>
      </c>
      <c r="C75" s="15" t="inlineStr">
        <is>
          <t>Who covers when the owner is off.</t>
        </is>
      </c>
    </row>
    <row r="76" ht="18" customHeight="1">
      <c r="B76" s="14" t="inlineStr">
        <is>
          <t>Owner email</t>
        </is>
      </c>
      <c r="C76" s="15" t="inlineStr">
        <is>
          <t>Who should be reminded. Becomes notification_email on import.</t>
        </is>
      </c>
    </row>
    <row r="77" ht="18" customHeight="1">
      <c r="B77" s="14" t="inlineStr">
        <is>
          <t>Proof link</t>
        </is>
      </c>
      <c r="C77" s="15" t="inlineStr">
        <is>
          <t>Link to the signed log, tag photo or vendor report.</t>
        </is>
      </c>
    </row>
    <row r="78" ht="18" customHeight="1">
      <c r="B78" s="14" t="inlineStr">
        <is>
          <t>Notes</t>
        </is>
      </c>
      <c r="C78" s="15" t="inlineStr">
        <is>
          <t>Anything the next person needs to know.</t>
        </is>
      </c>
    </row>
    <row r="79">
      <c r="B79" s="3" t="inlineStr">
        <is>
          <t>* needed for the import sheet.</t>
        </is>
      </c>
    </row>
    <row r="81">
      <c r="B81" s="4" t="inlineStr">
        <is>
          <t>Other sheets</t>
        </is>
      </c>
    </row>
    <row r="82" ht="33" customHeight="1">
      <c r="B82" s="5" t="inlineStr">
        <is>
          <t>Dashboard</t>
        </is>
      </c>
      <c r="C82" s="6" t="inlineStr">
        <is>
          <t>Drill counts against your targets, evacuation times, open fixes and inspection status, always as of today.</t>
        </is>
      </c>
    </row>
    <row r="83" ht="33" customHeight="1">
      <c r="B83" s="5" t="inlineStr">
        <is>
          <t>Import to ExpiryEdge</t>
        </is>
      </c>
      <c r="C83" s="6" t="inlineStr">
        <is>
          <t>The Inspections rows laid out in the ExpiryEdge bulk-import columns (name, expiry_date, type, ...). You never need to edit it; ignore it unless you move the list into ExpiryEdge.</t>
        </is>
      </c>
    </row>
    <row r="84" ht="18" customHeight="1">
      <c r="B84" s="5" t="inlineStr">
        <is>
          <t>Lists</t>
        </is>
      </c>
      <c r="C84" s="6" t="inlineStr">
        <is>
          <t>The options behind the dropdowns. Add your own there.</t>
        </is>
      </c>
    </row>
    <row r="85" ht="33" customHeight="1">
      <c r="B85" s="5" t="inlineStr">
        <is>
          <t>Printable log</t>
        </is>
      </c>
      <c r="C85" s="6" t="inlineStr">
        <is>
          <t>A one-page paper drill log with the same fields is on the template page (PDF). Sign it and file it with the row.</t>
        </is>
      </c>
    </row>
    <row r="87">
      <c r="B87" s="4" t="inlineStr">
        <is>
          <t>Good to know</t>
        </is>
      </c>
    </row>
    <row r="88">
      <c r="B88" s="8" t="inlineStr">
        <is>
          <t>·  Your state licensing rule and local fire authority decide how often you drill and what you record. Where they differ, meet the stricter one.</t>
        </is>
      </c>
    </row>
    <row r="89">
      <c r="B89" s="8" t="inlineStr">
        <is>
          <t>·  Starter inspection frequencies come from the NFPA editions that NFPA 101 (2012) references for federal certification, as summarized by the Minnesota Department of Health, plus the Wisconsin and Florida rules named in each row. Your code may adopt newer editions: confirm with your fire authority.</t>
        </is>
      </c>
    </row>
    <row r="90">
      <c r="B90" s="8" t="inlineStr">
        <is>
          <t>·  Do not backfill a log for a drill that did not happen. Run it now, record the real date and note the gap.</t>
        </is>
      </c>
    </row>
    <row r="91">
      <c r="B91" s="8" t="inlineStr">
        <is>
          <t>·  Keep records for your longest retention rule (for example, Wisconsin CBRF records 2 years; Kansas asks for drill records at least 5 years).</t>
        </is>
      </c>
    </row>
    <row r="92">
      <c r="B92" s="8" t="inlineStr">
        <is>
          <t>·  Formulas are filled down for 500 rows. The file only changes when someone opens it; it cannot send reminders.</t>
        </is>
      </c>
    </row>
    <row r="93">
      <c r="B93" s="8" t="inlineStr">
        <is>
          <t>·  This is a free template, not legal advice.</t>
        </is>
      </c>
    </row>
    <row r="95">
      <c r="B95" s="17" t="inlineStr">
        <is>
          <t>Made by ExpiryEdge · expiryedge.com</t>
        </is>
      </c>
    </row>
  </sheetData>
  <hyperlinks>
    <hyperlink xmlns:r="http://schemas.openxmlformats.org/officeDocument/2006/relationships" ref="B95" r:id="rId1"/>
  </hyperlinks>
  <printOptions horizontalCentered="0"/>
  <pageMargins left="0.4" right="0.4" top="0.5" bottom="0.6" header="0.5" footer="0.5"/>
  <pageSetup orientation="portrait" paperSize="1" fitToHeight="0" fitToWidth="1"/>
  <headerFooter>
    <oddHeader/>
    <oddFooter>&amp;C&amp;"Arial"&amp;8 expiryedge.com · page &amp;P of &amp;N</oddFooter>
    <evenHeader/>
    <evenFooter/>
    <firstHeader/>
    <firstFooter/>
  </headerFooter>
</worksheet>
</file>

<file path=xl/worksheets/sheet2.xml><?xml version="1.0" encoding="utf-8"?>
<worksheet xmlns="http://schemas.openxmlformats.org/spreadsheetml/2006/main">
  <sheetPr>
    <tabColor rgb="007CD9AE"/>
    <outlinePr summaryBelow="1" summaryRight="1"/>
    <pageSetUpPr fitToPage="1"/>
  </sheetPr>
  <dimension ref="A1:N22"/>
  <sheetViews>
    <sheetView showGridLines="0" tabSelected="0" workbookViewId="0">
      <pane xSplit="1" ySplit="8" topLeftCell="B9" activePane="bottomRight" state="frozen"/>
      <selection pane="topRight"/>
      <selection pane="bottomLeft"/>
      <selection pane="bottomRight" activeCell="A1" sqref="A1"/>
    </sheetView>
  </sheetViews>
  <sheetFormatPr baseColWidth="8" defaultRowHeight="15"/>
  <cols>
    <col width="5" customWidth="1" min="1" max="1"/>
    <col width="13" customWidth="1" min="2" max="2"/>
    <col width="13" customWidth="1" min="3" max="3"/>
    <col width="10" customWidth="1" min="4" max="4"/>
    <col width="13" customWidth="1" min="5" max="5"/>
    <col width="11" customWidth="1" min="6" max="6"/>
    <col width="36" customWidth="1" min="7" max="7"/>
    <col width="16" customWidth="1" min="8" max="8"/>
    <col width="16" customWidth="1" min="9" max="9"/>
    <col width="13" customWidth="1" min="10" max="10"/>
    <col width="11" customWidth="1" min="11" max="11"/>
    <col width="10" customWidth="1" min="12" max="12"/>
    <col width="18" customWidth="1" min="13" max="13"/>
    <col width="18" customWidth="1" min="14" max="14"/>
  </cols>
  <sheetData>
    <row r="1" ht="24" customHeight="1">
      <c r="A1" s="18" t="inlineStr">
        <is>
          <t>Annual fire drill schedule</t>
        </is>
      </c>
    </row>
    <row r="2">
      <c r="A2" s="3" t="inlineStr">
        <is>
          <t>Set the year and how often you drill, then type a planned date, time, fire origin and lead for each window. A window turns "Done" when a drill with a date inside it appears on the Drill log.</t>
        </is>
      </c>
    </row>
    <row r="4">
      <c r="A4" s="19" t="inlineStr">
        <is>
          <t>Year</t>
        </is>
      </c>
      <c r="D4" s="20" t="n">
        <v>2026</v>
      </c>
      <c r="F4" s="19" t="inlineStr">
        <is>
          <t>Drills needed this year</t>
        </is>
      </c>
      <c r="H4" s="21">
        <f>IF(ISNUMBER($D$5),ROUNDDOWN(12/$D$5,0),"")</f>
        <v/>
      </c>
      <c r="J4" s="22" t="inlineStr">
        <is>
          <t>Defaults (2 months, 2 night drills) follow the NFPA 101 board-and-care rule as published by the Kansas State Fire Marshal: six drills a year, every two months, two at night while residents sleep. Wisconsin CBRFs: 3 months and 1 sleeping-hours drill (DHS 83.47). Use the rule your state and fire authority apply.</t>
        </is>
      </c>
    </row>
    <row r="5">
      <c r="A5" s="19" t="inlineStr">
        <is>
          <t>Months per drill window</t>
        </is>
      </c>
      <c r="D5" s="20" t="n">
        <v>2</v>
      </c>
      <c r="F5" s="19" t="inlineStr">
        <is>
          <t>Drills logged this year</t>
        </is>
      </c>
      <c r="H5" s="21">
        <f>IF(ISNUMBER($D$4),COUNTIFS('Drill log'!$A$4:$A$503,"&gt;="&amp;DATE($D$4,1,1),'Drill log'!$A$4:$A$503,"&lt;="&amp;DATE($D$4,12,31)),"")</f>
        <v/>
      </c>
    </row>
    <row r="6">
      <c r="A6" s="19" t="inlineStr">
        <is>
          <t>Night drills needed per year</t>
        </is>
      </c>
      <c r="D6" s="20" t="n">
        <v>2</v>
      </c>
      <c r="F6" s="19" t="inlineStr">
        <is>
          <t>Night drills logged (residents asleep)</t>
        </is>
      </c>
      <c r="H6" s="21">
        <f>IF(ISNUMBER($D$4),COUNTIFS('Drill log'!$A$4:$A$503,"&gt;="&amp;DATE($D$4,1,1),'Drill log'!$A$4:$A$503,"&lt;="&amp;DATE($D$4,12,31),'Drill log'!$D$4:$D$503,"Yes"),"")</f>
        <v/>
      </c>
    </row>
    <row r="8" ht="32" customHeight="1">
      <c r="A8" s="23" t="inlineStr">
        <is>
          <t>#</t>
        </is>
      </c>
      <c r="B8" s="24" t="inlineStr">
        <is>
          <t>Window starts</t>
        </is>
      </c>
      <c r="C8" s="24" t="inlineStr">
        <is>
          <t>Window ends</t>
        </is>
      </c>
      <c r="D8" s="23" t="inlineStr">
        <is>
          <t>Shift</t>
        </is>
      </c>
      <c r="E8" s="23" t="inlineStr">
        <is>
          <t>Planned date</t>
        </is>
      </c>
      <c r="F8" s="23" t="inlineStr">
        <is>
          <t>Planned time</t>
        </is>
      </c>
      <c r="G8" s="23" t="inlineStr">
        <is>
          <t>Simulated fire origin</t>
        </is>
      </c>
      <c r="H8" s="23" t="inlineStr">
        <is>
          <t>Drill lead</t>
        </is>
      </c>
      <c r="I8" s="23" t="inlineStr">
        <is>
          <t>Backup lead</t>
        </is>
      </c>
      <c r="J8" s="24" t="inlineStr">
        <is>
          <t>Logged on</t>
        </is>
      </c>
      <c r="K8" s="24" t="inlineStr">
        <is>
          <t>Night drill logged?</t>
        </is>
      </c>
      <c r="L8" s="24" t="inlineStr">
        <is>
          <t>Days left</t>
        </is>
      </c>
      <c r="M8" s="24" t="inlineStr">
        <is>
          <t>Status</t>
        </is>
      </c>
      <c r="N8" s="24" t="inlineStr">
        <is>
          <t>Plan check</t>
        </is>
      </c>
    </row>
    <row r="9">
      <c r="A9" s="25" t="n">
        <v>1</v>
      </c>
      <c r="B9" s="26">
        <f>IF(OR(NOT(ISNUMBER($D$4)),NOT(ISNUMBER($D$5))),"",IF($A9&gt;ROUNDDOWN(12/$D$5,0),"",DATE($D$4,1+($A9-1)*$D$5,1)))</f>
        <v/>
      </c>
      <c r="C9" s="26">
        <f>IF(B9="","",EOMONTH(B9,$D$5-1))</f>
        <v/>
      </c>
      <c r="D9" s="27" t="inlineStr">
        <is>
          <t>Day</t>
        </is>
      </c>
      <c r="E9" s="28" t="n">
        <v>46035</v>
      </c>
      <c r="F9" s="29" t="n">
        <v>0.4270833333333333</v>
      </c>
      <c r="G9" s="27" t="inlineStr">
        <is>
          <t>Example – Kitchen</t>
        </is>
      </c>
      <c r="H9" s="27" t="inlineStr">
        <is>
          <t>A. Sample</t>
        </is>
      </c>
      <c r="I9" s="27" t="inlineStr">
        <is>
          <t>J. Placeholder</t>
        </is>
      </c>
      <c r="J9" s="26">
        <f>IF(B9="","",IFERROR(1/(1/SUMPRODUCT(MAX(('Drill log'!$A$4:$A$503&gt;=B9)*('Drill log'!$A$4:$A$503&lt;=C9)*'Drill log'!$A$4:$A$503))),""))</f>
        <v/>
      </c>
      <c r="K9" s="30">
        <f>IF(OR(B9="",D9&lt;&gt;"Night"),"",IF(COUNTIFS('Drill log'!$A$4:$A$503,"&gt;="&amp;B9,'Drill log'!$A$4:$A$503,"&lt;="&amp;C9,'Drill log'!$D$4:$D$503,"Yes")&gt;0,"Yes","No"))</f>
        <v/>
      </c>
      <c r="L9" s="31">
        <f>IF(OR(B9="",ISNUMBER(J9)),"",IF(AND(ISNUMBER(E9),E9&gt;=B9,E9&lt;=C9),E9,C9)-TODAY())</f>
        <v/>
      </c>
      <c r="M9" s="32">
        <f>IF(B9="","",IF(ISNUMBER(J9),IF(K9="No","Done, not asleep","Done"),IF(C9&lt;TODAY(),"Missed",IF(L9&lt;0,"Overdue",IF(L9&lt;=30,"Due ≤30 days",IF(L9&lt;=90,"Due ≤90 days","Planned"))))))</f>
        <v/>
      </c>
      <c r="N9" s="30">
        <f>IF(OR(B9="",NOT(ISNUMBER(E9))),"",IF(OR(E9&lt;B9,E9&gt;C9),"Date outside window",""))</f>
        <v/>
      </c>
    </row>
    <row r="10">
      <c r="A10" s="25" t="n">
        <v>2</v>
      </c>
      <c r="B10" s="26">
        <f>IF(OR(NOT(ISNUMBER($D$4)),NOT(ISNUMBER($D$5))),"",IF($A10&gt;ROUNDDOWN(12/$D$5,0),"",DATE($D$4,1+($A10-1)*$D$5,1)))</f>
        <v/>
      </c>
      <c r="C10" s="26">
        <f>IF(B10="","",EOMONTH(B10,$D$5-1))</f>
        <v/>
      </c>
      <c r="D10" s="27" t="inlineStr">
        <is>
          <t>Evening</t>
        </is>
      </c>
      <c r="E10" s="28" t="n">
        <v>46099</v>
      </c>
      <c r="F10" s="29" t="n">
        <v>0.7777777777777778</v>
      </c>
      <c r="G10" s="27" t="inlineStr">
        <is>
          <t>Example – Laundry room</t>
        </is>
      </c>
      <c r="H10" s="27" t="inlineStr">
        <is>
          <t>J. Placeholder</t>
        </is>
      </c>
      <c r="I10" s="27" t="inlineStr">
        <is>
          <t>A. Sample</t>
        </is>
      </c>
      <c r="J10" s="26">
        <f>IF(B10="","",IFERROR(1/(1/SUMPRODUCT(MAX(('Drill log'!$A$4:$A$503&gt;=B10)*('Drill log'!$A$4:$A$503&lt;=C10)*'Drill log'!$A$4:$A$503))),""))</f>
        <v/>
      </c>
      <c r="K10" s="30">
        <f>IF(OR(B10="",D10&lt;&gt;"Night"),"",IF(COUNTIFS('Drill log'!$A$4:$A$503,"&gt;="&amp;B10,'Drill log'!$A$4:$A$503,"&lt;="&amp;C10,'Drill log'!$D$4:$D$503,"Yes")&gt;0,"Yes","No"))</f>
        <v/>
      </c>
      <c r="L10" s="31">
        <f>IF(OR(B10="",ISNUMBER(J10)),"",IF(AND(ISNUMBER(E10),E10&gt;=B10,E10&lt;=C10),E10,C10)-TODAY())</f>
        <v/>
      </c>
      <c r="M10" s="32">
        <f>IF(B10="","",IF(ISNUMBER(J10),IF(K10="No","Done, not asleep","Done"),IF(C10&lt;TODAY(),"Missed",IF(L10&lt;0,"Overdue",IF(L10&lt;=30,"Due ≤30 days",IF(L10&lt;=90,"Due ≤90 days","Planned"))))))</f>
        <v/>
      </c>
      <c r="N10" s="30">
        <f>IF(OR(B10="",NOT(ISNUMBER(E10))),"",IF(OR(E10&lt;B10,E10&gt;C10),"Date outside window",""))</f>
        <v/>
      </c>
    </row>
    <row r="11">
      <c r="A11" s="25" t="n">
        <v>3</v>
      </c>
      <c r="B11" s="26">
        <f>IF(OR(NOT(ISNUMBER($D$4)),NOT(ISNUMBER($D$5))),"",IF($A11&gt;ROUNDDOWN(12/$D$5,0),"",DATE($D$4,1+($A11-1)*$D$5,1)))</f>
        <v/>
      </c>
      <c r="C11" s="26">
        <f>IF(B11="","",EOMONTH(B11,$D$5-1))</f>
        <v/>
      </c>
      <c r="D11" s="27" t="inlineStr">
        <is>
          <t>Night</t>
        </is>
      </c>
      <c r="E11" s="28" t="n">
        <v>46163</v>
      </c>
      <c r="F11" s="29" t="n">
        <v>0.1041666666666667</v>
      </c>
      <c r="G11" s="27" t="inlineStr">
        <is>
          <t>Example – Resident room, east wing</t>
        </is>
      </c>
      <c r="H11" s="27" t="inlineStr">
        <is>
          <t>C. Demo</t>
        </is>
      </c>
      <c r="I11" s="27" t="inlineStr">
        <is>
          <t>A. Sample</t>
        </is>
      </c>
      <c r="J11" s="26">
        <f>IF(B11="","",IFERROR(1/(1/SUMPRODUCT(MAX(('Drill log'!$A$4:$A$503&gt;=B11)*('Drill log'!$A$4:$A$503&lt;=C11)*'Drill log'!$A$4:$A$503))),""))</f>
        <v/>
      </c>
      <c r="K11" s="30">
        <f>IF(OR(B11="",D11&lt;&gt;"Night"),"",IF(COUNTIFS('Drill log'!$A$4:$A$503,"&gt;="&amp;B11,'Drill log'!$A$4:$A$503,"&lt;="&amp;C11,'Drill log'!$D$4:$D$503,"Yes")&gt;0,"Yes","No"))</f>
        <v/>
      </c>
      <c r="L11" s="31">
        <f>IF(OR(B11="",ISNUMBER(J11)),"",IF(AND(ISNUMBER(E11),E11&gt;=B11,E11&lt;=C11),E11,C11)-TODAY())</f>
        <v/>
      </c>
      <c r="M11" s="32">
        <f>IF(B11="","",IF(ISNUMBER(J11),IF(K11="No","Done, not asleep","Done"),IF(C11&lt;TODAY(),"Missed",IF(L11&lt;0,"Overdue",IF(L11&lt;=30,"Due ≤30 days",IF(L11&lt;=90,"Due ≤90 days","Planned"))))))</f>
        <v/>
      </c>
      <c r="N11" s="30">
        <f>IF(OR(B11="",NOT(ISNUMBER(E11))),"",IF(OR(E11&lt;B11,E11&gt;C11),"Date outside window",""))</f>
        <v/>
      </c>
    </row>
    <row r="12">
      <c r="A12" s="25" t="n">
        <v>4</v>
      </c>
      <c r="B12" s="26">
        <f>IF(OR(NOT(ISNUMBER($D$4)),NOT(ISNUMBER($D$5))),"",IF($A12&gt;ROUNDDOWN(12/$D$5,0),"",DATE($D$4,1+($A12-1)*$D$5,1)))</f>
        <v/>
      </c>
      <c r="C12" s="26">
        <f>IF(B12="","",EOMONTH(B12,$D$5-1))</f>
        <v/>
      </c>
      <c r="D12" s="27" t="inlineStr">
        <is>
          <t>Day</t>
        </is>
      </c>
      <c r="E12" s="28" t="n">
        <v>46217</v>
      </c>
      <c r="F12" s="29" t="n">
        <v>0.6145833333333334</v>
      </c>
      <c r="G12" s="27" t="inlineStr">
        <is>
          <t>Example – Activity room</t>
        </is>
      </c>
      <c r="H12" s="27" t="inlineStr">
        <is>
          <t>A. Sample</t>
        </is>
      </c>
      <c r="I12" s="27" t="inlineStr">
        <is>
          <t>J. Placeholder</t>
        </is>
      </c>
      <c r="J12" s="26">
        <f>IF(B12="","",IFERROR(1/(1/SUMPRODUCT(MAX(('Drill log'!$A$4:$A$503&gt;=B12)*('Drill log'!$A$4:$A$503&lt;=C12)*'Drill log'!$A$4:$A$503))),""))</f>
        <v/>
      </c>
      <c r="K12" s="30">
        <f>IF(OR(B12="",D12&lt;&gt;"Night"),"",IF(COUNTIFS('Drill log'!$A$4:$A$503,"&gt;="&amp;B12,'Drill log'!$A$4:$A$503,"&lt;="&amp;C12,'Drill log'!$D$4:$D$503,"Yes")&gt;0,"Yes","No"))</f>
        <v/>
      </c>
      <c r="L12" s="31">
        <f>IF(OR(B12="",ISNUMBER(J12)),"",IF(AND(ISNUMBER(E12),E12&gt;=B12,E12&lt;=C12),E12,C12)-TODAY())</f>
        <v/>
      </c>
      <c r="M12" s="32">
        <f>IF(B12="","",IF(ISNUMBER(J12),IF(K12="No","Done, not asleep","Done"),IF(C12&lt;TODAY(),"Missed",IF(L12&lt;0,"Overdue",IF(L12&lt;=30,"Due ≤30 days",IF(L12&lt;=90,"Due ≤90 days","Planned"))))))</f>
        <v/>
      </c>
      <c r="N12" s="30">
        <f>IF(OR(B12="",NOT(ISNUMBER(E12))),"",IF(OR(E12&lt;B12,E12&gt;C12),"Date outside window",""))</f>
        <v/>
      </c>
    </row>
    <row r="13">
      <c r="A13" s="25" t="n">
        <v>5</v>
      </c>
      <c r="B13" s="26">
        <f>IF(OR(NOT(ISNUMBER($D$4)),NOT(ISNUMBER($D$5))),"",IF($A13&gt;ROUNDDOWN(12/$D$5,0),"",DATE($D$4,1+($A13-1)*$D$5,1)))</f>
        <v/>
      </c>
      <c r="C13" s="26">
        <f>IF(B13="","",EOMONTH(B13,$D$5-1))</f>
        <v/>
      </c>
      <c r="D13" s="27" t="inlineStr">
        <is>
          <t>Evening</t>
        </is>
      </c>
      <c r="E13" s="28" t="n">
        <v>46316</v>
      </c>
      <c r="F13" s="29" t="n">
        <v>0.8472222222222222</v>
      </c>
      <c r="G13" s="27" t="inlineStr">
        <is>
          <t>Example – Second-floor storage</t>
        </is>
      </c>
      <c r="H13" s="27" t="inlineStr">
        <is>
          <t>J. Placeholder</t>
        </is>
      </c>
      <c r="I13" s="27" t="inlineStr">
        <is>
          <t>C. Demo</t>
        </is>
      </c>
      <c r="J13" s="26">
        <f>IF(B13="","",IFERROR(1/(1/SUMPRODUCT(MAX(('Drill log'!$A$4:$A$503&gt;=B13)*('Drill log'!$A$4:$A$503&lt;=C13)*'Drill log'!$A$4:$A$503))),""))</f>
        <v/>
      </c>
      <c r="K13" s="30">
        <f>IF(OR(B13="",D13&lt;&gt;"Night"),"",IF(COUNTIFS('Drill log'!$A$4:$A$503,"&gt;="&amp;B13,'Drill log'!$A$4:$A$503,"&lt;="&amp;C13,'Drill log'!$D$4:$D$503,"Yes")&gt;0,"Yes","No"))</f>
        <v/>
      </c>
      <c r="L13" s="31">
        <f>IF(OR(B13="",ISNUMBER(J13)),"",IF(AND(ISNUMBER(E13),E13&gt;=B13,E13&lt;=C13),E13,C13)-TODAY())</f>
        <v/>
      </c>
      <c r="M13" s="32">
        <f>IF(B13="","",IF(ISNUMBER(J13),IF(K13="No","Done, not asleep","Done"),IF(C13&lt;TODAY(),"Missed",IF(L13&lt;0,"Overdue",IF(L13&lt;=30,"Due ≤30 days",IF(L13&lt;=90,"Due ≤90 days","Planned"))))))</f>
        <v/>
      </c>
      <c r="N13" s="30">
        <f>IF(OR(B13="",NOT(ISNUMBER(E13))),"",IF(OR(E13&lt;B13,E13&gt;C13),"Date outside window",""))</f>
        <v/>
      </c>
    </row>
    <row r="14">
      <c r="A14" s="25" t="n">
        <v>6</v>
      </c>
      <c r="B14" s="26">
        <f>IF(OR(NOT(ISNUMBER($D$4)),NOT(ISNUMBER($D$5))),"",IF($A14&gt;ROUNDDOWN(12/$D$5,0),"",DATE($D$4,1+($A14-1)*$D$5,1)))</f>
        <v/>
      </c>
      <c r="C14" s="26">
        <f>IF(B14="","",EOMONTH(B14,$D$5-1))</f>
        <v/>
      </c>
      <c r="D14" s="27" t="inlineStr">
        <is>
          <t>Night</t>
        </is>
      </c>
      <c r="E14" s="28" t="n">
        <v>46366</v>
      </c>
      <c r="F14" s="29" t="n">
        <v>0.2013888888888889</v>
      </c>
      <c r="G14" s="27" t="inlineStr">
        <is>
          <t>Example – Resident room, west wing</t>
        </is>
      </c>
      <c r="H14" s="27" t="inlineStr">
        <is>
          <t>C. Demo</t>
        </is>
      </c>
      <c r="I14" s="27" t="inlineStr">
        <is>
          <t>A. Sample</t>
        </is>
      </c>
      <c r="J14" s="26">
        <f>IF(B14="","",IFERROR(1/(1/SUMPRODUCT(MAX(('Drill log'!$A$4:$A$503&gt;=B14)*('Drill log'!$A$4:$A$503&lt;=C14)*'Drill log'!$A$4:$A$503))),""))</f>
        <v/>
      </c>
      <c r="K14" s="30">
        <f>IF(OR(B14="",D14&lt;&gt;"Night"),"",IF(COUNTIFS('Drill log'!$A$4:$A$503,"&gt;="&amp;B14,'Drill log'!$A$4:$A$503,"&lt;="&amp;C14,'Drill log'!$D$4:$D$503,"Yes")&gt;0,"Yes","No"))</f>
        <v/>
      </c>
      <c r="L14" s="31">
        <f>IF(OR(B14="",ISNUMBER(J14)),"",IF(AND(ISNUMBER(E14),E14&gt;=B14,E14&lt;=C14),E14,C14)-TODAY())</f>
        <v/>
      </c>
      <c r="M14" s="32">
        <f>IF(B14="","",IF(ISNUMBER(J14),IF(K14="No","Done, not asleep","Done"),IF(C14&lt;TODAY(),"Missed",IF(L14&lt;0,"Overdue",IF(L14&lt;=30,"Due ≤30 days",IF(L14&lt;=90,"Due ≤90 days","Planned"))))))</f>
        <v/>
      </c>
      <c r="N14" s="30">
        <f>IF(OR(B14="",NOT(ISNUMBER(E14))),"",IF(OR(E14&lt;B14,E14&gt;C14),"Date outside window",""))</f>
        <v/>
      </c>
    </row>
    <row r="15">
      <c r="A15" s="25" t="n">
        <v>7</v>
      </c>
      <c r="B15" s="26">
        <f>IF(OR(NOT(ISNUMBER($D$4)),NOT(ISNUMBER($D$5))),"",IF($A15&gt;ROUNDDOWN(12/$D$5,0),"",DATE($D$4,1+($A15-1)*$D$5,1)))</f>
        <v/>
      </c>
      <c r="C15" s="26">
        <f>IF(B15="","",EOMONTH(B15,$D$5-1))</f>
        <v/>
      </c>
      <c r="D15" s="27" t="inlineStr">
        <is>
          <t>Day</t>
        </is>
      </c>
      <c r="E15" s="28" t="n"/>
      <c r="F15" s="29" t="n"/>
      <c r="G15" s="27" t="n"/>
      <c r="H15" s="27" t="n"/>
      <c r="I15" s="27" t="n"/>
      <c r="J15" s="26">
        <f>IF(B15="","",IFERROR(1/(1/SUMPRODUCT(MAX(('Drill log'!$A$4:$A$503&gt;=B15)*('Drill log'!$A$4:$A$503&lt;=C15)*'Drill log'!$A$4:$A$503))),""))</f>
        <v/>
      </c>
      <c r="K15" s="30">
        <f>IF(OR(B15="",D15&lt;&gt;"Night"),"",IF(COUNTIFS('Drill log'!$A$4:$A$503,"&gt;="&amp;B15,'Drill log'!$A$4:$A$503,"&lt;="&amp;C15,'Drill log'!$D$4:$D$503,"Yes")&gt;0,"Yes","No"))</f>
        <v/>
      </c>
      <c r="L15" s="31">
        <f>IF(OR(B15="",ISNUMBER(J15)),"",IF(AND(ISNUMBER(E15),E15&gt;=B15,E15&lt;=C15),E15,C15)-TODAY())</f>
        <v/>
      </c>
      <c r="M15" s="32">
        <f>IF(B15="","",IF(ISNUMBER(J15),IF(K15="No","Done, not asleep","Done"),IF(C15&lt;TODAY(),"Missed",IF(L15&lt;0,"Overdue",IF(L15&lt;=30,"Due ≤30 days",IF(L15&lt;=90,"Due ≤90 days","Planned"))))))</f>
        <v/>
      </c>
      <c r="N15" s="30">
        <f>IF(OR(B15="",NOT(ISNUMBER(E15))),"",IF(OR(E15&lt;B15,E15&gt;C15),"Date outside window",""))</f>
        <v/>
      </c>
    </row>
    <row r="16">
      <c r="A16" s="25" t="n">
        <v>8</v>
      </c>
      <c r="B16" s="26">
        <f>IF(OR(NOT(ISNUMBER($D$4)),NOT(ISNUMBER($D$5))),"",IF($A16&gt;ROUNDDOWN(12/$D$5,0),"",DATE($D$4,1+($A16-1)*$D$5,1)))</f>
        <v/>
      </c>
      <c r="C16" s="26">
        <f>IF(B16="","",EOMONTH(B16,$D$5-1))</f>
        <v/>
      </c>
      <c r="D16" s="27" t="inlineStr">
        <is>
          <t>Evening</t>
        </is>
      </c>
      <c r="E16" s="28" t="n"/>
      <c r="F16" s="29" t="n"/>
      <c r="G16" s="27" t="n"/>
      <c r="H16" s="27" t="n"/>
      <c r="I16" s="27" t="n"/>
      <c r="J16" s="26">
        <f>IF(B16="","",IFERROR(1/(1/SUMPRODUCT(MAX(('Drill log'!$A$4:$A$503&gt;=B16)*('Drill log'!$A$4:$A$503&lt;=C16)*'Drill log'!$A$4:$A$503))),""))</f>
        <v/>
      </c>
      <c r="K16" s="30">
        <f>IF(OR(B16="",D16&lt;&gt;"Night"),"",IF(COUNTIFS('Drill log'!$A$4:$A$503,"&gt;="&amp;B16,'Drill log'!$A$4:$A$503,"&lt;="&amp;C16,'Drill log'!$D$4:$D$503,"Yes")&gt;0,"Yes","No"))</f>
        <v/>
      </c>
      <c r="L16" s="31">
        <f>IF(OR(B16="",ISNUMBER(J16)),"",IF(AND(ISNUMBER(E16),E16&gt;=B16,E16&lt;=C16),E16,C16)-TODAY())</f>
        <v/>
      </c>
      <c r="M16" s="32">
        <f>IF(B16="","",IF(ISNUMBER(J16),IF(K16="No","Done, not asleep","Done"),IF(C16&lt;TODAY(),"Missed",IF(L16&lt;0,"Overdue",IF(L16&lt;=30,"Due ≤30 days",IF(L16&lt;=90,"Due ≤90 days","Planned"))))))</f>
        <v/>
      </c>
      <c r="N16" s="30">
        <f>IF(OR(B16="",NOT(ISNUMBER(E16))),"",IF(OR(E16&lt;B16,E16&gt;C16),"Date outside window",""))</f>
        <v/>
      </c>
    </row>
    <row r="17">
      <c r="A17" s="25" t="n">
        <v>9</v>
      </c>
      <c r="B17" s="26">
        <f>IF(OR(NOT(ISNUMBER($D$4)),NOT(ISNUMBER($D$5))),"",IF($A17&gt;ROUNDDOWN(12/$D$5,0),"",DATE($D$4,1+($A17-1)*$D$5,1)))</f>
        <v/>
      </c>
      <c r="C17" s="26">
        <f>IF(B17="","",EOMONTH(B17,$D$5-1))</f>
        <v/>
      </c>
      <c r="D17" s="27" t="inlineStr">
        <is>
          <t>Night</t>
        </is>
      </c>
      <c r="E17" s="28" t="n"/>
      <c r="F17" s="29" t="n"/>
      <c r="G17" s="27" t="n"/>
      <c r="H17" s="27" t="n"/>
      <c r="I17" s="27" t="n"/>
      <c r="J17" s="26">
        <f>IF(B17="","",IFERROR(1/(1/SUMPRODUCT(MAX(('Drill log'!$A$4:$A$503&gt;=B17)*('Drill log'!$A$4:$A$503&lt;=C17)*'Drill log'!$A$4:$A$503))),""))</f>
        <v/>
      </c>
      <c r="K17" s="30">
        <f>IF(OR(B17="",D17&lt;&gt;"Night"),"",IF(COUNTIFS('Drill log'!$A$4:$A$503,"&gt;="&amp;B17,'Drill log'!$A$4:$A$503,"&lt;="&amp;C17,'Drill log'!$D$4:$D$503,"Yes")&gt;0,"Yes","No"))</f>
        <v/>
      </c>
      <c r="L17" s="31">
        <f>IF(OR(B17="",ISNUMBER(J17)),"",IF(AND(ISNUMBER(E17),E17&gt;=B17,E17&lt;=C17),E17,C17)-TODAY())</f>
        <v/>
      </c>
      <c r="M17" s="32">
        <f>IF(B17="","",IF(ISNUMBER(J17),IF(K17="No","Done, not asleep","Done"),IF(C17&lt;TODAY(),"Missed",IF(L17&lt;0,"Overdue",IF(L17&lt;=30,"Due ≤30 days",IF(L17&lt;=90,"Due ≤90 days","Planned"))))))</f>
        <v/>
      </c>
      <c r="N17" s="30">
        <f>IF(OR(B17="",NOT(ISNUMBER(E17))),"",IF(OR(E17&lt;B17,E17&gt;C17),"Date outside window",""))</f>
        <v/>
      </c>
    </row>
    <row r="18">
      <c r="A18" s="25" t="n">
        <v>10</v>
      </c>
      <c r="B18" s="26">
        <f>IF(OR(NOT(ISNUMBER($D$4)),NOT(ISNUMBER($D$5))),"",IF($A18&gt;ROUNDDOWN(12/$D$5,0),"",DATE($D$4,1+($A18-1)*$D$5,1)))</f>
        <v/>
      </c>
      <c r="C18" s="26">
        <f>IF(B18="","",EOMONTH(B18,$D$5-1))</f>
        <v/>
      </c>
      <c r="D18" s="27" t="inlineStr">
        <is>
          <t>Day</t>
        </is>
      </c>
      <c r="E18" s="28" t="n"/>
      <c r="F18" s="29" t="n"/>
      <c r="G18" s="27" t="n"/>
      <c r="H18" s="27" t="n"/>
      <c r="I18" s="27" t="n"/>
      <c r="J18" s="26">
        <f>IF(B18="","",IFERROR(1/(1/SUMPRODUCT(MAX(('Drill log'!$A$4:$A$503&gt;=B18)*('Drill log'!$A$4:$A$503&lt;=C18)*'Drill log'!$A$4:$A$503))),""))</f>
        <v/>
      </c>
      <c r="K18" s="30">
        <f>IF(OR(B18="",D18&lt;&gt;"Night"),"",IF(COUNTIFS('Drill log'!$A$4:$A$503,"&gt;="&amp;B18,'Drill log'!$A$4:$A$503,"&lt;="&amp;C18,'Drill log'!$D$4:$D$503,"Yes")&gt;0,"Yes","No"))</f>
        <v/>
      </c>
      <c r="L18" s="31">
        <f>IF(OR(B18="",ISNUMBER(J18)),"",IF(AND(ISNUMBER(E18),E18&gt;=B18,E18&lt;=C18),E18,C18)-TODAY())</f>
        <v/>
      </c>
      <c r="M18" s="32">
        <f>IF(B18="","",IF(ISNUMBER(J18),IF(K18="No","Done, not asleep","Done"),IF(C18&lt;TODAY(),"Missed",IF(L18&lt;0,"Overdue",IF(L18&lt;=30,"Due ≤30 days",IF(L18&lt;=90,"Due ≤90 days","Planned"))))))</f>
        <v/>
      </c>
      <c r="N18" s="30">
        <f>IF(OR(B18="",NOT(ISNUMBER(E18))),"",IF(OR(E18&lt;B18,E18&gt;C18),"Date outside window",""))</f>
        <v/>
      </c>
    </row>
    <row r="19">
      <c r="A19" s="25" t="n">
        <v>11</v>
      </c>
      <c r="B19" s="26">
        <f>IF(OR(NOT(ISNUMBER($D$4)),NOT(ISNUMBER($D$5))),"",IF($A19&gt;ROUNDDOWN(12/$D$5,0),"",DATE($D$4,1+($A19-1)*$D$5,1)))</f>
        <v/>
      </c>
      <c r="C19" s="26">
        <f>IF(B19="","",EOMONTH(B19,$D$5-1))</f>
        <v/>
      </c>
      <c r="D19" s="27" t="inlineStr">
        <is>
          <t>Evening</t>
        </is>
      </c>
      <c r="E19" s="28" t="n"/>
      <c r="F19" s="29" t="n"/>
      <c r="G19" s="27" t="n"/>
      <c r="H19" s="27" t="n"/>
      <c r="I19" s="27" t="n"/>
      <c r="J19" s="26">
        <f>IF(B19="","",IFERROR(1/(1/SUMPRODUCT(MAX(('Drill log'!$A$4:$A$503&gt;=B19)*('Drill log'!$A$4:$A$503&lt;=C19)*'Drill log'!$A$4:$A$503))),""))</f>
        <v/>
      </c>
      <c r="K19" s="30">
        <f>IF(OR(B19="",D19&lt;&gt;"Night"),"",IF(COUNTIFS('Drill log'!$A$4:$A$503,"&gt;="&amp;B19,'Drill log'!$A$4:$A$503,"&lt;="&amp;C19,'Drill log'!$D$4:$D$503,"Yes")&gt;0,"Yes","No"))</f>
        <v/>
      </c>
      <c r="L19" s="31">
        <f>IF(OR(B19="",ISNUMBER(J19)),"",IF(AND(ISNUMBER(E19),E19&gt;=B19,E19&lt;=C19),E19,C19)-TODAY())</f>
        <v/>
      </c>
      <c r="M19" s="32">
        <f>IF(B19="","",IF(ISNUMBER(J19),IF(K19="No","Done, not asleep","Done"),IF(C19&lt;TODAY(),"Missed",IF(L19&lt;0,"Overdue",IF(L19&lt;=30,"Due ≤30 days",IF(L19&lt;=90,"Due ≤90 days","Planned"))))))</f>
        <v/>
      </c>
      <c r="N19" s="30">
        <f>IF(OR(B19="",NOT(ISNUMBER(E19))),"",IF(OR(E19&lt;B19,E19&gt;C19),"Date outside window",""))</f>
        <v/>
      </c>
    </row>
    <row r="20">
      <c r="A20" s="25" t="n">
        <v>12</v>
      </c>
      <c r="B20" s="26">
        <f>IF(OR(NOT(ISNUMBER($D$4)),NOT(ISNUMBER($D$5))),"",IF($A20&gt;ROUNDDOWN(12/$D$5,0),"",DATE($D$4,1+($A20-1)*$D$5,1)))</f>
        <v/>
      </c>
      <c r="C20" s="26">
        <f>IF(B20="","",EOMONTH(B20,$D$5-1))</f>
        <v/>
      </c>
      <c r="D20" s="27" t="inlineStr">
        <is>
          <t>Night</t>
        </is>
      </c>
      <c r="E20" s="28" t="n"/>
      <c r="F20" s="29" t="n"/>
      <c r="G20" s="27" t="n"/>
      <c r="H20" s="27" t="n"/>
      <c r="I20" s="27" t="n"/>
      <c r="J20" s="26">
        <f>IF(B20="","",IFERROR(1/(1/SUMPRODUCT(MAX(('Drill log'!$A$4:$A$503&gt;=B20)*('Drill log'!$A$4:$A$503&lt;=C20)*'Drill log'!$A$4:$A$503))),""))</f>
        <v/>
      </c>
      <c r="K20" s="30">
        <f>IF(OR(B20="",D20&lt;&gt;"Night"),"",IF(COUNTIFS('Drill log'!$A$4:$A$503,"&gt;="&amp;B20,'Drill log'!$A$4:$A$503,"&lt;="&amp;C20,'Drill log'!$D$4:$D$503,"Yes")&gt;0,"Yes","No"))</f>
        <v/>
      </c>
      <c r="L20" s="31">
        <f>IF(OR(B20="",ISNUMBER(J20)),"",IF(AND(ISNUMBER(E20),E20&gt;=B20,E20&lt;=C20),E20,C20)-TODAY())</f>
        <v/>
      </c>
      <c r="M20" s="32">
        <f>IF(B20="","",IF(ISNUMBER(J20),IF(K20="No","Done, not asleep","Done"),IF(C20&lt;TODAY(),"Missed",IF(L20&lt;0,"Overdue",IF(L20&lt;=30,"Due ≤30 days",IF(L20&lt;=90,"Due ≤90 days","Planned"))))))</f>
        <v/>
      </c>
      <c r="N20" s="30">
        <f>IF(OR(B20="",NOT(ISNUMBER(E20))),"",IF(OR(E20&lt;B20,E20&gt;C20),"Date outside window",""))</f>
        <v/>
      </c>
    </row>
    <row r="22">
      <c r="A22" s="3" t="inlineStr">
        <is>
          <t>Other drills, such as elopement or disaster drills where your state requires them, can go in months without a fire drill: log them on paper or add your own rows below this note.</t>
        </is>
      </c>
    </row>
  </sheetData>
  <mergeCells count="4">
    <mergeCell ref="A5:C5"/>
    <mergeCell ref="A4:C4"/>
    <mergeCell ref="J4:N6"/>
    <mergeCell ref="A6:C6"/>
  </mergeCells>
  <conditionalFormatting sqref="H6">
    <cfRule type="expression" priority="1" dxfId="0">
      <formula>AND(ISNUMBER($H$6),ISNUMBER($D$6),$H$6&lt;$D$6)</formula>
    </cfRule>
  </conditionalFormatting>
  <conditionalFormatting sqref="L9:L20 M9:M20">
    <cfRule type="expression" priority="2" dxfId="1" stopIfTrue="1">
      <formula>OR($M9="Missed",$M9="Overdue",$M9="Done, not asleep")</formula>
    </cfRule>
    <cfRule type="expression" priority="3" dxfId="0" stopIfTrue="1">
      <formula>$M9="Due ≤30 days"</formula>
    </cfRule>
    <cfRule type="expression" priority="4" dxfId="2" stopIfTrue="1">
      <formula>$M9="Due ≤90 days"</formula>
    </cfRule>
    <cfRule type="expression" priority="5" dxfId="3" stopIfTrue="1">
      <formula>OR($M9="Done",$M9="Planned")</formula>
    </cfRule>
  </conditionalFormatting>
  <conditionalFormatting sqref="N9:N20">
    <cfRule type="expression" priority="6" dxfId="1">
      <formula>LEN($N9)&gt;0</formula>
    </cfRule>
  </conditionalFormatting>
  <conditionalFormatting sqref="E9:E20 F9:F20 G9:G20 H9:H20 I9:I20">
    <cfRule type="expression" priority="7" dxfId="4">
      <formula>LEFT($G9,9)="Example –"</formula>
    </cfRule>
  </conditionalFormatting>
  <conditionalFormatting sqref="D9:D20">
    <cfRule type="expression" priority="8" dxfId="5">
      <formula>AND($B9&lt;&gt;"",$D9="Night")</formula>
    </cfRule>
  </conditionalFormatting>
  <conditionalFormatting sqref="A9:I20">
    <cfRule type="expression" priority="9" dxfId="6">
      <formula>$B9=""</formula>
    </cfRule>
  </conditionalFormatting>
  <dataValidations count="6">
    <dataValidation sqref="D4" showDropDown="0" showInputMessage="0" showErrorMessage="1" allowBlank="0" errorTitle="Year" error="Type a year, e.g. 2027." type="whole" errorStyle="stop" operator="between">
      <formula1>2020</formula1>
      <formula2>2100</formula2>
    </dataValidation>
    <dataValidation sqref="D5" showDropDown="0" showInputMessage="0" showErrorMessage="1" allowBlank="0" errorTitle="Months per window" error="Pick 1, 2 or 3." type="list" errorStyle="stop">
      <formula1>"1,2,3"</formula1>
    </dataValidation>
    <dataValidation sqref="D6" showDropDown="0" showInputMessage="0" showErrorMessage="0" allowBlank="1" type="whole" operator="between">
      <formula1>0</formula1>
      <formula2>12</formula2>
    </dataValidation>
    <dataValidation sqref="D9:D20" showDropDown="0" showInputMessage="0" showErrorMessage="1" allowBlank="1" errorTitle="Shift" error="That is not on the list. Keep it anyway, or add it to the Lists sheet." type="list" errorStyle="warning">
      <formula1>=Lists!$A$2:$A$4</formula1>
    </dataValidation>
    <dataValidation sqref="E9:E20" showDropDown="0" showInputMessage="0" showErrorMessage="1" allowBlank="1" errorTitle="Date expected" error="Type a real date, e.g. Jun 14, 2027 (or 2027-06-14). Text that only looks like a date will not calculate." type="date" errorStyle="warning" operator="greaterThan">
      <formula1>32874</formula1>
    </dataValidation>
    <dataValidation sqref="F9:F20" showDropDown="0" showInputMessage="0" showErrorMessage="1" allowBlank="1" errorTitle="Time expected" error="Type a time, e.g. 2:30 AM or 14:30." type="time" errorStyle="warning" operator="between">
      <formula1>0</formula1>
      <formula2>0.99999</formula2>
    </dataValidation>
  </dataValidations>
  <printOptions horizontalCentered="0"/>
  <pageMargins left="0.4" right="0.4" top="0.5" bottom="0.6" header="0.5" footer="0.5"/>
  <pageSetup orientation="landscape" paperSize="1" fitToHeight="0" fitToWidth="1"/>
  <headerFooter>
    <oddHeader/>
    <oddFooter>&amp;C&amp;"Arial"&amp;8 expiryedge.com · page &amp;P of &amp;N</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7CD9AE"/>
    <outlinePr summaryBelow="1" summaryRight="1"/>
    <pageSetUpPr fitToPage="1"/>
  </sheetPr>
  <dimension ref="A1:Y503"/>
  <sheetViews>
    <sheetView showGridLines="0" tabSelected="0" workbookViewId="0">
      <pane xSplit="1" ySplit="3" topLeftCell="B4" activePane="bottomRight" state="frozen"/>
      <selection pane="topRight"/>
      <selection pane="bottomLeft"/>
      <selection pane="bottomRight" activeCell="A1" sqref="A1"/>
    </sheetView>
  </sheetViews>
  <sheetFormatPr baseColWidth="8" defaultRowHeight="15"/>
  <cols>
    <col width="13" customWidth="1" min="1" max="1"/>
    <col width="10" customWidth="1" min="2" max="2"/>
    <col width="10" customWidth="1" min="3" max="3"/>
    <col width="10" customWidth="1" min="4" max="4"/>
    <col width="20" customWidth="1" min="5" max="5"/>
    <col width="26" customWidth="1" min="6" max="6"/>
    <col width="22" customWidth="1" min="7" max="7"/>
    <col width="20" customWidth="1" min="8" max="8"/>
    <col width="22" customWidth="1" min="9" max="9"/>
    <col width="10" customWidth="1" min="10" max="10"/>
    <col width="10" customWidth="1" min="11" max="11"/>
    <col width="9" customWidth="1" min="12" max="12"/>
    <col width="9" customWidth="1" min="13" max="13"/>
    <col width="11" customWidth="1" min="14" max="14"/>
    <col width="30" customWidth="1" min="15" max="15"/>
    <col width="26" customWidth="1" min="16" max="16"/>
    <col width="13" customWidth="1" min="17" max="17"/>
    <col width="26" customWidth="1" min="18" max="18"/>
    <col width="24" customWidth="1" min="19" max="19"/>
    <col width="14" customWidth="1" min="20" max="20"/>
    <col width="12" customWidth="1" min="21" max="21"/>
    <col width="12" customWidth="1" min="22" max="22"/>
    <col width="11" customWidth="1" min="23" max="23"/>
    <col width="16" customWidth="1" min="24" max="24"/>
    <col width="24" customWidth="1" min="25" max="25"/>
  </cols>
  <sheetData>
    <row r="1" ht="24" customHeight="1">
      <c r="A1" s="18" t="inlineStr">
        <is>
          <t>Fire drill log (one row per drill)</t>
        </is>
      </c>
    </row>
    <row r="2">
      <c r="A2" s="3" t="inlineStr">
        <is>
          <t>Add a row the same day as every drill. Rows whose "Drill lead" starts with "Example –" are samples: delete them.</t>
        </is>
      </c>
    </row>
    <row r="3" ht="44" customHeight="1">
      <c r="A3" s="23" t="inlineStr">
        <is>
          <t>Date</t>
        </is>
      </c>
      <c r="B3" s="23" t="inlineStr">
        <is>
          <t>Time started</t>
        </is>
      </c>
      <c r="C3" s="23" t="inlineStr">
        <is>
          <t>Shift</t>
        </is>
      </c>
      <c r="D3" s="23" t="inlineStr">
        <is>
          <t>Residents asleep?</t>
        </is>
      </c>
      <c r="E3" s="23" t="inlineStr">
        <is>
          <t>Drill lead (signs the log)</t>
        </is>
      </c>
      <c r="F3" s="23" t="inlineStr">
        <is>
          <t>Staff on duty (names)</t>
        </is>
      </c>
      <c r="G3" s="23" t="inlineStr">
        <is>
          <t>Simulated fire origin</t>
        </is>
      </c>
      <c r="H3" s="23" t="inlineStr">
        <is>
          <t>How the alarm was raised</t>
        </is>
      </c>
      <c r="I3" s="23" t="inlineStr">
        <is>
          <t>Escape paths used</t>
        </is>
      </c>
      <c r="J3" s="23" t="inlineStr">
        <is>
          <t>Residents in building</t>
        </is>
      </c>
      <c r="K3" s="23" t="inlineStr">
        <is>
          <t>Residents evacuated</t>
        </is>
      </c>
      <c r="L3" s="23" t="inlineStr">
        <is>
          <t>Evac time: minutes</t>
        </is>
      </c>
      <c r="M3" s="23" t="inlineStr">
        <is>
          <t>Evac time: seconds</t>
        </is>
      </c>
      <c r="N3" s="24" t="inlineStr">
        <is>
          <t>Total evacuation time</t>
        </is>
      </c>
      <c r="O3" s="23" t="inlineStr">
        <is>
          <t>Residents who needed help (and what help)</t>
        </is>
      </c>
      <c r="P3" s="23" t="inlineStr">
        <is>
          <t>Residents who resisted or did not take part</t>
        </is>
      </c>
      <c r="Q3" s="23" t="inlineStr">
        <is>
          <t>Monitoring company told before &amp; after?</t>
        </is>
      </c>
      <c r="R3" s="23" t="inlineStr">
        <is>
          <t>Problems found</t>
        </is>
      </c>
      <c r="S3" s="23" t="inlineStr">
        <is>
          <t>Fix</t>
        </is>
      </c>
      <c r="T3" s="23" t="inlineStr">
        <is>
          <t>Fix owner</t>
        </is>
      </c>
      <c r="U3" s="23" t="inlineStr">
        <is>
          <t>Fix due</t>
        </is>
      </c>
      <c r="V3" s="23" t="inlineStr">
        <is>
          <t>Fix closed on</t>
        </is>
      </c>
      <c r="W3" s="24" t="inlineStr">
        <is>
          <t>Fix status</t>
        </is>
      </c>
      <c r="X3" s="23" t="inlineStr">
        <is>
          <t>Signed by</t>
        </is>
      </c>
      <c r="Y3" s="23" t="inlineStr">
        <is>
          <t>Signed log / proof link</t>
        </is>
      </c>
    </row>
    <row r="4">
      <c r="A4" s="28" t="n">
        <v>46035</v>
      </c>
      <c r="B4" s="29" t="n">
        <v>0.4270833333333333</v>
      </c>
      <c r="C4" s="27" t="inlineStr">
        <is>
          <t>Day</t>
        </is>
      </c>
      <c r="D4" s="27" t="inlineStr">
        <is>
          <t>No</t>
        </is>
      </c>
      <c r="E4" s="27" t="inlineStr">
        <is>
          <t>Example – A. Sample</t>
        </is>
      </c>
      <c r="F4" s="27" t="inlineStr">
        <is>
          <t>5 staff (names)</t>
        </is>
      </c>
      <c r="G4" s="27" t="inlineStr">
        <is>
          <t>Kitchen</t>
        </is>
      </c>
      <c r="H4" s="27" t="inlineStr">
        <is>
          <t>Pull station, dining room</t>
        </is>
      </c>
      <c r="I4" s="27" t="inlineStr">
        <is>
          <t>Front exit to front lawn</t>
        </is>
      </c>
      <c r="J4" s="25" t="n">
        <v>22</v>
      </c>
      <c r="K4" s="25" t="n">
        <v>22</v>
      </c>
      <c r="L4" s="25" t="n">
        <v>3</v>
      </c>
      <c r="M4" s="25" t="n">
        <v>5</v>
      </c>
      <c r="N4" s="33">
        <f>IF(AND(L4="",M4=""),"",(N(L4)*60+N(M4))/86400)</f>
        <v/>
      </c>
      <c r="O4" s="27" t="inlineStr">
        <is>
          <t>104: walker, stand-by help</t>
        </is>
      </c>
      <c r="P4" s="27" t="n"/>
      <c r="Q4" s="27" t="inlineStr">
        <is>
          <t>Yes</t>
        </is>
      </c>
      <c r="R4" s="27" t="n"/>
      <c r="S4" s="27" t="n"/>
      <c r="T4" s="27" t="n"/>
      <c r="U4" s="28" t="n"/>
      <c r="V4" s="28" t="n"/>
      <c r="W4" s="32">
        <f>IF(LEN(R4)=0,"",IF(ISNUMBER(V4),"Closed",IF(AND(ISNUMBER(U4),U4&lt;TODAY()),"Overdue","Open")))</f>
        <v/>
      </c>
      <c r="X4" s="27" t="inlineStr">
        <is>
          <t>A. Sample</t>
        </is>
      </c>
      <c r="Y4" s="27" t="n"/>
    </row>
    <row r="5">
      <c r="A5" s="28" t="n">
        <v>46099</v>
      </c>
      <c r="B5" s="29" t="n">
        <v>0.7777777777777778</v>
      </c>
      <c r="C5" s="27" t="inlineStr">
        <is>
          <t>Evening</t>
        </is>
      </c>
      <c r="D5" s="27" t="inlineStr">
        <is>
          <t>No</t>
        </is>
      </c>
      <c r="E5" s="27" t="inlineStr">
        <is>
          <t>Example – J. Placeholder</t>
        </is>
      </c>
      <c r="F5" s="27" t="inlineStr">
        <is>
          <t>4 staff (names)</t>
        </is>
      </c>
      <c r="G5" s="27" t="inlineStr">
        <is>
          <t>Laundry room</t>
        </is>
      </c>
      <c r="H5" s="27" t="inlineStr">
        <is>
          <t>Smoke detector test button</t>
        </is>
      </c>
      <c r="I5" s="27" t="inlineStr">
        <is>
          <t>West exit to car park</t>
        </is>
      </c>
      <c r="J5" s="25" t="n">
        <v>22</v>
      </c>
      <c r="K5" s="25" t="n">
        <v>22</v>
      </c>
      <c r="L5" s="25" t="n">
        <v>3</v>
      </c>
      <c r="M5" s="25" t="n">
        <v>50</v>
      </c>
      <c r="N5" s="33">
        <f>IF(AND(L5="",M5=""),"",(N(L5)*60+N(M5))/86400)</f>
        <v/>
      </c>
      <c r="O5" s="27" t="inlineStr">
        <is>
          <t>112: one-person transfer</t>
        </is>
      </c>
      <c r="P5" s="27" t="inlineStr">
        <is>
          <t>215 refused at first; cued by aide</t>
        </is>
      </c>
      <c r="Q5" s="27" t="inlineStr">
        <is>
          <t>Yes</t>
        </is>
      </c>
      <c r="R5" s="27" t="inlineStr">
        <is>
          <t>Two staff unsure of assigned rooms</t>
        </is>
      </c>
      <c r="S5" s="27" t="inlineStr">
        <is>
          <t>Re-brief helper sheet at shift handover</t>
        </is>
      </c>
      <c r="T5" s="27" t="inlineStr">
        <is>
          <t>J. Placeholder</t>
        </is>
      </c>
      <c r="U5" s="28" t="n">
        <v>46325</v>
      </c>
      <c r="V5" s="28" t="n"/>
      <c r="W5" s="32">
        <f>IF(LEN(R5)=0,"",IF(ISNUMBER(V5),"Closed",IF(AND(ISNUMBER(U5),U5&lt;TODAY()),"Overdue","Open")))</f>
        <v/>
      </c>
      <c r="X5" s="27" t="inlineStr">
        <is>
          <t>J. Placeholder</t>
        </is>
      </c>
      <c r="Y5" s="27" t="n"/>
    </row>
    <row r="6">
      <c r="A6" s="28" t="n">
        <v>46163</v>
      </c>
      <c r="B6" s="29" t="n">
        <v>0.1041666666666667</v>
      </c>
      <c r="C6" s="27" t="inlineStr">
        <is>
          <t>Night</t>
        </is>
      </c>
      <c r="D6" s="27" t="inlineStr">
        <is>
          <t>Yes</t>
        </is>
      </c>
      <c r="E6" s="27" t="inlineStr">
        <is>
          <t>Example – C. Demo</t>
        </is>
      </c>
      <c r="F6" s="27" t="inlineStr">
        <is>
          <t>3 staff (names)</t>
        </is>
      </c>
      <c r="G6" s="27" t="inlineStr">
        <is>
          <t>Room 118, east wing</t>
        </is>
      </c>
      <c r="H6" s="27" t="inlineStr">
        <is>
          <t>Pull station by east stairs</t>
        </is>
      </c>
      <c r="I6" s="27" t="inlineStr">
        <is>
          <t>East stair to rear assembly point</t>
        </is>
      </c>
      <c r="J6" s="25" t="n">
        <v>22</v>
      </c>
      <c r="K6" s="25" t="n">
        <v>22</v>
      </c>
      <c r="L6" s="25" t="n">
        <v>3</v>
      </c>
      <c r="M6" s="25" t="n">
        <v>40</v>
      </c>
      <c r="N6" s="33">
        <f>IF(AND(L6="",M6=""),"",(N(L6)*60+N(M6))/86400)</f>
        <v/>
      </c>
      <c r="O6" s="27" t="inlineStr">
        <is>
          <t>112: one-person transfer</t>
        </is>
      </c>
      <c r="P6" s="27" t="n"/>
      <c r="Q6" s="27" t="inlineStr">
        <is>
          <t>Yes</t>
        </is>
      </c>
      <c r="R6" s="27" t="inlineStr">
        <is>
          <t>East door slow to release</t>
        </is>
      </c>
      <c r="S6" s="27" t="inlineStr">
        <is>
          <t>Adjust door closer</t>
        </is>
      </c>
      <c r="T6" s="27" t="inlineStr">
        <is>
          <t>Maintenance</t>
        </is>
      </c>
      <c r="U6" s="28" t="n">
        <v>46170</v>
      </c>
      <c r="V6" s="28" t="n">
        <v>46169</v>
      </c>
      <c r="W6" s="32">
        <f>IF(LEN(R6)=0,"",IF(ISNUMBER(V6),"Closed",IF(AND(ISNUMBER(U6),U6&lt;TODAY()),"Overdue","Open")))</f>
        <v/>
      </c>
      <c r="X6" s="27" t="inlineStr">
        <is>
          <t>C. Demo</t>
        </is>
      </c>
      <c r="Y6" s="27" t="n"/>
    </row>
    <row r="7">
      <c r="A7" s="28" t="n"/>
      <c r="B7" s="29" t="n"/>
      <c r="C7" s="27" t="n"/>
      <c r="D7" s="27" t="n"/>
      <c r="E7" s="27" t="n"/>
      <c r="F7" s="27" t="n"/>
      <c r="G7" s="27" t="n"/>
      <c r="H7" s="27" t="n"/>
      <c r="I7" s="27" t="n"/>
      <c r="J7" s="25" t="n"/>
      <c r="K7" s="25" t="n"/>
      <c r="L7" s="25" t="n"/>
      <c r="M7" s="25" t="n"/>
      <c r="N7" s="33">
        <f>IF(AND(L7="",M7=""),"",(N(L7)*60+N(M7))/86400)</f>
        <v/>
      </c>
      <c r="O7" s="27" t="n"/>
      <c r="P7" s="27" t="n"/>
      <c r="Q7" s="27" t="n"/>
      <c r="R7" s="27" t="n"/>
      <c r="S7" s="27" t="n"/>
      <c r="T7" s="27" t="n"/>
      <c r="U7" s="28" t="n"/>
      <c r="V7" s="28" t="n"/>
      <c r="W7" s="32">
        <f>IF(LEN(R7)=0,"",IF(ISNUMBER(V7),"Closed",IF(AND(ISNUMBER(U7),U7&lt;TODAY()),"Overdue","Open")))</f>
        <v/>
      </c>
      <c r="X7" s="27" t="n"/>
      <c r="Y7" s="27" t="n"/>
    </row>
    <row r="8">
      <c r="A8" s="28" t="n"/>
      <c r="B8" s="29" t="n"/>
      <c r="C8" s="27" t="n"/>
      <c r="D8" s="27" t="n"/>
      <c r="E8" s="27" t="n"/>
      <c r="F8" s="27" t="n"/>
      <c r="G8" s="27" t="n"/>
      <c r="H8" s="27" t="n"/>
      <c r="I8" s="27" t="n"/>
      <c r="J8" s="25" t="n"/>
      <c r="K8" s="25" t="n"/>
      <c r="L8" s="25" t="n"/>
      <c r="M8" s="25" t="n"/>
      <c r="N8" s="33">
        <f>IF(AND(L8="",M8=""),"",(N(L8)*60+N(M8))/86400)</f>
        <v/>
      </c>
      <c r="O8" s="27" t="n"/>
      <c r="P8" s="27" t="n"/>
      <c r="Q8" s="27" t="n"/>
      <c r="R8" s="27" t="n"/>
      <c r="S8" s="27" t="n"/>
      <c r="T8" s="27" t="n"/>
      <c r="U8" s="28" t="n"/>
      <c r="V8" s="28" t="n"/>
      <c r="W8" s="32">
        <f>IF(LEN(R8)=0,"",IF(ISNUMBER(V8),"Closed",IF(AND(ISNUMBER(U8),U8&lt;TODAY()),"Overdue","Open")))</f>
        <v/>
      </c>
      <c r="X8" s="27" t="n"/>
      <c r="Y8" s="27" t="n"/>
    </row>
    <row r="9">
      <c r="A9" s="28" t="n"/>
      <c r="B9" s="29" t="n"/>
      <c r="C9" s="27" t="n"/>
      <c r="D9" s="27" t="n"/>
      <c r="E9" s="27" t="n"/>
      <c r="F9" s="27" t="n"/>
      <c r="G9" s="27" t="n"/>
      <c r="H9" s="27" t="n"/>
      <c r="I9" s="27" t="n"/>
      <c r="J9" s="25" t="n"/>
      <c r="K9" s="25" t="n"/>
      <c r="L9" s="25" t="n"/>
      <c r="M9" s="25" t="n"/>
      <c r="N9" s="33">
        <f>IF(AND(L9="",M9=""),"",(N(L9)*60+N(M9))/86400)</f>
        <v/>
      </c>
      <c r="O9" s="27" t="n"/>
      <c r="P9" s="27" t="n"/>
      <c r="Q9" s="27" t="n"/>
      <c r="R9" s="27" t="n"/>
      <c r="S9" s="27" t="n"/>
      <c r="T9" s="27" t="n"/>
      <c r="U9" s="28" t="n"/>
      <c r="V9" s="28" t="n"/>
      <c r="W9" s="32">
        <f>IF(LEN(R9)=0,"",IF(ISNUMBER(V9),"Closed",IF(AND(ISNUMBER(U9),U9&lt;TODAY()),"Overdue","Open")))</f>
        <v/>
      </c>
      <c r="X9" s="27" t="n"/>
      <c r="Y9" s="27" t="n"/>
    </row>
    <row r="10">
      <c r="A10" s="28" t="n"/>
      <c r="B10" s="29" t="n"/>
      <c r="C10" s="27" t="n"/>
      <c r="D10" s="27" t="n"/>
      <c r="E10" s="27" t="n"/>
      <c r="F10" s="27" t="n"/>
      <c r="G10" s="27" t="n"/>
      <c r="H10" s="27" t="n"/>
      <c r="I10" s="27" t="n"/>
      <c r="J10" s="25" t="n"/>
      <c r="K10" s="25" t="n"/>
      <c r="L10" s="25" t="n"/>
      <c r="M10" s="25" t="n"/>
      <c r="N10" s="33">
        <f>IF(AND(L10="",M10=""),"",(N(L10)*60+N(M10))/86400)</f>
        <v/>
      </c>
      <c r="O10" s="27" t="n"/>
      <c r="P10" s="27" t="n"/>
      <c r="Q10" s="27" t="n"/>
      <c r="R10" s="27" t="n"/>
      <c r="S10" s="27" t="n"/>
      <c r="T10" s="27" t="n"/>
      <c r="U10" s="28" t="n"/>
      <c r="V10" s="28" t="n"/>
      <c r="W10" s="32">
        <f>IF(LEN(R10)=0,"",IF(ISNUMBER(V10),"Closed",IF(AND(ISNUMBER(U10),U10&lt;TODAY()),"Overdue","Open")))</f>
        <v/>
      </c>
      <c r="X10" s="27" t="n"/>
      <c r="Y10" s="27" t="n"/>
    </row>
    <row r="11">
      <c r="A11" s="28" t="n"/>
      <c r="B11" s="29" t="n"/>
      <c r="C11" s="27" t="n"/>
      <c r="D11" s="27" t="n"/>
      <c r="E11" s="27" t="n"/>
      <c r="F11" s="27" t="n"/>
      <c r="G11" s="27" t="n"/>
      <c r="H11" s="27" t="n"/>
      <c r="I11" s="27" t="n"/>
      <c r="J11" s="25" t="n"/>
      <c r="K11" s="25" t="n"/>
      <c r="L11" s="25" t="n"/>
      <c r="M11" s="25" t="n"/>
      <c r="N11" s="33">
        <f>IF(AND(L11="",M11=""),"",(N(L11)*60+N(M11))/86400)</f>
        <v/>
      </c>
      <c r="O11" s="27" t="n"/>
      <c r="P11" s="27" t="n"/>
      <c r="Q11" s="27" t="n"/>
      <c r="R11" s="27" t="n"/>
      <c r="S11" s="27" t="n"/>
      <c r="T11" s="27" t="n"/>
      <c r="U11" s="28" t="n"/>
      <c r="V11" s="28" t="n"/>
      <c r="W11" s="32">
        <f>IF(LEN(R11)=0,"",IF(ISNUMBER(V11),"Closed",IF(AND(ISNUMBER(U11),U11&lt;TODAY()),"Overdue","Open")))</f>
        <v/>
      </c>
      <c r="X11" s="27" t="n"/>
      <c r="Y11" s="27" t="n"/>
    </row>
    <row r="12">
      <c r="A12" s="28" t="n"/>
      <c r="B12" s="29" t="n"/>
      <c r="C12" s="27" t="n"/>
      <c r="D12" s="27" t="n"/>
      <c r="E12" s="27" t="n"/>
      <c r="F12" s="27" t="n"/>
      <c r="G12" s="27" t="n"/>
      <c r="H12" s="27" t="n"/>
      <c r="I12" s="27" t="n"/>
      <c r="J12" s="25" t="n"/>
      <c r="K12" s="25" t="n"/>
      <c r="L12" s="25" t="n"/>
      <c r="M12" s="25" t="n"/>
      <c r="N12" s="33">
        <f>IF(AND(L12="",M12=""),"",(N(L12)*60+N(M12))/86400)</f>
        <v/>
      </c>
      <c r="O12" s="27" t="n"/>
      <c r="P12" s="27" t="n"/>
      <c r="Q12" s="27" t="n"/>
      <c r="R12" s="27" t="n"/>
      <c r="S12" s="27" t="n"/>
      <c r="T12" s="27" t="n"/>
      <c r="U12" s="28" t="n"/>
      <c r="V12" s="28" t="n"/>
      <c r="W12" s="32">
        <f>IF(LEN(R12)=0,"",IF(ISNUMBER(V12),"Closed",IF(AND(ISNUMBER(U12),U12&lt;TODAY()),"Overdue","Open")))</f>
        <v/>
      </c>
      <c r="X12" s="27" t="n"/>
      <c r="Y12" s="27" t="n"/>
    </row>
    <row r="13">
      <c r="A13" s="28" t="n"/>
      <c r="B13" s="29" t="n"/>
      <c r="C13" s="27" t="n"/>
      <c r="D13" s="27" t="n"/>
      <c r="E13" s="27" t="n"/>
      <c r="F13" s="27" t="n"/>
      <c r="G13" s="27" t="n"/>
      <c r="H13" s="27" t="n"/>
      <c r="I13" s="27" t="n"/>
      <c r="J13" s="25" t="n"/>
      <c r="K13" s="25" t="n"/>
      <c r="L13" s="25" t="n"/>
      <c r="M13" s="25" t="n"/>
      <c r="N13" s="33">
        <f>IF(AND(L13="",M13=""),"",(N(L13)*60+N(M13))/86400)</f>
        <v/>
      </c>
      <c r="O13" s="27" t="n"/>
      <c r="P13" s="27" t="n"/>
      <c r="Q13" s="27" t="n"/>
      <c r="R13" s="27" t="n"/>
      <c r="S13" s="27" t="n"/>
      <c r="T13" s="27" t="n"/>
      <c r="U13" s="28" t="n"/>
      <c r="V13" s="28" t="n"/>
      <c r="W13" s="32">
        <f>IF(LEN(R13)=0,"",IF(ISNUMBER(V13),"Closed",IF(AND(ISNUMBER(U13),U13&lt;TODAY()),"Overdue","Open")))</f>
        <v/>
      </c>
      <c r="X13" s="27" t="n"/>
      <c r="Y13" s="27" t="n"/>
    </row>
    <row r="14">
      <c r="A14" s="28" t="n"/>
      <c r="B14" s="29" t="n"/>
      <c r="C14" s="27" t="n"/>
      <c r="D14" s="27" t="n"/>
      <c r="E14" s="27" t="n"/>
      <c r="F14" s="27" t="n"/>
      <c r="G14" s="27" t="n"/>
      <c r="H14" s="27" t="n"/>
      <c r="I14" s="27" t="n"/>
      <c r="J14" s="25" t="n"/>
      <c r="K14" s="25" t="n"/>
      <c r="L14" s="25" t="n"/>
      <c r="M14" s="25" t="n"/>
      <c r="N14" s="33">
        <f>IF(AND(L14="",M14=""),"",(N(L14)*60+N(M14))/86400)</f>
        <v/>
      </c>
      <c r="O14" s="27" t="n"/>
      <c r="P14" s="27" t="n"/>
      <c r="Q14" s="27" t="n"/>
      <c r="R14" s="27" t="n"/>
      <c r="S14" s="27" t="n"/>
      <c r="T14" s="27" t="n"/>
      <c r="U14" s="28" t="n"/>
      <c r="V14" s="28" t="n"/>
      <c r="W14" s="32">
        <f>IF(LEN(R14)=0,"",IF(ISNUMBER(V14),"Closed",IF(AND(ISNUMBER(U14),U14&lt;TODAY()),"Overdue","Open")))</f>
        <v/>
      </c>
      <c r="X14" s="27" t="n"/>
      <c r="Y14" s="27" t="n"/>
    </row>
    <row r="15">
      <c r="A15" s="28" t="n"/>
      <c r="B15" s="29" t="n"/>
      <c r="C15" s="27" t="n"/>
      <c r="D15" s="27" t="n"/>
      <c r="E15" s="27" t="n"/>
      <c r="F15" s="27" t="n"/>
      <c r="G15" s="27" t="n"/>
      <c r="H15" s="27" t="n"/>
      <c r="I15" s="27" t="n"/>
      <c r="J15" s="25" t="n"/>
      <c r="K15" s="25" t="n"/>
      <c r="L15" s="25" t="n"/>
      <c r="M15" s="25" t="n"/>
      <c r="N15" s="33">
        <f>IF(AND(L15="",M15=""),"",(N(L15)*60+N(M15))/86400)</f>
        <v/>
      </c>
      <c r="O15" s="27" t="n"/>
      <c r="P15" s="27" t="n"/>
      <c r="Q15" s="27" t="n"/>
      <c r="R15" s="27" t="n"/>
      <c r="S15" s="27" t="n"/>
      <c r="T15" s="27" t="n"/>
      <c r="U15" s="28" t="n"/>
      <c r="V15" s="28" t="n"/>
      <c r="W15" s="32">
        <f>IF(LEN(R15)=0,"",IF(ISNUMBER(V15),"Closed",IF(AND(ISNUMBER(U15),U15&lt;TODAY()),"Overdue","Open")))</f>
        <v/>
      </c>
      <c r="X15" s="27" t="n"/>
      <c r="Y15" s="27" t="n"/>
    </row>
    <row r="16">
      <c r="A16" s="28" t="n"/>
      <c r="B16" s="29" t="n"/>
      <c r="C16" s="27" t="n"/>
      <c r="D16" s="27" t="n"/>
      <c r="E16" s="27" t="n"/>
      <c r="F16" s="27" t="n"/>
      <c r="G16" s="27" t="n"/>
      <c r="H16" s="27" t="n"/>
      <c r="I16" s="27" t="n"/>
      <c r="J16" s="25" t="n"/>
      <c r="K16" s="25" t="n"/>
      <c r="L16" s="25" t="n"/>
      <c r="M16" s="25" t="n"/>
      <c r="N16" s="33">
        <f>IF(AND(L16="",M16=""),"",(N(L16)*60+N(M16))/86400)</f>
        <v/>
      </c>
      <c r="O16" s="27" t="n"/>
      <c r="P16" s="27" t="n"/>
      <c r="Q16" s="27" t="n"/>
      <c r="R16" s="27" t="n"/>
      <c r="S16" s="27" t="n"/>
      <c r="T16" s="27" t="n"/>
      <c r="U16" s="28" t="n"/>
      <c r="V16" s="28" t="n"/>
      <c r="W16" s="32">
        <f>IF(LEN(R16)=0,"",IF(ISNUMBER(V16),"Closed",IF(AND(ISNUMBER(U16),U16&lt;TODAY()),"Overdue","Open")))</f>
        <v/>
      </c>
      <c r="X16" s="27" t="n"/>
      <c r="Y16" s="27" t="n"/>
    </row>
    <row r="17">
      <c r="A17" s="28" t="n"/>
      <c r="B17" s="29" t="n"/>
      <c r="C17" s="27" t="n"/>
      <c r="D17" s="27" t="n"/>
      <c r="E17" s="27" t="n"/>
      <c r="F17" s="27" t="n"/>
      <c r="G17" s="27" t="n"/>
      <c r="H17" s="27" t="n"/>
      <c r="I17" s="27" t="n"/>
      <c r="J17" s="25" t="n"/>
      <c r="K17" s="25" t="n"/>
      <c r="L17" s="25" t="n"/>
      <c r="M17" s="25" t="n"/>
      <c r="N17" s="33">
        <f>IF(AND(L17="",M17=""),"",(N(L17)*60+N(M17))/86400)</f>
        <v/>
      </c>
      <c r="O17" s="27" t="n"/>
      <c r="P17" s="27" t="n"/>
      <c r="Q17" s="27" t="n"/>
      <c r="R17" s="27" t="n"/>
      <c r="S17" s="27" t="n"/>
      <c r="T17" s="27" t="n"/>
      <c r="U17" s="28" t="n"/>
      <c r="V17" s="28" t="n"/>
      <c r="W17" s="32">
        <f>IF(LEN(R17)=0,"",IF(ISNUMBER(V17),"Closed",IF(AND(ISNUMBER(U17),U17&lt;TODAY()),"Overdue","Open")))</f>
        <v/>
      </c>
      <c r="X17" s="27" t="n"/>
      <c r="Y17" s="27" t="n"/>
    </row>
    <row r="18">
      <c r="A18" s="28" t="n"/>
      <c r="B18" s="29" t="n"/>
      <c r="C18" s="27" t="n"/>
      <c r="D18" s="27" t="n"/>
      <c r="E18" s="27" t="n"/>
      <c r="F18" s="27" t="n"/>
      <c r="G18" s="27" t="n"/>
      <c r="H18" s="27" t="n"/>
      <c r="I18" s="27" t="n"/>
      <c r="J18" s="25" t="n"/>
      <c r="K18" s="25" t="n"/>
      <c r="L18" s="25" t="n"/>
      <c r="M18" s="25" t="n"/>
      <c r="N18" s="33">
        <f>IF(AND(L18="",M18=""),"",(N(L18)*60+N(M18))/86400)</f>
        <v/>
      </c>
      <c r="O18" s="27" t="n"/>
      <c r="P18" s="27" t="n"/>
      <c r="Q18" s="27" t="n"/>
      <c r="R18" s="27" t="n"/>
      <c r="S18" s="27" t="n"/>
      <c r="T18" s="27" t="n"/>
      <c r="U18" s="28" t="n"/>
      <c r="V18" s="28" t="n"/>
      <c r="W18" s="32">
        <f>IF(LEN(R18)=0,"",IF(ISNUMBER(V18),"Closed",IF(AND(ISNUMBER(U18),U18&lt;TODAY()),"Overdue","Open")))</f>
        <v/>
      </c>
      <c r="X18" s="27" t="n"/>
      <c r="Y18" s="27" t="n"/>
    </row>
    <row r="19">
      <c r="A19" s="28" t="n"/>
      <c r="B19" s="29" t="n"/>
      <c r="C19" s="27" t="n"/>
      <c r="D19" s="27" t="n"/>
      <c r="E19" s="27" t="n"/>
      <c r="F19" s="27" t="n"/>
      <c r="G19" s="27" t="n"/>
      <c r="H19" s="27" t="n"/>
      <c r="I19" s="27" t="n"/>
      <c r="J19" s="25" t="n"/>
      <c r="K19" s="25" t="n"/>
      <c r="L19" s="25" t="n"/>
      <c r="M19" s="25" t="n"/>
      <c r="N19" s="33">
        <f>IF(AND(L19="",M19=""),"",(N(L19)*60+N(M19))/86400)</f>
        <v/>
      </c>
      <c r="O19" s="27" t="n"/>
      <c r="P19" s="27" t="n"/>
      <c r="Q19" s="27" t="n"/>
      <c r="R19" s="27" t="n"/>
      <c r="S19" s="27" t="n"/>
      <c r="T19" s="27" t="n"/>
      <c r="U19" s="28" t="n"/>
      <c r="V19" s="28" t="n"/>
      <c r="W19" s="32">
        <f>IF(LEN(R19)=0,"",IF(ISNUMBER(V19),"Closed",IF(AND(ISNUMBER(U19),U19&lt;TODAY()),"Overdue","Open")))</f>
        <v/>
      </c>
      <c r="X19" s="27" t="n"/>
      <c r="Y19" s="27" t="n"/>
    </row>
    <row r="20">
      <c r="A20" s="28" t="n"/>
      <c r="B20" s="29" t="n"/>
      <c r="C20" s="27" t="n"/>
      <c r="D20" s="27" t="n"/>
      <c r="E20" s="27" t="n"/>
      <c r="F20" s="27" t="n"/>
      <c r="G20" s="27" t="n"/>
      <c r="H20" s="27" t="n"/>
      <c r="I20" s="27" t="n"/>
      <c r="J20" s="25" t="n"/>
      <c r="K20" s="25" t="n"/>
      <c r="L20" s="25" t="n"/>
      <c r="M20" s="25" t="n"/>
      <c r="N20" s="33">
        <f>IF(AND(L20="",M20=""),"",(N(L20)*60+N(M20))/86400)</f>
        <v/>
      </c>
      <c r="O20" s="27" t="n"/>
      <c r="P20" s="27" t="n"/>
      <c r="Q20" s="27" t="n"/>
      <c r="R20" s="27" t="n"/>
      <c r="S20" s="27" t="n"/>
      <c r="T20" s="27" t="n"/>
      <c r="U20" s="28" t="n"/>
      <c r="V20" s="28" t="n"/>
      <c r="W20" s="32">
        <f>IF(LEN(R20)=0,"",IF(ISNUMBER(V20),"Closed",IF(AND(ISNUMBER(U20),U20&lt;TODAY()),"Overdue","Open")))</f>
        <v/>
      </c>
      <c r="X20" s="27" t="n"/>
      <c r="Y20" s="27" t="n"/>
    </row>
    <row r="21">
      <c r="A21" s="28" t="n"/>
      <c r="B21" s="29" t="n"/>
      <c r="C21" s="27" t="n"/>
      <c r="D21" s="27" t="n"/>
      <c r="E21" s="27" t="n"/>
      <c r="F21" s="27" t="n"/>
      <c r="G21" s="27" t="n"/>
      <c r="H21" s="27" t="n"/>
      <c r="I21" s="27" t="n"/>
      <c r="J21" s="25" t="n"/>
      <c r="K21" s="25" t="n"/>
      <c r="L21" s="25" t="n"/>
      <c r="M21" s="25" t="n"/>
      <c r="N21" s="33">
        <f>IF(AND(L21="",M21=""),"",(N(L21)*60+N(M21))/86400)</f>
        <v/>
      </c>
      <c r="O21" s="27" t="n"/>
      <c r="P21" s="27" t="n"/>
      <c r="Q21" s="27" t="n"/>
      <c r="R21" s="27" t="n"/>
      <c r="S21" s="27" t="n"/>
      <c r="T21" s="27" t="n"/>
      <c r="U21" s="28" t="n"/>
      <c r="V21" s="28" t="n"/>
      <c r="W21" s="32">
        <f>IF(LEN(R21)=0,"",IF(ISNUMBER(V21),"Closed",IF(AND(ISNUMBER(U21),U21&lt;TODAY()),"Overdue","Open")))</f>
        <v/>
      </c>
      <c r="X21" s="27" t="n"/>
      <c r="Y21" s="27" t="n"/>
    </row>
    <row r="22">
      <c r="A22" s="28" t="n"/>
      <c r="B22" s="29" t="n"/>
      <c r="C22" s="27" t="n"/>
      <c r="D22" s="27" t="n"/>
      <c r="E22" s="27" t="n"/>
      <c r="F22" s="27" t="n"/>
      <c r="G22" s="27" t="n"/>
      <c r="H22" s="27" t="n"/>
      <c r="I22" s="27" t="n"/>
      <c r="J22" s="25" t="n"/>
      <c r="K22" s="25" t="n"/>
      <c r="L22" s="25" t="n"/>
      <c r="M22" s="25" t="n"/>
      <c r="N22" s="33">
        <f>IF(AND(L22="",M22=""),"",(N(L22)*60+N(M22))/86400)</f>
        <v/>
      </c>
      <c r="O22" s="27" t="n"/>
      <c r="P22" s="27" t="n"/>
      <c r="Q22" s="27" t="n"/>
      <c r="R22" s="27" t="n"/>
      <c r="S22" s="27" t="n"/>
      <c r="T22" s="27" t="n"/>
      <c r="U22" s="28" t="n"/>
      <c r="V22" s="28" t="n"/>
      <c r="W22" s="32">
        <f>IF(LEN(R22)=0,"",IF(ISNUMBER(V22),"Closed",IF(AND(ISNUMBER(U22),U22&lt;TODAY()),"Overdue","Open")))</f>
        <v/>
      </c>
      <c r="X22" s="27" t="n"/>
      <c r="Y22" s="27" t="n"/>
    </row>
    <row r="23">
      <c r="A23" s="28" t="n"/>
      <c r="B23" s="29" t="n"/>
      <c r="C23" s="27" t="n"/>
      <c r="D23" s="27" t="n"/>
      <c r="E23" s="27" t="n"/>
      <c r="F23" s="27" t="n"/>
      <c r="G23" s="27" t="n"/>
      <c r="H23" s="27" t="n"/>
      <c r="I23" s="27" t="n"/>
      <c r="J23" s="25" t="n"/>
      <c r="K23" s="25" t="n"/>
      <c r="L23" s="25" t="n"/>
      <c r="M23" s="25" t="n"/>
      <c r="N23" s="33">
        <f>IF(AND(L23="",M23=""),"",(N(L23)*60+N(M23))/86400)</f>
        <v/>
      </c>
      <c r="O23" s="27" t="n"/>
      <c r="P23" s="27" t="n"/>
      <c r="Q23" s="27" t="n"/>
      <c r="R23" s="27" t="n"/>
      <c r="S23" s="27" t="n"/>
      <c r="T23" s="27" t="n"/>
      <c r="U23" s="28" t="n"/>
      <c r="V23" s="28" t="n"/>
      <c r="W23" s="32">
        <f>IF(LEN(R23)=0,"",IF(ISNUMBER(V23),"Closed",IF(AND(ISNUMBER(U23),U23&lt;TODAY()),"Overdue","Open")))</f>
        <v/>
      </c>
      <c r="X23" s="27" t="n"/>
      <c r="Y23" s="27" t="n"/>
    </row>
    <row r="24">
      <c r="A24" s="28" t="n"/>
      <c r="B24" s="29" t="n"/>
      <c r="C24" s="27" t="n"/>
      <c r="D24" s="27" t="n"/>
      <c r="E24" s="27" t="n"/>
      <c r="F24" s="27" t="n"/>
      <c r="G24" s="27" t="n"/>
      <c r="H24" s="27" t="n"/>
      <c r="I24" s="27" t="n"/>
      <c r="J24" s="25" t="n"/>
      <c r="K24" s="25" t="n"/>
      <c r="L24" s="25" t="n"/>
      <c r="M24" s="25" t="n"/>
      <c r="N24" s="33">
        <f>IF(AND(L24="",M24=""),"",(N(L24)*60+N(M24))/86400)</f>
        <v/>
      </c>
      <c r="O24" s="27" t="n"/>
      <c r="P24" s="27" t="n"/>
      <c r="Q24" s="27" t="n"/>
      <c r="R24" s="27" t="n"/>
      <c r="S24" s="27" t="n"/>
      <c r="T24" s="27" t="n"/>
      <c r="U24" s="28" t="n"/>
      <c r="V24" s="28" t="n"/>
      <c r="W24" s="32">
        <f>IF(LEN(R24)=0,"",IF(ISNUMBER(V24),"Closed",IF(AND(ISNUMBER(U24),U24&lt;TODAY()),"Overdue","Open")))</f>
        <v/>
      </c>
      <c r="X24" s="27" t="n"/>
      <c r="Y24" s="27" t="n"/>
    </row>
    <row r="25">
      <c r="A25" s="28" t="n"/>
      <c r="B25" s="29" t="n"/>
      <c r="C25" s="27" t="n"/>
      <c r="D25" s="27" t="n"/>
      <c r="E25" s="27" t="n"/>
      <c r="F25" s="27" t="n"/>
      <c r="G25" s="27" t="n"/>
      <c r="H25" s="27" t="n"/>
      <c r="I25" s="27" t="n"/>
      <c r="J25" s="25" t="n"/>
      <c r="K25" s="25" t="n"/>
      <c r="L25" s="25" t="n"/>
      <c r="M25" s="25" t="n"/>
      <c r="N25" s="33">
        <f>IF(AND(L25="",M25=""),"",(N(L25)*60+N(M25))/86400)</f>
        <v/>
      </c>
      <c r="O25" s="27" t="n"/>
      <c r="P25" s="27" t="n"/>
      <c r="Q25" s="27" t="n"/>
      <c r="R25" s="27" t="n"/>
      <c r="S25" s="27" t="n"/>
      <c r="T25" s="27" t="n"/>
      <c r="U25" s="28" t="n"/>
      <c r="V25" s="28" t="n"/>
      <c r="W25" s="32">
        <f>IF(LEN(R25)=0,"",IF(ISNUMBER(V25),"Closed",IF(AND(ISNUMBER(U25),U25&lt;TODAY()),"Overdue","Open")))</f>
        <v/>
      </c>
      <c r="X25" s="27" t="n"/>
      <c r="Y25" s="27" t="n"/>
    </row>
    <row r="26">
      <c r="A26" s="28" t="n"/>
      <c r="B26" s="29" t="n"/>
      <c r="C26" s="27" t="n"/>
      <c r="D26" s="27" t="n"/>
      <c r="E26" s="27" t="n"/>
      <c r="F26" s="27" t="n"/>
      <c r="G26" s="27" t="n"/>
      <c r="H26" s="27" t="n"/>
      <c r="I26" s="27" t="n"/>
      <c r="J26" s="25" t="n"/>
      <c r="K26" s="25" t="n"/>
      <c r="L26" s="25" t="n"/>
      <c r="M26" s="25" t="n"/>
      <c r="N26" s="33">
        <f>IF(AND(L26="",M26=""),"",(N(L26)*60+N(M26))/86400)</f>
        <v/>
      </c>
      <c r="O26" s="27" t="n"/>
      <c r="P26" s="27" t="n"/>
      <c r="Q26" s="27" t="n"/>
      <c r="R26" s="27" t="n"/>
      <c r="S26" s="27" t="n"/>
      <c r="T26" s="27" t="n"/>
      <c r="U26" s="28" t="n"/>
      <c r="V26" s="28" t="n"/>
      <c r="W26" s="32">
        <f>IF(LEN(R26)=0,"",IF(ISNUMBER(V26),"Closed",IF(AND(ISNUMBER(U26),U26&lt;TODAY()),"Overdue","Open")))</f>
        <v/>
      </c>
      <c r="X26" s="27" t="n"/>
      <c r="Y26" s="27" t="n"/>
    </row>
    <row r="27">
      <c r="A27" s="28" t="n"/>
      <c r="B27" s="29" t="n"/>
      <c r="C27" s="27" t="n"/>
      <c r="D27" s="27" t="n"/>
      <c r="E27" s="27" t="n"/>
      <c r="F27" s="27" t="n"/>
      <c r="G27" s="27" t="n"/>
      <c r="H27" s="27" t="n"/>
      <c r="I27" s="27" t="n"/>
      <c r="J27" s="25" t="n"/>
      <c r="K27" s="25" t="n"/>
      <c r="L27" s="25" t="n"/>
      <c r="M27" s="25" t="n"/>
      <c r="N27" s="33">
        <f>IF(AND(L27="",M27=""),"",(N(L27)*60+N(M27))/86400)</f>
        <v/>
      </c>
      <c r="O27" s="27" t="n"/>
      <c r="P27" s="27" t="n"/>
      <c r="Q27" s="27" t="n"/>
      <c r="R27" s="27" t="n"/>
      <c r="S27" s="27" t="n"/>
      <c r="T27" s="27" t="n"/>
      <c r="U27" s="28" t="n"/>
      <c r="V27" s="28" t="n"/>
      <c r="W27" s="32">
        <f>IF(LEN(R27)=0,"",IF(ISNUMBER(V27),"Closed",IF(AND(ISNUMBER(U27),U27&lt;TODAY()),"Overdue","Open")))</f>
        <v/>
      </c>
      <c r="X27" s="27" t="n"/>
      <c r="Y27" s="27" t="n"/>
    </row>
    <row r="28">
      <c r="A28" s="28" t="n"/>
      <c r="B28" s="29" t="n"/>
      <c r="C28" s="27" t="n"/>
      <c r="D28" s="27" t="n"/>
      <c r="E28" s="27" t="n"/>
      <c r="F28" s="27" t="n"/>
      <c r="G28" s="27" t="n"/>
      <c r="H28" s="27" t="n"/>
      <c r="I28" s="27" t="n"/>
      <c r="J28" s="25" t="n"/>
      <c r="K28" s="25" t="n"/>
      <c r="L28" s="25" t="n"/>
      <c r="M28" s="25" t="n"/>
      <c r="N28" s="33">
        <f>IF(AND(L28="",M28=""),"",(N(L28)*60+N(M28))/86400)</f>
        <v/>
      </c>
      <c r="O28" s="27" t="n"/>
      <c r="P28" s="27" t="n"/>
      <c r="Q28" s="27" t="n"/>
      <c r="R28" s="27" t="n"/>
      <c r="S28" s="27" t="n"/>
      <c r="T28" s="27" t="n"/>
      <c r="U28" s="28" t="n"/>
      <c r="V28" s="28" t="n"/>
      <c r="W28" s="32">
        <f>IF(LEN(R28)=0,"",IF(ISNUMBER(V28),"Closed",IF(AND(ISNUMBER(U28),U28&lt;TODAY()),"Overdue","Open")))</f>
        <v/>
      </c>
      <c r="X28" s="27" t="n"/>
      <c r="Y28" s="27" t="n"/>
    </row>
    <row r="29">
      <c r="A29" s="28" t="n"/>
      <c r="B29" s="29" t="n"/>
      <c r="C29" s="27" t="n"/>
      <c r="D29" s="27" t="n"/>
      <c r="E29" s="27" t="n"/>
      <c r="F29" s="27" t="n"/>
      <c r="G29" s="27" t="n"/>
      <c r="H29" s="27" t="n"/>
      <c r="I29" s="27" t="n"/>
      <c r="J29" s="25" t="n"/>
      <c r="K29" s="25" t="n"/>
      <c r="L29" s="25" t="n"/>
      <c r="M29" s="25" t="n"/>
      <c r="N29" s="33">
        <f>IF(AND(L29="",M29=""),"",(N(L29)*60+N(M29))/86400)</f>
        <v/>
      </c>
      <c r="O29" s="27" t="n"/>
      <c r="P29" s="27" t="n"/>
      <c r="Q29" s="27" t="n"/>
      <c r="R29" s="27" t="n"/>
      <c r="S29" s="27" t="n"/>
      <c r="T29" s="27" t="n"/>
      <c r="U29" s="28" t="n"/>
      <c r="V29" s="28" t="n"/>
      <c r="W29" s="32">
        <f>IF(LEN(R29)=0,"",IF(ISNUMBER(V29),"Closed",IF(AND(ISNUMBER(U29),U29&lt;TODAY()),"Overdue","Open")))</f>
        <v/>
      </c>
      <c r="X29" s="27" t="n"/>
      <c r="Y29" s="27" t="n"/>
    </row>
    <row r="30">
      <c r="A30" s="28" t="n"/>
      <c r="B30" s="29" t="n"/>
      <c r="C30" s="27" t="n"/>
      <c r="D30" s="27" t="n"/>
      <c r="E30" s="27" t="n"/>
      <c r="F30" s="27" t="n"/>
      <c r="G30" s="27" t="n"/>
      <c r="H30" s="27" t="n"/>
      <c r="I30" s="27" t="n"/>
      <c r="J30" s="25" t="n"/>
      <c r="K30" s="25" t="n"/>
      <c r="L30" s="25" t="n"/>
      <c r="M30" s="25" t="n"/>
      <c r="N30" s="33">
        <f>IF(AND(L30="",M30=""),"",(N(L30)*60+N(M30))/86400)</f>
        <v/>
      </c>
      <c r="O30" s="27" t="n"/>
      <c r="P30" s="27" t="n"/>
      <c r="Q30" s="27" t="n"/>
      <c r="R30" s="27" t="n"/>
      <c r="S30" s="27" t="n"/>
      <c r="T30" s="27" t="n"/>
      <c r="U30" s="28" t="n"/>
      <c r="V30" s="28" t="n"/>
      <c r="W30" s="32">
        <f>IF(LEN(R30)=0,"",IF(ISNUMBER(V30),"Closed",IF(AND(ISNUMBER(U30),U30&lt;TODAY()),"Overdue","Open")))</f>
        <v/>
      </c>
      <c r="X30" s="27" t="n"/>
      <c r="Y30" s="27" t="n"/>
    </row>
    <row r="31">
      <c r="A31" s="28" t="n"/>
      <c r="B31" s="29" t="n"/>
      <c r="C31" s="27" t="n"/>
      <c r="D31" s="27" t="n"/>
      <c r="E31" s="27" t="n"/>
      <c r="F31" s="27" t="n"/>
      <c r="G31" s="27" t="n"/>
      <c r="H31" s="27" t="n"/>
      <c r="I31" s="27" t="n"/>
      <c r="J31" s="25" t="n"/>
      <c r="K31" s="25" t="n"/>
      <c r="L31" s="25" t="n"/>
      <c r="M31" s="25" t="n"/>
      <c r="N31" s="33">
        <f>IF(AND(L31="",M31=""),"",(N(L31)*60+N(M31))/86400)</f>
        <v/>
      </c>
      <c r="O31" s="27" t="n"/>
      <c r="P31" s="27" t="n"/>
      <c r="Q31" s="27" t="n"/>
      <c r="R31" s="27" t="n"/>
      <c r="S31" s="27" t="n"/>
      <c r="T31" s="27" t="n"/>
      <c r="U31" s="28" t="n"/>
      <c r="V31" s="28" t="n"/>
      <c r="W31" s="32">
        <f>IF(LEN(R31)=0,"",IF(ISNUMBER(V31),"Closed",IF(AND(ISNUMBER(U31),U31&lt;TODAY()),"Overdue","Open")))</f>
        <v/>
      </c>
      <c r="X31" s="27" t="n"/>
      <c r="Y31" s="27" t="n"/>
    </row>
    <row r="32">
      <c r="A32" s="28" t="n"/>
      <c r="B32" s="29" t="n"/>
      <c r="C32" s="27" t="n"/>
      <c r="D32" s="27" t="n"/>
      <c r="E32" s="27" t="n"/>
      <c r="F32" s="27" t="n"/>
      <c r="G32" s="27" t="n"/>
      <c r="H32" s="27" t="n"/>
      <c r="I32" s="27" t="n"/>
      <c r="J32" s="25" t="n"/>
      <c r="K32" s="25" t="n"/>
      <c r="L32" s="25" t="n"/>
      <c r="M32" s="25" t="n"/>
      <c r="N32" s="33">
        <f>IF(AND(L32="",M32=""),"",(N(L32)*60+N(M32))/86400)</f>
        <v/>
      </c>
      <c r="O32" s="27" t="n"/>
      <c r="P32" s="27" t="n"/>
      <c r="Q32" s="27" t="n"/>
      <c r="R32" s="27" t="n"/>
      <c r="S32" s="27" t="n"/>
      <c r="T32" s="27" t="n"/>
      <c r="U32" s="28" t="n"/>
      <c r="V32" s="28" t="n"/>
      <c r="W32" s="32">
        <f>IF(LEN(R32)=0,"",IF(ISNUMBER(V32),"Closed",IF(AND(ISNUMBER(U32),U32&lt;TODAY()),"Overdue","Open")))</f>
        <v/>
      </c>
      <c r="X32" s="27" t="n"/>
      <c r="Y32" s="27" t="n"/>
    </row>
    <row r="33">
      <c r="A33" s="28" t="n"/>
      <c r="B33" s="29" t="n"/>
      <c r="C33" s="27" t="n"/>
      <c r="D33" s="27" t="n"/>
      <c r="E33" s="27" t="n"/>
      <c r="F33" s="27" t="n"/>
      <c r="G33" s="27" t="n"/>
      <c r="H33" s="27" t="n"/>
      <c r="I33" s="27" t="n"/>
      <c r="J33" s="25" t="n"/>
      <c r="K33" s="25" t="n"/>
      <c r="L33" s="25" t="n"/>
      <c r="M33" s="25" t="n"/>
      <c r="N33" s="33">
        <f>IF(AND(L33="",M33=""),"",(N(L33)*60+N(M33))/86400)</f>
        <v/>
      </c>
      <c r="O33" s="27" t="n"/>
      <c r="P33" s="27" t="n"/>
      <c r="Q33" s="27" t="n"/>
      <c r="R33" s="27" t="n"/>
      <c r="S33" s="27" t="n"/>
      <c r="T33" s="27" t="n"/>
      <c r="U33" s="28" t="n"/>
      <c r="V33" s="28" t="n"/>
      <c r="W33" s="32">
        <f>IF(LEN(R33)=0,"",IF(ISNUMBER(V33),"Closed",IF(AND(ISNUMBER(U33),U33&lt;TODAY()),"Overdue","Open")))</f>
        <v/>
      </c>
      <c r="X33" s="27" t="n"/>
      <c r="Y33" s="27" t="n"/>
    </row>
    <row r="34">
      <c r="A34" s="28" t="n"/>
      <c r="B34" s="29" t="n"/>
      <c r="C34" s="27" t="n"/>
      <c r="D34" s="27" t="n"/>
      <c r="E34" s="27" t="n"/>
      <c r="F34" s="27" t="n"/>
      <c r="G34" s="27" t="n"/>
      <c r="H34" s="27" t="n"/>
      <c r="I34" s="27" t="n"/>
      <c r="J34" s="25" t="n"/>
      <c r="K34" s="25" t="n"/>
      <c r="L34" s="25" t="n"/>
      <c r="M34" s="25" t="n"/>
      <c r="N34" s="33">
        <f>IF(AND(L34="",M34=""),"",(N(L34)*60+N(M34))/86400)</f>
        <v/>
      </c>
      <c r="O34" s="27" t="n"/>
      <c r="P34" s="27" t="n"/>
      <c r="Q34" s="27" t="n"/>
      <c r="R34" s="27" t="n"/>
      <c r="S34" s="27" t="n"/>
      <c r="T34" s="27" t="n"/>
      <c r="U34" s="28" t="n"/>
      <c r="V34" s="28" t="n"/>
      <c r="W34" s="32">
        <f>IF(LEN(R34)=0,"",IF(ISNUMBER(V34),"Closed",IF(AND(ISNUMBER(U34),U34&lt;TODAY()),"Overdue","Open")))</f>
        <v/>
      </c>
      <c r="X34" s="27" t="n"/>
      <c r="Y34" s="27" t="n"/>
    </row>
    <row r="35">
      <c r="A35" s="28" t="n"/>
      <c r="B35" s="29" t="n"/>
      <c r="C35" s="27" t="n"/>
      <c r="D35" s="27" t="n"/>
      <c r="E35" s="27" t="n"/>
      <c r="F35" s="27" t="n"/>
      <c r="G35" s="27" t="n"/>
      <c r="H35" s="27" t="n"/>
      <c r="I35" s="27" t="n"/>
      <c r="J35" s="25" t="n"/>
      <c r="K35" s="25" t="n"/>
      <c r="L35" s="25" t="n"/>
      <c r="M35" s="25" t="n"/>
      <c r="N35" s="33">
        <f>IF(AND(L35="",M35=""),"",(N(L35)*60+N(M35))/86400)</f>
        <v/>
      </c>
      <c r="O35" s="27" t="n"/>
      <c r="P35" s="27" t="n"/>
      <c r="Q35" s="27" t="n"/>
      <c r="R35" s="27" t="n"/>
      <c r="S35" s="27" t="n"/>
      <c r="T35" s="27" t="n"/>
      <c r="U35" s="28" t="n"/>
      <c r="V35" s="28" t="n"/>
      <c r="W35" s="32">
        <f>IF(LEN(R35)=0,"",IF(ISNUMBER(V35),"Closed",IF(AND(ISNUMBER(U35),U35&lt;TODAY()),"Overdue","Open")))</f>
        <v/>
      </c>
      <c r="X35" s="27" t="n"/>
      <c r="Y35" s="27" t="n"/>
    </row>
    <row r="36">
      <c r="A36" s="28" t="n"/>
      <c r="B36" s="29" t="n"/>
      <c r="C36" s="27" t="n"/>
      <c r="D36" s="27" t="n"/>
      <c r="E36" s="27" t="n"/>
      <c r="F36" s="27" t="n"/>
      <c r="G36" s="27" t="n"/>
      <c r="H36" s="27" t="n"/>
      <c r="I36" s="27" t="n"/>
      <c r="J36" s="25" t="n"/>
      <c r="K36" s="25" t="n"/>
      <c r="L36" s="25" t="n"/>
      <c r="M36" s="25" t="n"/>
      <c r="N36" s="33">
        <f>IF(AND(L36="",M36=""),"",(N(L36)*60+N(M36))/86400)</f>
        <v/>
      </c>
      <c r="O36" s="27" t="n"/>
      <c r="P36" s="27" t="n"/>
      <c r="Q36" s="27" t="n"/>
      <c r="R36" s="27" t="n"/>
      <c r="S36" s="27" t="n"/>
      <c r="T36" s="27" t="n"/>
      <c r="U36" s="28" t="n"/>
      <c r="V36" s="28" t="n"/>
      <c r="W36" s="32">
        <f>IF(LEN(R36)=0,"",IF(ISNUMBER(V36),"Closed",IF(AND(ISNUMBER(U36),U36&lt;TODAY()),"Overdue","Open")))</f>
        <v/>
      </c>
      <c r="X36" s="27" t="n"/>
      <c r="Y36" s="27" t="n"/>
    </row>
    <row r="37">
      <c r="A37" s="28" t="n"/>
      <c r="B37" s="29" t="n"/>
      <c r="C37" s="27" t="n"/>
      <c r="D37" s="27" t="n"/>
      <c r="E37" s="27" t="n"/>
      <c r="F37" s="27" t="n"/>
      <c r="G37" s="27" t="n"/>
      <c r="H37" s="27" t="n"/>
      <c r="I37" s="27" t="n"/>
      <c r="J37" s="25" t="n"/>
      <c r="K37" s="25" t="n"/>
      <c r="L37" s="25" t="n"/>
      <c r="M37" s="25" t="n"/>
      <c r="N37" s="33">
        <f>IF(AND(L37="",M37=""),"",(N(L37)*60+N(M37))/86400)</f>
        <v/>
      </c>
      <c r="O37" s="27" t="n"/>
      <c r="P37" s="27" t="n"/>
      <c r="Q37" s="27" t="n"/>
      <c r="R37" s="27" t="n"/>
      <c r="S37" s="27" t="n"/>
      <c r="T37" s="27" t="n"/>
      <c r="U37" s="28" t="n"/>
      <c r="V37" s="28" t="n"/>
      <c r="W37" s="32">
        <f>IF(LEN(R37)=0,"",IF(ISNUMBER(V37),"Closed",IF(AND(ISNUMBER(U37),U37&lt;TODAY()),"Overdue","Open")))</f>
        <v/>
      </c>
      <c r="X37" s="27" t="n"/>
      <c r="Y37" s="27" t="n"/>
    </row>
    <row r="38">
      <c r="A38" s="28" t="n"/>
      <c r="B38" s="29" t="n"/>
      <c r="C38" s="27" t="n"/>
      <c r="D38" s="27" t="n"/>
      <c r="E38" s="27" t="n"/>
      <c r="F38" s="27" t="n"/>
      <c r="G38" s="27" t="n"/>
      <c r="H38" s="27" t="n"/>
      <c r="I38" s="27" t="n"/>
      <c r="J38" s="25" t="n"/>
      <c r="K38" s="25" t="n"/>
      <c r="L38" s="25" t="n"/>
      <c r="M38" s="25" t="n"/>
      <c r="N38" s="33">
        <f>IF(AND(L38="",M38=""),"",(N(L38)*60+N(M38))/86400)</f>
        <v/>
      </c>
      <c r="O38" s="27" t="n"/>
      <c r="P38" s="27" t="n"/>
      <c r="Q38" s="27" t="n"/>
      <c r="R38" s="27" t="n"/>
      <c r="S38" s="27" t="n"/>
      <c r="T38" s="27" t="n"/>
      <c r="U38" s="28" t="n"/>
      <c r="V38" s="28" t="n"/>
      <c r="W38" s="32">
        <f>IF(LEN(R38)=0,"",IF(ISNUMBER(V38),"Closed",IF(AND(ISNUMBER(U38),U38&lt;TODAY()),"Overdue","Open")))</f>
        <v/>
      </c>
      <c r="X38" s="27" t="n"/>
      <c r="Y38" s="27" t="n"/>
    </row>
    <row r="39">
      <c r="A39" s="28" t="n"/>
      <c r="B39" s="29" t="n"/>
      <c r="C39" s="27" t="n"/>
      <c r="D39" s="27" t="n"/>
      <c r="E39" s="27" t="n"/>
      <c r="F39" s="27" t="n"/>
      <c r="G39" s="27" t="n"/>
      <c r="H39" s="27" t="n"/>
      <c r="I39" s="27" t="n"/>
      <c r="J39" s="25" t="n"/>
      <c r="K39" s="25" t="n"/>
      <c r="L39" s="25" t="n"/>
      <c r="M39" s="25" t="n"/>
      <c r="N39" s="33">
        <f>IF(AND(L39="",M39=""),"",(N(L39)*60+N(M39))/86400)</f>
        <v/>
      </c>
      <c r="O39" s="27" t="n"/>
      <c r="P39" s="27" t="n"/>
      <c r="Q39" s="27" t="n"/>
      <c r="R39" s="27" t="n"/>
      <c r="S39" s="27" t="n"/>
      <c r="T39" s="27" t="n"/>
      <c r="U39" s="28" t="n"/>
      <c r="V39" s="28" t="n"/>
      <c r="W39" s="32">
        <f>IF(LEN(R39)=0,"",IF(ISNUMBER(V39),"Closed",IF(AND(ISNUMBER(U39),U39&lt;TODAY()),"Overdue","Open")))</f>
        <v/>
      </c>
      <c r="X39" s="27" t="n"/>
      <c r="Y39" s="27" t="n"/>
    </row>
    <row r="40">
      <c r="A40" s="28" t="n"/>
      <c r="B40" s="29" t="n"/>
      <c r="C40" s="27" t="n"/>
      <c r="D40" s="27" t="n"/>
      <c r="E40" s="27" t="n"/>
      <c r="F40" s="27" t="n"/>
      <c r="G40" s="27" t="n"/>
      <c r="H40" s="27" t="n"/>
      <c r="I40" s="27" t="n"/>
      <c r="J40" s="25" t="n"/>
      <c r="K40" s="25" t="n"/>
      <c r="L40" s="25" t="n"/>
      <c r="M40" s="25" t="n"/>
      <c r="N40" s="33">
        <f>IF(AND(L40="",M40=""),"",(N(L40)*60+N(M40))/86400)</f>
        <v/>
      </c>
      <c r="O40" s="27" t="n"/>
      <c r="P40" s="27" t="n"/>
      <c r="Q40" s="27" t="n"/>
      <c r="R40" s="27" t="n"/>
      <c r="S40" s="27" t="n"/>
      <c r="T40" s="27" t="n"/>
      <c r="U40" s="28" t="n"/>
      <c r="V40" s="28" t="n"/>
      <c r="W40" s="32">
        <f>IF(LEN(R40)=0,"",IF(ISNUMBER(V40),"Closed",IF(AND(ISNUMBER(U40),U40&lt;TODAY()),"Overdue","Open")))</f>
        <v/>
      </c>
      <c r="X40" s="27" t="n"/>
      <c r="Y40" s="27" t="n"/>
    </row>
    <row r="41">
      <c r="A41" s="28" t="n"/>
      <c r="B41" s="29" t="n"/>
      <c r="C41" s="27" t="n"/>
      <c r="D41" s="27" t="n"/>
      <c r="E41" s="27" t="n"/>
      <c r="F41" s="27" t="n"/>
      <c r="G41" s="27" t="n"/>
      <c r="H41" s="27" t="n"/>
      <c r="I41" s="27" t="n"/>
      <c r="J41" s="25" t="n"/>
      <c r="K41" s="25" t="n"/>
      <c r="L41" s="25" t="n"/>
      <c r="M41" s="25" t="n"/>
      <c r="N41" s="33">
        <f>IF(AND(L41="",M41=""),"",(N(L41)*60+N(M41))/86400)</f>
        <v/>
      </c>
      <c r="O41" s="27" t="n"/>
      <c r="P41" s="27" t="n"/>
      <c r="Q41" s="27" t="n"/>
      <c r="R41" s="27" t="n"/>
      <c r="S41" s="27" t="n"/>
      <c r="T41" s="27" t="n"/>
      <c r="U41" s="28" t="n"/>
      <c r="V41" s="28" t="n"/>
      <c r="W41" s="32">
        <f>IF(LEN(R41)=0,"",IF(ISNUMBER(V41),"Closed",IF(AND(ISNUMBER(U41),U41&lt;TODAY()),"Overdue","Open")))</f>
        <v/>
      </c>
      <c r="X41" s="27" t="n"/>
      <c r="Y41" s="27" t="n"/>
    </row>
    <row r="42">
      <c r="A42" s="28" t="n"/>
      <c r="B42" s="29" t="n"/>
      <c r="C42" s="27" t="n"/>
      <c r="D42" s="27" t="n"/>
      <c r="E42" s="27" t="n"/>
      <c r="F42" s="27" t="n"/>
      <c r="G42" s="27" t="n"/>
      <c r="H42" s="27" t="n"/>
      <c r="I42" s="27" t="n"/>
      <c r="J42" s="25" t="n"/>
      <c r="K42" s="25" t="n"/>
      <c r="L42" s="25" t="n"/>
      <c r="M42" s="25" t="n"/>
      <c r="N42" s="33">
        <f>IF(AND(L42="",M42=""),"",(N(L42)*60+N(M42))/86400)</f>
        <v/>
      </c>
      <c r="O42" s="27" t="n"/>
      <c r="P42" s="27" t="n"/>
      <c r="Q42" s="27" t="n"/>
      <c r="R42" s="27" t="n"/>
      <c r="S42" s="27" t="n"/>
      <c r="T42" s="27" t="n"/>
      <c r="U42" s="28" t="n"/>
      <c r="V42" s="28" t="n"/>
      <c r="W42" s="32">
        <f>IF(LEN(R42)=0,"",IF(ISNUMBER(V42),"Closed",IF(AND(ISNUMBER(U42),U42&lt;TODAY()),"Overdue","Open")))</f>
        <v/>
      </c>
      <c r="X42" s="27" t="n"/>
      <c r="Y42" s="27" t="n"/>
    </row>
    <row r="43">
      <c r="A43" s="28" t="n"/>
      <c r="B43" s="29" t="n"/>
      <c r="C43" s="27" t="n"/>
      <c r="D43" s="27" t="n"/>
      <c r="E43" s="27" t="n"/>
      <c r="F43" s="27" t="n"/>
      <c r="G43" s="27" t="n"/>
      <c r="H43" s="27" t="n"/>
      <c r="I43" s="27" t="n"/>
      <c r="J43" s="25" t="n"/>
      <c r="K43" s="25" t="n"/>
      <c r="L43" s="25" t="n"/>
      <c r="M43" s="25" t="n"/>
      <c r="N43" s="33">
        <f>IF(AND(L43="",M43=""),"",(N(L43)*60+N(M43))/86400)</f>
        <v/>
      </c>
      <c r="O43" s="27" t="n"/>
      <c r="P43" s="27" t="n"/>
      <c r="Q43" s="27" t="n"/>
      <c r="R43" s="27" t="n"/>
      <c r="S43" s="27" t="n"/>
      <c r="T43" s="27" t="n"/>
      <c r="U43" s="28" t="n"/>
      <c r="V43" s="28" t="n"/>
      <c r="W43" s="32">
        <f>IF(LEN(R43)=0,"",IF(ISNUMBER(V43),"Closed",IF(AND(ISNUMBER(U43),U43&lt;TODAY()),"Overdue","Open")))</f>
        <v/>
      </c>
      <c r="X43" s="27" t="n"/>
      <c r="Y43" s="27" t="n"/>
    </row>
    <row r="44">
      <c r="A44" s="28" t="n"/>
      <c r="B44" s="29" t="n"/>
      <c r="C44" s="27" t="n"/>
      <c r="D44" s="27" t="n"/>
      <c r="E44" s="27" t="n"/>
      <c r="F44" s="27" t="n"/>
      <c r="G44" s="27" t="n"/>
      <c r="H44" s="27" t="n"/>
      <c r="I44" s="27" t="n"/>
      <c r="J44" s="25" t="n"/>
      <c r="K44" s="25" t="n"/>
      <c r="L44" s="25" t="n"/>
      <c r="M44" s="25" t="n"/>
      <c r="N44" s="33">
        <f>IF(AND(L44="",M44=""),"",(N(L44)*60+N(M44))/86400)</f>
        <v/>
      </c>
      <c r="O44" s="27" t="n"/>
      <c r="P44" s="27" t="n"/>
      <c r="Q44" s="27" t="n"/>
      <c r="R44" s="27" t="n"/>
      <c r="S44" s="27" t="n"/>
      <c r="T44" s="27" t="n"/>
      <c r="U44" s="28" t="n"/>
      <c r="V44" s="28" t="n"/>
      <c r="W44" s="32">
        <f>IF(LEN(R44)=0,"",IF(ISNUMBER(V44),"Closed",IF(AND(ISNUMBER(U44),U44&lt;TODAY()),"Overdue","Open")))</f>
        <v/>
      </c>
      <c r="X44" s="27" t="n"/>
      <c r="Y44" s="27" t="n"/>
    </row>
    <row r="45">
      <c r="A45" s="28" t="n"/>
      <c r="B45" s="29" t="n"/>
      <c r="C45" s="27" t="n"/>
      <c r="D45" s="27" t="n"/>
      <c r="E45" s="27" t="n"/>
      <c r="F45" s="27" t="n"/>
      <c r="G45" s="27" t="n"/>
      <c r="H45" s="27" t="n"/>
      <c r="I45" s="27" t="n"/>
      <c r="J45" s="25" t="n"/>
      <c r="K45" s="25" t="n"/>
      <c r="L45" s="25" t="n"/>
      <c r="M45" s="25" t="n"/>
      <c r="N45" s="33">
        <f>IF(AND(L45="",M45=""),"",(N(L45)*60+N(M45))/86400)</f>
        <v/>
      </c>
      <c r="O45" s="27" t="n"/>
      <c r="P45" s="27" t="n"/>
      <c r="Q45" s="27" t="n"/>
      <c r="R45" s="27" t="n"/>
      <c r="S45" s="27" t="n"/>
      <c r="T45" s="27" t="n"/>
      <c r="U45" s="28" t="n"/>
      <c r="V45" s="28" t="n"/>
      <c r="W45" s="32">
        <f>IF(LEN(R45)=0,"",IF(ISNUMBER(V45),"Closed",IF(AND(ISNUMBER(U45),U45&lt;TODAY()),"Overdue","Open")))</f>
        <v/>
      </c>
      <c r="X45" s="27" t="n"/>
      <c r="Y45" s="27" t="n"/>
    </row>
    <row r="46">
      <c r="A46" s="28" t="n"/>
      <c r="B46" s="29" t="n"/>
      <c r="C46" s="27" t="n"/>
      <c r="D46" s="27" t="n"/>
      <c r="E46" s="27" t="n"/>
      <c r="F46" s="27" t="n"/>
      <c r="G46" s="27" t="n"/>
      <c r="H46" s="27" t="n"/>
      <c r="I46" s="27" t="n"/>
      <c r="J46" s="25" t="n"/>
      <c r="K46" s="25" t="n"/>
      <c r="L46" s="25" t="n"/>
      <c r="M46" s="25" t="n"/>
      <c r="N46" s="33">
        <f>IF(AND(L46="",M46=""),"",(N(L46)*60+N(M46))/86400)</f>
        <v/>
      </c>
      <c r="O46" s="27" t="n"/>
      <c r="P46" s="27" t="n"/>
      <c r="Q46" s="27" t="n"/>
      <c r="R46" s="27" t="n"/>
      <c r="S46" s="27" t="n"/>
      <c r="T46" s="27" t="n"/>
      <c r="U46" s="28" t="n"/>
      <c r="V46" s="28" t="n"/>
      <c r="W46" s="32">
        <f>IF(LEN(R46)=0,"",IF(ISNUMBER(V46),"Closed",IF(AND(ISNUMBER(U46),U46&lt;TODAY()),"Overdue","Open")))</f>
        <v/>
      </c>
      <c r="X46" s="27" t="n"/>
      <c r="Y46" s="27" t="n"/>
    </row>
    <row r="47">
      <c r="A47" s="28" t="n"/>
      <c r="B47" s="29" t="n"/>
      <c r="C47" s="27" t="n"/>
      <c r="D47" s="27" t="n"/>
      <c r="E47" s="27" t="n"/>
      <c r="F47" s="27" t="n"/>
      <c r="G47" s="27" t="n"/>
      <c r="H47" s="27" t="n"/>
      <c r="I47" s="27" t="n"/>
      <c r="J47" s="25" t="n"/>
      <c r="K47" s="25" t="n"/>
      <c r="L47" s="25" t="n"/>
      <c r="M47" s="25" t="n"/>
      <c r="N47" s="33">
        <f>IF(AND(L47="",M47=""),"",(N(L47)*60+N(M47))/86400)</f>
        <v/>
      </c>
      <c r="O47" s="27" t="n"/>
      <c r="P47" s="27" t="n"/>
      <c r="Q47" s="27" t="n"/>
      <c r="R47" s="27" t="n"/>
      <c r="S47" s="27" t="n"/>
      <c r="T47" s="27" t="n"/>
      <c r="U47" s="28" t="n"/>
      <c r="V47" s="28" t="n"/>
      <c r="W47" s="32">
        <f>IF(LEN(R47)=0,"",IF(ISNUMBER(V47),"Closed",IF(AND(ISNUMBER(U47),U47&lt;TODAY()),"Overdue","Open")))</f>
        <v/>
      </c>
      <c r="X47" s="27" t="n"/>
      <c r="Y47" s="27" t="n"/>
    </row>
    <row r="48">
      <c r="A48" s="28" t="n"/>
      <c r="B48" s="29" t="n"/>
      <c r="C48" s="27" t="n"/>
      <c r="D48" s="27" t="n"/>
      <c r="E48" s="27" t="n"/>
      <c r="F48" s="27" t="n"/>
      <c r="G48" s="27" t="n"/>
      <c r="H48" s="27" t="n"/>
      <c r="I48" s="27" t="n"/>
      <c r="J48" s="25" t="n"/>
      <c r="K48" s="25" t="n"/>
      <c r="L48" s="25" t="n"/>
      <c r="M48" s="25" t="n"/>
      <c r="N48" s="33">
        <f>IF(AND(L48="",M48=""),"",(N(L48)*60+N(M48))/86400)</f>
        <v/>
      </c>
      <c r="O48" s="27" t="n"/>
      <c r="P48" s="27" t="n"/>
      <c r="Q48" s="27" t="n"/>
      <c r="R48" s="27" t="n"/>
      <c r="S48" s="27" t="n"/>
      <c r="T48" s="27" t="n"/>
      <c r="U48" s="28" t="n"/>
      <c r="V48" s="28" t="n"/>
      <c r="W48" s="32">
        <f>IF(LEN(R48)=0,"",IF(ISNUMBER(V48),"Closed",IF(AND(ISNUMBER(U48),U48&lt;TODAY()),"Overdue","Open")))</f>
        <v/>
      </c>
      <c r="X48" s="27" t="n"/>
      <c r="Y48" s="27" t="n"/>
    </row>
    <row r="49">
      <c r="A49" s="28" t="n"/>
      <c r="B49" s="29" t="n"/>
      <c r="C49" s="27" t="n"/>
      <c r="D49" s="27" t="n"/>
      <c r="E49" s="27" t="n"/>
      <c r="F49" s="27" t="n"/>
      <c r="G49" s="27" t="n"/>
      <c r="H49" s="27" t="n"/>
      <c r="I49" s="27" t="n"/>
      <c r="J49" s="25" t="n"/>
      <c r="K49" s="25" t="n"/>
      <c r="L49" s="25" t="n"/>
      <c r="M49" s="25" t="n"/>
      <c r="N49" s="33">
        <f>IF(AND(L49="",M49=""),"",(N(L49)*60+N(M49))/86400)</f>
        <v/>
      </c>
      <c r="O49" s="27" t="n"/>
      <c r="P49" s="27" t="n"/>
      <c r="Q49" s="27" t="n"/>
      <c r="R49" s="27" t="n"/>
      <c r="S49" s="27" t="n"/>
      <c r="T49" s="27" t="n"/>
      <c r="U49" s="28" t="n"/>
      <c r="V49" s="28" t="n"/>
      <c r="W49" s="32">
        <f>IF(LEN(R49)=0,"",IF(ISNUMBER(V49),"Closed",IF(AND(ISNUMBER(U49),U49&lt;TODAY()),"Overdue","Open")))</f>
        <v/>
      </c>
      <c r="X49" s="27" t="n"/>
      <c r="Y49" s="27" t="n"/>
    </row>
    <row r="50">
      <c r="A50" s="28" t="n"/>
      <c r="B50" s="29" t="n"/>
      <c r="C50" s="27" t="n"/>
      <c r="D50" s="27" t="n"/>
      <c r="E50" s="27" t="n"/>
      <c r="F50" s="27" t="n"/>
      <c r="G50" s="27" t="n"/>
      <c r="H50" s="27" t="n"/>
      <c r="I50" s="27" t="n"/>
      <c r="J50" s="25" t="n"/>
      <c r="K50" s="25" t="n"/>
      <c r="L50" s="25" t="n"/>
      <c r="M50" s="25" t="n"/>
      <c r="N50" s="33">
        <f>IF(AND(L50="",M50=""),"",(N(L50)*60+N(M50))/86400)</f>
        <v/>
      </c>
      <c r="O50" s="27" t="n"/>
      <c r="P50" s="27" t="n"/>
      <c r="Q50" s="27" t="n"/>
      <c r="R50" s="27" t="n"/>
      <c r="S50" s="27" t="n"/>
      <c r="T50" s="27" t="n"/>
      <c r="U50" s="28" t="n"/>
      <c r="V50" s="28" t="n"/>
      <c r="W50" s="32">
        <f>IF(LEN(R50)=0,"",IF(ISNUMBER(V50),"Closed",IF(AND(ISNUMBER(U50),U50&lt;TODAY()),"Overdue","Open")))</f>
        <v/>
      </c>
      <c r="X50" s="27" t="n"/>
      <c r="Y50" s="27" t="n"/>
    </row>
    <row r="51">
      <c r="A51" s="28" t="n"/>
      <c r="B51" s="29" t="n"/>
      <c r="C51" s="27" t="n"/>
      <c r="D51" s="27" t="n"/>
      <c r="E51" s="27" t="n"/>
      <c r="F51" s="27" t="n"/>
      <c r="G51" s="27" t="n"/>
      <c r="H51" s="27" t="n"/>
      <c r="I51" s="27" t="n"/>
      <c r="J51" s="25" t="n"/>
      <c r="K51" s="25" t="n"/>
      <c r="L51" s="25" t="n"/>
      <c r="M51" s="25" t="n"/>
      <c r="N51" s="33">
        <f>IF(AND(L51="",M51=""),"",(N(L51)*60+N(M51))/86400)</f>
        <v/>
      </c>
      <c r="O51" s="27" t="n"/>
      <c r="P51" s="27" t="n"/>
      <c r="Q51" s="27" t="n"/>
      <c r="R51" s="27" t="n"/>
      <c r="S51" s="27" t="n"/>
      <c r="T51" s="27" t="n"/>
      <c r="U51" s="28" t="n"/>
      <c r="V51" s="28" t="n"/>
      <c r="W51" s="32">
        <f>IF(LEN(R51)=0,"",IF(ISNUMBER(V51),"Closed",IF(AND(ISNUMBER(U51),U51&lt;TODAY()),"Overdue","Open")))</f>
        <v/>
      </c>
      <c r="X51" s="27" t="n"/>
      <c r="Y51" s="27" t="n"/>
    </row>
    <row r="52">
      <c r="A52" s="28" t="n"/>
      <c r="B52" s="29" t="n"/>
      <c r="C52" s="27" t="n"/>
      <c r="D52" s="27" t="n"/>
      <c r="E52" s="27" t="n"/>
      <c r="F52" s="27" t="n"/>
      <c r="G52" s="27" t="n"/>
      <c r="H52" s="27" t="n"/>
      <c r="I52" s="27" t="n"/>
      <c r="J52" s="25" t="n"/>
      <c r="K52" s="25" t="n"/>
      <c r="L52" s="25" t="n"/>
      <c r="M52" s="25" t="n"/>
      <c r="N52" s="33">
        <f>IF(AND(L52="",M52=""),"",(N(L52)*60+N(M52))/86400)</f>
        <v/>
      </c>
      <c r="O52" s="27" t="n"/>
      <c r="P52" s="27" t="n"/>
      <c r="Q52" s="27" t="n"/>
      <c r="R52" s="27" t="n"/>
      <c r="S52" s="27" t="n"/>
      <c r="T52" s="27" t="n"/>
      <c r="U52" s="28" t="n"/>
      <c r="V52" s="28" t="n"/>
      <c r="W52" s="32">
        <f>IF(LEN(R52)=0,"",IF(ISNUMBER(V52),"Closed",IF(AND(ISNUMBER(U52),U52&lt;TODAY()),"Overdue","Open")))</f>
        <v/>
      </c>
      <c r="X52" s="27" t="n"/>
      <c r="Y52" s="27" t="n"/>
    </row>
    <row r="53">
      <c r="A53" s="28" t="n"/>
      <c r="B53" s="29" t="n"/>
      <c r="C53" s="27" t="n"/>
      <c r="D53" s="27" t="n"/>
      <c r="E53" s="27" t="n"/>
      <c r="F53" s="27" t="n"/>
      <c r="G53" s="27" t="n"/>
      <c r="H53" s="27" t="n"/>
      <c r="I53" s="27" t="n"/>
      <c r="J53" s="25" t="n"/>
      <c r="K53" s="25" t="n"/>
      <c r="L53" s="25" t="n"/>
      <c r="M53" s="25" t="n"/>
      <c r="N53" s="33">
        <f>IF(AND(L53="",M53=""),"",(N(L53)*60+N(M53))/86400)</f>
        <v/>
      </c>
      <c r="O53" s="27" t="n"/>
      <c r="P53" s="27" t="n"/>
      <c r="Q53" s="27" t="n"/>
      <c r="R53" s="27" t="n"/>
      <c r="S53" s="27" t="n"/>
      <c r="T53" s="27" t="n"/>
      <c r="U53" s="28" t="n"/>
      <c r="V53" s="28" t="n"/>
      <c r="W53" s="32">
        <f>IF(LEN(R53)=0,"",IF(ISNUMBER(V53),"Closed",IF(AND(ISNUMBER(U53),U53&lt;TODAY()),"Overdue","Open")))</f>
        <v/>
      </c>
      <c r="X53" s="27" t="n"/>
      <c r="Y53" s="27" t="n"/>
    </row>
    <row r="54">
      <c r="A54" s="28" t="n"/>
      <c r="B54" s="29" t="n"/>
      <c r="C54" s="27" t="n"/>
      <c r="D54" s="27" t="n"/>
      <c r="E54" s="27" t="n"/>
      <c r="F54" s="27" t="n"/>
      <c r="G54" s="27" t="n"/>
      <c r="H54" s="27" t="n"/>
      <c r="I54" s="27" t="n"/>
      <c r="J54" s="25" t="n"/>
      <c r="K54" s="25" t="n"/>
      <c r="L54" s="25" t="n"/>
      <c r="M54" s="25" t="n"/>
      <c r="N54" s="33">
        <f>IF(AND(L54="",M54=""),"",(N(L54)*60+N(M54))/86400)</f>
        <v/>
      </c>
      <c r="O54" s="27" t="n"/>
      <c r="P54" s="27" t="n"/>
      <c r="Q54" s="27" t="n"/>
      <c r="R54" s="27" t="n"/>
      <c r="S54" s="27" t="n"/>
      <c r="T54" s="27" t="n"/>
      <c r="U54" s="28" t="n"/>
      <c r="V54" s="28" t="n"/>
      <c r="W54" s="32">
        <f>IF(LEN(R54)=0,"",IF(ISNUMBER(V54),"Closed",IF(AND(ISNUMBER(U54),U54&lt;TODAY()),"Overdue","Open")))</f>
        <v/>
      </c>
      <c r="X54" s="27" t="n"/>
      <c r="Y54" s="27" t="n"/>
    </row>
    <row r="55">
      <c r="A55" s="28" t="n"/>
      <c r="B55" s="29" t="n"/>
      <c r="C55" s="27" t="n"/>
      <c r="D55" s="27" t="n"/>
      <c r="E55" s="27" t="n"/>
      <c r="F55" s="27" t="n"/>
      <c r="G55" s="27" t="n"/>
      <c r="H55" s="27" t="n"/>
      <c r="I55" s="27" t="n"/>
      <c r="J55" s="25" t="n"/>
      <c r="K55" s="25" t="n"/>
      <c r="L55" s="25" t="n"/>
      <c r="M55" s="25" t="n"/>
      <c r="N55" s="33">
        <f>IF(AND(L55="",M55=""),"",(N(L55)*60+N(M55))/86400)</f>
        <v/>
      </c>
      <c r="O55" s="27" t="n"/>
      <c r="P55" s="27" t="n"/>
      <c r="Q55" s="27" t="n"/>
      <c r="R55" s="27" t="n"/>
      <c r="S55" s="27" t="n"/>
      <c r="T55" s="27" t="n"/>
      <c r="U55" s="28" t="n"/>
      <c r="V55" s="28" t="n"/>
      <c r="W55" s="32">
        <f>IF(LEN(R55)=0,"",IF(ISNUMBER(V55),"Closed",IF(AND(ISNUMBER(U55),U55&lt;TODAY()),"Overdue","Open")))</f>
        <v/>
      </c>
      <c r="X55" s="27" t="n"/>
      <c r="Y55" s="27" t="n"/>
    </row>
    <row r="56">
      <c r="A56" s="28" t="n"/>
      <c r="B56" s="29" t="n"/>
      <c r="C56" s="27" t="n"/>
      <c r="D56" s="27" t="n"/>
      <c r="E56" s="27" t="n"/>
      <c r="F56" s="27" t="n"/>
      <c r="G56" s="27" t="n"/>
      <c r="H56" s="27" t="n"/>
      <c r="I56" s="27" t="n"/>
      <c r="J56" s="25" t="n"/>
      <c r="K56" s="25" t="n"/>
      <c r="L56" s="25" t="n"/>
      <c r="M56" s="25" t="n"/>
      <c r="N56" s="33">
        <f>IF(AND(L56="",M56=""),"",(N(L56)*60+N(M56))/86400)</f>
        <v/>
      </c>
      <c r="O56" s="27" t="n"/>
      <c r="P56" s="27" t="n"/>
      <c r="Q56" s="27" t="n"/>
      <c r="R56" s="27" t="n"/>
      <c r="S56" s="27" t="n"/>
      <c r="T56" s="27" t="n"/>
      <c r="U56" s="28" t="n"/>
      <c r="V56" s="28" t="n"/>
      <c r="W56" s="32">
        <f>IF(LEN(R56)=0,"",IF(ISNUMBER(V56),"Closed",IF(AND(ISNUMBER(U56),U56&lt;TODAY()),"Overdue","Open")))</f>
        <v/>
      </c>
      <c r="X56" s="27" t="n"/>
      <c r="Y56" s="27" t="n"/>
    </row>
    <row r="57">
      <c r="A57" s="28" t="n"/>
      <c r="B57" s="29" t="n"/>
      <c r="C57" s="27" t="n"/>
      <c r="D57" s="27" t="n"/>
      <c r="E57" s="27" t="n"/>
      <c r="F57" s="27" t="n"/>
      <c r="G57" s="27" t="n"/>
      <c r="H57" s="27" t="n"/>
      <c r="I57" s="27" t="n"/>
      <c r="J57" s="25" t="n"/>
      <c r="K57" s="25" t="n"/>
      <c r="L57" s="25" t="n"/>
      <c r="M57" s="25" t="n"/>
      <c r="N57" s="33">
        <f>IF(AND(L57="",M57=""),"",(N(L57)*60+N(M57))/86400)</f>
        <v/>
      </c>
      <c r="O57" s="27" t="n"/>
      <c r="P57" s="27" t="n"/>
      <c r="Q57" s="27" t="n"/>
      <c r="R57" s="27" t="n"/>
      <c r="S57" s="27" t="n"/>
      <c r="T57" s="27" t="n"/>
      <c r="U57" s="28" t="n"/>
      <c r="V57" s="28" t="n"/>
      <c r="W57" s="32">
        <f>IF(LEN(R57)=0,"",IF(ISNUMBER(V57),"Closed",IF(AND(ISNUMBER(U57),U57&lt;TODAY()),"Overdue","Open")))</f>
        <v/>
      </c>
      <c r="X57" s="27" t="n"/>
      <c r="Y57" s="27" t="n"/>
    </row>
    <row r="58">
      <c r="A58" s="28" t="n"/>
      <c r="B58" s="29" t="n"/>
      <c r="C58" s="27" t="n"/>
      <c r="D58" s="27" t="n"/>
      <c r="E58" s="27" t="n"/>
      <c r="F58" s="27" t="n"/>
      <c r="G58" s="27" t="n"/>
      <c r="H58" s="27" t="n"/>
      <c r="I58" s="27" t="n"/>
      <c r="J58" s="25" t="n"/>
      <c r="K58" s="25" t="n"/>
      <c r="L58" s="25" t="n"/>
      <c r="M58" s="25" t="n"/>
      <c r="N58" s="33">
        <f>IF(AND(L58="",M58=""),"",(N(L58)*60+N(M58))/86400)</f>
        <v/>
      </c>
      <c r="O58" s="27" t="n"/>
      <c r="P58" s="27" t="n"/>
      <c r="Q58" s="27" t="n"/>
      <c r="R58" s="27" t="n"/>
      <c r="S58" s="27" t="n"/>
      <c r="T58" s="27" t="n"/>
      <c r="U58" s="28" t="n"/>
      <c r="V58" s="28" t="n"/>
      <c r="W58" s="32">
        <f>IF(LEN(R58)=0,"",IF(ISNUMBER(V58),"Closed",IF(AND(ISNUMBER(U58),U58&lt;TODAY()),"Overdue","Open")))</f>
        <v/>
      </c>
      <c r="X58" s="27" t="n"/>
      <c r="Y58" s="27" t="n"/>
    </row>
    <row r="59">
      <c r="A59" s="28" t="n"/>
      <c r="B59" s="29" t="n"/>
      <c r="C59" s="27" t="n"/>
      <c r="D59" s="27" t="n"/>
      <c r="E59" s="27" t="n"/>
      <c r="F59" s="27" t="n"/>
      <c r="G59" s="27" t="n"/>
      <c r="H59" s="27" t="n"/>
      <c r="I59" s="27" t="n"/>
      <c r="J59" s="25" t="n"/>
      <c r="K59" s="25" t="n"/>
      <c r="L59" s="25" t="n"/>
      <c r="M59" s="25" t="n"/>
      <c r="N59" s="33">
        <f>IF(AND(L59="",M59=""),"",(N(L59)*60+N(M59))/86400)</f>
        <v/>
      </c>
      <c r="O59" s="27" t="n"/>
      <c r="P59" s="27" t="n"/>
      <c r="Q59" s="27" t="n"/>
      <c r="R59" s="27" t="n"/>
      <c r="S59" s="27" t="n"/>
      <c r="T59" s="27" t="n"/>
      <c r="U59" s="28" t="n"/>
      <c r="V59" s="28" t="n"/>
      <c r="W59" s="32">
        <f>IF(LEN(R59)=0,"",IF(ISNUMBER(V59),"Closed",IF(AND(ISNUMBER(U59),U59&lt;TODAY()),"Overdue","Open")))</f>
        <v/>
      </c>
      <c r="X59" s="27" t="n"/>
      <c r="Y59" s="27" t="n"/>
    </row>
    <row r="60">
      <c r="A60" s="28" t="n"/>
      <c r="B60" s="29" t="n"/>
      <c r="C60" s="27" t="n"/>
      <c r="D60" s="27" t="n"/>
      <c r="E60" s="27" t="n"/>
      <c r="F60" s="27" t="n"/>
      <c r="G60" s="27" t="n"/>
      <c r="H60" s="27" t="n"/>
      <c r="I60" s="27" t="n"/>
      <c r="J60" s="25" t="n"/>
      <c r="K60" s="25" t="n"/>
      <c r="L60" s="25" t="n"/>
      <c r="M60" s="25" t="n"/>
      <c r="N60" s="33">
        <f>IF(AND(L60="",M60=""),"",(N(L60)*60+N(M60))/86400)</f>
        <v/>
      </c>
      <c r="O60" s="27" t="n"/>
      <c r="P60" s="27" t="n"/>
      <c r="Q60" s="27" t="n"/>
      <c r="R60" s="27" t="n"/>
      <c r="S60" s="27" t="n"/>
      <c r="T60" s="27" t="n"/>
      <c r="U60" s="28" t="n"/>
      <c r="V60" s="28" t="n"/>
      <c r="W60" s="32">
        <f>IF(LEN(R60)=0,"",IF(ISNUMBER(V60),"Closed",IF(AND(ISNUMBER(U60),U60&lt;TODAY()),"Overdue","Open")))</f>
        <v/>
      </c>
      <c r="X60" s="27" t="n"/>
      <c r="Y60" s="27" t="n"/>
    </row>
    <row r="61">
      <c r="A61" s="28" t="n"/>
      <c r="B61" s="29" t="n"/>
      <c r="C61" s="27" t="n"/>
      <c r="D61" s="27" t="n"/>
      <c r="E61" s="27" t="n"/>
      <c r="F61" s="27" t="n"/>
      <c r="G61" s="27" t="n"/>
      <c r="H61" s="27" t="n"/>
      <c r="I61" s="27" t="n"/>
      <c r="J61" s="25" t="n"/>
      <c r="K61" s="25" t="n"/>
      <c r="L61" s="25" t="n"/>
      <c r="M61" s="25" t="n"/>
      <c r="N61" s="33">
        <f>IF(AND(L61="",M61=""),"",(N(L61)*60+N(M61))/86400)</f>
        <v/>
      </c>
      <c r="O61" s="27" t="n"/>
      <c r="P61" s="27" t="n"/>
      <c r="Q61" s="27" t="n"/>
      <c r="R61" s="27" t="n"/>
      <c r="S61" s="27" t="n"/>
      <c r="T61" s="27" t="n"/>
      <c r="U61" s="28" t="n"/>
      <c r="V61" s="28" t="n"/>
      <c r="W61" s="32">
        <f>IF(LEN(R61)=0,"",IF(ISNUMBER(V61),"Closed",IF(AND(ISNUMBER(U61),U61&lt;TODAY()),"Overdue","Open")))</f>
        <v/>
      </c>
      <c r="X61" s="27" t="n"/>
      <c r="Y61" s="27" t="n"/>
    </row>
    <row r="62">
      <c r="A62" s="28" t="n"/>
      <c r="B62" s="29" t="n"/>
      <c r="C62" s="27" t="n"/>
      <c r="D62" s="27" t="n"/>
      <c r="E62" s="27" t="n"/>
      <c r="F62" s="27" t="n"/>
      <c r="G62" s="27" t="n"/>
      <c r="H62" s="27" t="n"/>
      <c r="I62" s="27" t="n"/>
      <c r="J62" s="25" t="n"/>
      <c r="K62" s="25" t="n"/>
      <c r="L62" s="25" t="n"/>
      <c r="M62" s="25" t="n"/>
      <c r="N62" s="33">
        <f>IF(AND(L62="",M62=""),"",(N(L62)*60+N(M62))/86400)</f>
        <v/>
      </c>
      <c r="O62" s="27" t="n"/>
      <c r="P62" s="27" t="n"/>
      <c r="Q62" s="27" t="n"/>
      <c r="R62" s="27" t="n"/>
      <c r="S62" s="27" t="n"/>
      <c r="T62" s="27" t="n"/>
      <c r="U62" s="28" t="n"/>
      <c r="V62" s="28" t="n"/>
      <c r="W62" s="32">
        <f>IF(LEN(R62)=0,"",IF(ISNUMBER(V62),"Closed",IF(AND(ISNUMBER(U62),U62&lt;TODAY()),"Overdue","Open")))</f>
        <v/>
      </c>
      <c r="X62" s="27" t="n"/>
      <c r="Y62" s="27" t="n"/>
    </row>
    <row r="63">
      <c r="A63" s="28" t="n"/>
      <c r="B63" s="29" t="n"/>
      <c r="C63" s="27" t="n"/>
      <c r="D63" s="27" t="n"/>
      <c r="E63" s="27" t="n"/>
      <c r="F63" s="27" t="n"/>
      <c r="G63" s="27" t="n"/>
      <c r="H63" s="27" t="n"/>
      <c r="I63" s="27" t="n"/>
      <c r="J63" s="25" t="n"/>
      <c r="K63" s="25" t="n"/>
      <c r="L63" s="25" t="n"/>
      <c r="M63" s="25" t="n"/>
      <c r="N63" s="33">
        <f>IF(AND(L63="",M63=""),"",(N(L63)*60+N(M63))/86400)</f>
        <v/>
      </c>
      <c r="O63" s="27" t="n"/>
      <c r="P63" s="27" t="n"/>
      <c r="Q63" s="27" t="n"/>
      <c r="R63" s="27" t="n"/>
      <c r="S63" s="27" t="n"/>
      <c r="T63" s="27" t="n"/>
      <c r="U63" s="28" t="n"/>
      <c r="V63" s="28" t="n"/>
      <c r="W63" s="32">
        <f>IF(LEN(R63)=0,"",IF(ISNUMBER(V63),"Closed",IF(AND(ISNUMBER(U63),U63&lt;TODAY()),"Overdue","Open")))</f>
        <v/>
      </c>
      <c r="X63" s="27" t="n"/>
      <c r="Y63" s="27" t="n"/>
    </row>
    <row r="64">
      <c r="A64" s="28" t="n"/>
      <c r="B64" s="29" t="n"/>
      <c r="C64" s="27" t="n"/>
      <c r="D64" s="27" t="n"/>
      <c r="E64" s="27" t="n"/>
      <c r="F64" s="27" t="n"/>
      <c r="G64" s="27" t="n"/>
      <c r="H64" s="27" t="n"/>
      <c r="I64" s="27" t="n"/>
      <c r="J64" s="25" t="n"/>
      <c r="K64" s="25" t="n"/>
      <c r="L64" s="25" t="n"/>
      <c r="M64" s="25" t="n"/>
      <c r="N64" s="33">
        <f>IF(AND(L64="",M64=""),"",(N(L64)*60+N(M64))/86400)</f>
        <v/>
      </c>
      <c r="O64" s="27" t="n"/>
      <c r="P64" s="27" t="n"/>
      <c r="Q64" s="27" t="n"/>
      <c r="R64" s="27" t="n"/>
      <c r="S64" s="27" t="n"/>
      <c r="T64" s="27" t="n"/>
      <c r="U64" s="28" t="n"/>
      <c r="V64" s="28" t="n"/>
      <c r="W64" s="32">
        <f>IF(LEN(R64)=0,"",IF(ISNUMBER(V64),"Closed",IF(AND(ISNUMBER(U64),U64&lt;TODAY()),"Overdue","Open")))</f>
        <v/>
      </c>
      <c r="X64" s="27" t="n"/>
      <c r="Y64" s="27" t="n"/>
    </row>
    <row r="65">
      <c r="A65" s="28" t="n"/>
      <c r="B65" s="29" t="n"/>
      <c r="C65" s="27" t="n"/>
      <c r="D65" s="27" t="n"/>
      <c r="E65" s="27" t="n"/>
      <c r="F65" s="27" t="n"/>
      <c r="G65" s="27" t="n"/>
      <c r="H65" s="27" t="n"/>
      <c r="I65" s="27" t="n"/>
      <c r="J65" s="25" t="n"/>
      <c r="K65" s="25" t="n"/>
      <c r="L65" s="25" t="n"/>
      <c r="M65" s="25" t="n"/>
      <c r="N65" s="33">
        <f>IF(AND(L65="",M65=""),"",(N(L65)*60+N(M65))/86400)</f>
        <v/>
      </c>
      <c r="O65" s="27" t="n"/>
      <c r="P65" s="27" t="n"/>
      <c r="Q65" s="27" t="n"/>
      <c r="R65" s="27" t="n"/>
      <c r="S65" s="27" t="n"/>
      <c r="T65" s="27" t="n"/>
      <c r="U65" s="28" t="n"/>
      <c r="V65" s="28" t="n"/>
      <c r="W65" s="32">
        <f>IF(LEN(R65)=0,"",IF(ISNUMBER(V65),"Closed",IF(AND(ISNUMBER(U65),U65&lt;TODAY()),"Overdue","Open")))</f>
        <v/>
      </c>
      <c r="X65" s="27" t="n"/>
      <c r="Y65" s="27" t="n"/>
    </row>
    <row r="66">
      <c r="A66" s="28" t="n"/>
      <c r="B66" s="29" t="n"/>
      <c r="C66" s="27" t="n"/>
      <c r="D66" s="27" t="n"/>
      <c r="E66" s="27" t="n"/>
      <c r="F66" s="27" t="n"/>
      <c r="G66" s="27" t="n"/>
      <c r="H66" s="27" t="n"/>
      <c r="I66" s="27" t="n"/>
      <c r="J66" s="25" t="n"/>
      <c r="K66" s="25" t="n"/>
      <c r="L66" s="25" t="n"/>
      <c r="M66" s="25" t="n"/>
      <c r="N66" s="33">
        <f>IF(AND(L66="",M66=""),"",(N(L66)*60+N(M66))/86400)</f>
        <v/>
      </c>
      <c r="O66" s="27" t="n"/>
      <c r="P66" s="27" t="n"/>
      <c r="Q66" s="27" t="n"/>
      <c r="R66" s="27" t="n"/>
      <c r="S66" s="27" t="n"/>
      <c r="T66" s="27" t="n"/>
      <c r="U66" s="28" t="n"/>
      <c r="V66" s="28" t="n"/>
      <c r="W66" s="32">
        <f>IF(LEN(R66)=0,"",IF(ISNUMBER(V66),"Closed",IF(AND(ISNUMBER(U66),U66&lt;TODAY()),"Overdue","Open")))</f>
        <v/>
      </c>
      <c r="X66" s="27" t="n"/>
      <c r="Y66" s="27" t="n"/>
    </row>
    <row r="67">
      <c r="A67" s="28" t="n"/>
      <c r="B67" s="29" t="n"/>
      <c r="C67" s="27" t="n"/>
      <c r="D67" s="27" t="n"/>
      <c r="E67" s="27" t="n"/>
      <c r="F67" s="27" t="n"/>
      <c r="G67" s="27" t="n"/>
      <c r="H67" s="27" t="n"/>
      <c r="I67" s="27" t="n"/>
      <c r="J67" s="25" t="n"/>
      <c r="K67" s="25" t="n"/>
      <c r="L67" s="25" t="n"/>
      <c r="M67" s="25" t="n"/>
      <c r="N67" s="33">
        <f>IF(AND(L67="",M67=""),"",(N(L67)*60+N(M67))/86400)</f>
        <v/>
      </c>
      <c r="O67" s="27" t="n"/>
      <c r="P67" s="27" t="n"/>
      <c r="Q67" s="27" t="n"/>
      <c r="R67" s="27" t="n"/>
      <c r="S67" s="27" t="n"/>
      <c r="T67" s="27" t="n"/>
      <c r="U67" s="28" t="n"/>
      <c r="V67" s="28" t="n"/>
      <c r="W67" s="32">
        <f>IF(LEN(R67)=0,"",IF(ISNUMBER(V67),"Closed",IF(AND(ISNUMBER(U67),U67&lt;TODAY()),"Overdue","Open")))</f>
        <v/>
      </c>
      <c r="X67" s="27" t="n"/>
      <c r="Y67" s="27" t="n"/>
    </row>
    <row r="68">
      <c r="A68" s="28" t="n"/>
      <c r="B68" s="29" t="n"/>
      <c r="C68" s="27" t="n"/>
      <c r="D68" s="27" t="n"/>
      <c r="E68" s="27" t="n"/>
      <c r="F68" s="27" t="n"/>
      <c r="G68" s="27" t="n"/>
      <c r="H68" s="27" t="n"/>
      <c r="I68" s="27" t="n"/>
      <c r="J68" s="25" t="n"/>
      <c r="K68" s="25" t="n"/>
      <c r="L68" s="25" t="n"/>
      <c r="M68" s="25" t="n"/>
      <c r="N68" s="33">
        <f>IF(AND(L68="",M68=""),"",(N(L68)*60+N(M68))/86400)</f>
        <v/>
      </c>
      <c r="O68" s="27" t="n"/>
      <c r="P68" s="27" t="n"/>
      <c r="Q68" s="27" t="n"/>
      <c r="R68" s="27" t="n"/>
      <c r="S68" s="27" t="n"/>
      <c r="T68" s="27" t="n"/>
      <c r="U68" s="28" t="n"/>
      <c r="V68" s="28" t="n"/>
      <c r="W68" s="32">
        <f>IF(LEN(R68)=0,"",IF(ISNUMBER(V68),"Closed",IF(AND(ISNUMBER(U68),U68&lt;TODAY()),"Overdue","Open")))</f>
        <v/>
      </c>
      <c r="X68" s="27" t="n"/>
      <c r="Y68" s="27" t="n"/>
    </row>
    <row r="69">
      <c r="A69" s="28" t="n"/>
      <c r="B69" s="29" t="n"/>
      <c r="C69" s="27" t="n"/>
      <c r="D69" s="27" t="n"/>
      <c r="E69" s="27" t="n"/>
      <c r="F69" s="27" t="n"/>
      <c r="G69" s="27" t="n"/>
      <c r="H69" s="27" t="n"/>
      <c r="I69" s="27" t="n"/>
      <c r="J69" s="25" t="n"/>
      <c r="K69" s="25" t="n"/>
      <c r="L69" s="25" t="n"/>
      <c r="M69" s="25" t="n"/>
      <c r="N69" s="33">
        <f>IF(AND(L69="",M69=""),"",(N(L69)*60+N(M69))/86400)</f>
        <v/>
      </c>
      <c r="O69" s="27" t="n"/>
      <c r="P69" s="27" t="n"/>
      <c r="Q69" s="27" t="n"/>
      <c r="R69" s="27" t="n"/>
      <c r="S69" s="27" t="n"/>
      <c r="T69" s="27" t="n"/>
      <c r="U69" s="28" t="n"/>
      <c r="V69" s="28" t="n"/>
      <c r="W69" s="32">
        <f>IF(LEN(R69)=0,"",IF(ISNUMBER(V69),"Closed",IF(AND(ISNUMBER(U69),U69&lt;TODAY()),"Overdue","Open")))</f>
        <v/>
      </c>
      <c r="X69" s="27" t="n"/>
      <c r="Y69" s="27" t="n"/>
    </row>
    <row r="70">
      <c r="A70" s="28" t="n"/>
      <c r="B70" s="29" t="n"/>
      <c r="C70" s="27" t="n"/>
      <c r="D70" s="27" t="n"/>
      <c r="E70" s="27" t="n"/>
      <c r="F70" s="27" t="n"/>
      <c r="G70" s="27" t="n"/>
      <c r="H70" s="27" t="n"/>
      <c r="I70" s="27" t="n"/>
      <c r="J70" s="25" t="n"/>
      <c r="K70" s="25" t="n"/>
      <c r="L70" s="25" t="n"/>
      <c r="M70" s="25" t="n"/>
      <c r="N70" s="33">
        <f>IF(AND(L70="",M70=""),"",(N(L70)*60+N(M70))/86400)</f>
        <v/>
      </c>
      <c r="O70" s="27" t="n"/>
      <c r="P70" s="27" t="n"/>
      <c r="Q70" s="27" t="n"/>
      <c r="R70" s="27" t="n"/>
      <c r="S70" s="27" t="n"/>
      <c r="T70" s="27" t="n"/>
      <c r="U70" s="28" t="n"/>
      <c r="V70" s="28" t="n"/>
      <c r="W70" s="32">
        <f>IF(LEN(R70)=0,"",IF(ISNUMBER(V70),"Closed",IF(AND(ISNUMBER(U70),U70&lt;TODAY()),"Overdue","Open")))</f>
        <v/>
      </c>
      <c r="X70" s="27" t="n"/>
      <c r="Y70" s="27" t="n"/>
    </row>
    <row r="71">
      <c r="A71" s="28" t="n"/>
      <c r="B71" s="29" t="n"/>
      <c r="C71" s="27" t="n"/>
      <c r="D71" s="27" t="n"/>
      <c r="E71" s="27" t="n"/>
      <c r="F71" s="27" t="n"/>
      <c r="G71" s="27" t="n"/>
      <c r="H71" s="27" t="n"/>
      <c r="I71" s="27" t="n"/>
      <c r="J71" s="25" t="n"/>
      <c r="K71" s="25" t="n"/>
      <c r="L71" s="25" t="n"/>
      <c r="M71" s="25" t="n"/>
      <c r="N71" s="33">
        <f>IF(AND(L71="",M71=""),"",(N(L71)*60+N(M71))/86400)</f>
        <v/>
      </c>
      <c r="O71" s="27" t="n"/>
      <c r="P71" s="27" t="n"/>
      <c r="Q71" s="27" t="n"/>
      <c r="R71" s="27" t="n"/>
      <c r="S71" s="27" t="n"/>
      <c r="T71" s="27" t="n"/>
      <c r="U71" s="28" t="n"/>
      <c r="V71" s="28" t="n"/>
      <c r="W71" s="32">
        <f>IF(LEN(R71)=0,"",IF(ISNUMBER(V71),"Closed",IF(AND(ISNUMBER(U71),U71&lt;TODAY()),"Overdue","Open")))</f>
        <v/>
      </c>
      <c r="X71" s="27" t="n"/>
      <c r="Y71" s="27" t="n"/>
    </row>
    <row r="72">
      <c r="A72" s="28" t="n"/>
      <c r="B72" s="29" t="n"/>
      <c r="C72" s="27" t="n"/>
      <c r="D72" s="27" t="n"/>
      <c r="E72" s="27" t="n"/>
      <c r="F72" s="27" t="n"/>
      <c r="G72" s="27" t="n"/>
      <c r="H72" s="27" t="n"/>
      <c r="I72" s="27" t="n"/>
      <c r="J72" s="25" t="n"/>
      <c r="K72" s="25" t="n"/>
      <c r="L72" s="25" t="n"/>
      <c r="M72" s="25" t="n"/>
      <c r="N72" s="33">
        <f>IF(AND(L72="",M72=""),"",(N(L72)*60+N(M72))/86400)</f>
        <v/>
      </c>
      <c r="O72" s="27" t="n"/>
      <c r="P72" s="27" t="n"/>
      <c r="Q72" s="27" t="n"/>
      <c r="R72" s="27" t="n"/>
      <c r="S72" s="27" t="n"/>
      <c r="T72" s="27" t="n"/>
      <c r="U72" s="28" t="n"/>
      <c r="V72" s="28" t="n"/>
      <c r="W72" s="32">
        <f>IF(LEN(R72)=0,"",IF(ISNUMBER(V72),"Closed",IF(AND(ISNUMBER(U72),U72&lt;TODAY()),"Overdue","Open")))</f>
        <v/>
      </c>
      <c r="X72" s="27" t="n"/>
      <c r="Y72" s="27" t="n"/>
    </row>
    <row r="73">
      <c r="A73" s="28" t="n"/>
      <c r="B73" s="29" t="n"/>
      <c r="C73" s="27" t="n"/>
      <c r="D73" s="27" t="n"/>
      <c r="E73" s="27" t="n"/>
      <c r="F73" s="27" t="n"/>
      <c r="G73" s="27" t="n"/>
      <c r="H73" s="27" t="n"/>
      <c r="I73" s="27" t="n"/>
      <c r="J73" s="25" t="n"/>
      <c r="K73" s="25" t="n"/>
      <c r="L73" s="25" t="n"/>
      <c r="M73" s="25" t="n"/>
      <c r="N73" s="33">
        <f>IF(AND(L73="",M73=""),"",(N(L73)*60+N(M73))/86400)</f>
        <v/>
      </c>
      <c r="O73" s="27" t="n"/>
      <c r="P73" s="27" t="n"/>
      <c r="Q73" s="27" t="n"/>
      <c r="R73" s="27" t="n"/>
      <c r="S73" s="27" t="n"/>
      <c r="T73" s="27" t="n"/>
      <c r="U73" s="28" t="n"/>
      <c r="V73" s="28" t="n"/>
      <c r="W73" s="32">
        <f>IF(LEN(R73)=0,"",IF(ISNUMBER(V73),"Closed",IF(AND(ISNUMBER(U73),U73&lt;TODAY()),"Overdue","Open")))</f>
        <v/>
      </c>
      <c r="X73" s="27" t="n"/>
      <c r="Y73" s="27" t="n"/>
    </row>
    <row r="74">
      <c r="A74" s="28" t="n"/>
      <c r="B74" s="29" t="n"/>
      <c r="C74" s="27" t="n"/>
      <c r="D74" s="27" t="n"/>
      <c r="E74" s="27" t="n"/>
      <c r="F74" s="27" t="n"/>
      <c r="G74" s="27" t="n"/>
      <c r="H74" s="27" t="n"/>
      <c r="I74" s="27" t="n"/>
      <c r="J74" s="25" t="n"/>
      <c r="K74" s="25" t="n"/>
      <c r="L74" s="25" t="n"/>
      <c r="M74" s="25" t="n"/>
      <c r="N74" s="33">
        <f>IF(AND(L74="",M74=""),"",(N(L74)*60+N(M74))/86400)</f>
        <v/>
      </c>
      <c r="O74" s="27" t="n"/>
      <c r="P74" s="27" t="n"/>
      <c r="Q74" s="27" t="n"/>
      <c r="R74" s="27" t="n"/>
      <c r="S74" s="27" t="n"/>
      <c r="T74" s="27" t="n"/>
      <c r="U74" s="28" t="n"/>
      <c r="V74" s="28" t="n"/>
      <c r="W74" s="32">
        <f>IF(LEN(R74)=0,"",IF(ISNUMBER(V74),"Closed",IF(AND(ISNUMBER(U74),U74&lt;TODAY()),"Overdue","Open")))</f>
        <v/>
      </c>
      <c r="X74" s="27" t="n"/>
      <c r="Y74" s="27" t="n"/>
    </row>
    <row r="75">
      <c r="A75" s="28" t="n"/>
      <c r="B75" s="29" t="n"/>
      <c r="C75" s="27" t="n"/>
      <c r="D75" s="27" t="n"/>
      <c r="E75" s="27" t="n"/>
      <c r="F75" s="27" t="n"/>
      <c r="G75" s="27" t="n"/>
      <c r="H75" s="27" t="n"/>
      <c r="I75" s="27" t="n"/>
      <c r="J75" s="25" t="n"/>
      <c r="K75" s="25" t="n"/>
      <c r="L75" s="25" t="n"/>
      <c r="M75" s="25" t="n"/>
      <c r="N75" s="33">
        <f>IF(AND(L75="",M75=""),"",(N(L75)*60+N(M75))/86400)</f>
        <v/>
      </c>
      <c r="O75" s="27" t="n"/>
      <c r="P75" s="27" t="n"/>
      <c r="Q75" s="27" t="n"/>
      <c r="R75" s="27" t="n"/>
      <c r="S75" s="27" t="n"/>
      <c r="T75" s="27" t="n"/>
      <c r="U75" s="28" t="n"/>
      <c r="V75" s="28" t="n"/>
      <c r="W75" s="32">
        <f>IF(LEN(R75)=0,"",IF(ISNUMBER(V75),"Closed",IF(AND(ISNUMBER(U75),U75&lt;TODAY()),"Overdue","Open")))</f>
        <v/>
      </c>
      <c r="X75" s="27" t="n"/>
      <c r="Y75" s="27" t="n"/>
    </row>
    <row r="76">
      <c r="A76" s="28" t="n"/>
      <c r="B76" s="29" t="n"/>
      <c r="C76" s="27" t="n"/>
      <c r="D76" s="27" t="n"/>
      <c r="E76" s="27" t="n"/>
      <c r="F76" s="27" t="n"/>
      <c r="G76" s="27" t="n"/>
      <c r="H76" s="27" t="n"/>
      <c r="I76" s="27" t="n"/>
      <c r="J76" s="25" t="n"/>
      <c r="K76" s="25" t="n"/>
      <c r="L76" s="25" t="n"/>
      <c r="M76" s="25" t="n"/>
      <c r="N76" s="33">
        <f>IF(AND(L76="",M76=""),"",(N(L76)*60+N(M76))/86400)</f>
        <v/>
      </c>
      <c r="O76" s="27" t="n"/>
      <c r="P76" s="27" t="n"/>
      <c r="Q76" s="27" t="n"/>
      <c r="R76" s="27" t="n"/>
      <c r="S76" s="27" t="n"/>
      <c r="T76" s="27" t="n"/>
      <c r="U76" s="28" t="n"/>
      <c r="V76" s="28" t="n"/>
      <c r="W76" s="32">
        <f>IF(LEN(R76)=0,"",IF(ISNUMBER(V76),"Closed",IF(AND(ISNUMBER(U76),U76&lt;TODAY()),"Overdue","Open")))</f>
        <v/>
      </c>
      <c r="X76" s="27" t="n"/>
      <c r="Y76" s="27" t="n"/>
    </row>
    <row r="77">
      <c r="A77" s="28" t="n"/>
      <c r="B77" s="29" t="n"/>
      <c r="C77" s="27" t="n"/>
      <c r="D77" s="27" t="n"/>
      <c r="E77" s="27" t="n"/>
      <c r="F77" s="27" t="n"/>
      <c r="G77" s="27" t="n"/>
      <c r="H77" s="27" t="n"/>
      <c r="I77" s="27" t="n"/>
      <c r="J77" s="25" t="n"/>
      <c r="K77" s="25" t="n"/>
      <c r="L77" s="25" t="n"/>
      <c r="M77" s="25" t="n"/>
      <c r="N77" s="33">
        <f>IF(AND(L77="",M77=""),"",(N(L77)*60+N(M77))/86400)</f>
        <v/>
      </c>
      <c r="O77" s="27" t="n"/>
      <c r="P77" s="27" t="n"/>
      <c r="Q77" s="27" t="n"/>
      <c r="R77" s="27" t="n"/>
      <c r="S77" s="27" t="n"/>
      <c r="T77" s="27" t="n"/>
      <c r="U77" s="28" t="n"/>
      <c r="V77" s="28" t="n"/>
      <c r="W77" s="32">
        <f>IF(LEN(R77)=0,"",IF(ISNUMBER(V77),"Closed",IF(AND(ISNUMBER(U77),U77&lt;TODAY()),"Overdue","Open")))</f>
        <v/>
      </c>
      <c r="X77" s="27" t="n"/>
      <c r="Y77" s="27" t="n"/>
    </row>
    <row r="78">
      <c r="A78" s="28" t="n"/>
      <c r="B78" s="29" t="n"/>
      <c r="C78" s="27" t="n"/>
      <c r="D78" s="27" t="n"/>
      <c r="E78" s="27" t="n"/>
      <c r="F78" s="27" t="n"/>
      <c r="G78" s="27" t="n"/>
      <c r="H78" s="27" t="n"/>
      <c r="I78" s="27" t="n"/>
      <c r="J78" s="25" t="n"/>
      <c r="K78" s="25" t="n"/>
      <c r="L78" s="25" t="n"/>
      <c r="M78" s="25" t="n"/>
      <c r="N78" s="33">
        <f>IF(AND(L78="",M78=""),"",(N(L78)*60+N(M78))/86400)</f>
        <v/>
      </c>
      <c r="O78" s="27" t="n"/>
      <c r="P78" s="27" t="n"/>
      <c r="Q78" s="27" t="n"/>
      <c r="R78" s="27" t="n"/>
      <c r="S78" s="27" t="n"/>
      <c r="T78" s="27" t="n"/>
      <c r="U78" s="28" t="n"/>
      <c r="V78" s="28" t="n"/>
      <c r="W78" s="32">
        <f>IF(LEN(R78)=0,"",IF(ISNUMBER(V78),"Closed",IF(AND(ISNUMBER(U78),U78&lt;TODAY()),"Overdue","Open")))</f>
        <v/>
      </c>
      <c r="X78" s="27" t="n"/>
      <c r="Y78" s="27" t="n"/>
    </row>
    <row r="79">
      <c r="A79" s="28" t="n"/>
      <c r="B79" s="29" t="n"/>
      <c r="C79" s="27" t="n"/>
      <c r="D79" s="27" t="n"/>
      <c r="E79" s="27" t="n"/>
      <c r="F79" s="27" t="n"/>
      <c r="G79" s="27" t="n"/>
      <c r="H79" s="27" t="n"/>
      <c r="I79" s="27" t="n"/>
      <c r="J79" s="25" t="n"/>
      <c r="K79" s="25" t="n"/>
      <c r="L79" s="25" t="n"/>
      <c r="M79" s="25" t="n"/>
      <c r="N79" s="33">
        <f>IF(AND(L79="",M79=""),"",(N(L79)*60+N(M79))/86400)</f>
        <v/>
      </c>
      <c r="O79" s="27" t="n"/>
      <c r="P79" s="27" t="n"/>
      <c r="Q79" s="27" t="n"/>
      <c r="R79" s="27" t="n"/>
      <c r="S79" s="27" t="n"/>
      <c r="T79" s="27" t="n"/>
      <c r="U79" s="28" t="n"/>
      <c r="V79" s="28" t="n"/>
      <c r="W79" s="32">
        <f>IF(LEN(R79)=0,"",IF(ISNUMBER(V79),"Closed",IF(AND(ISNUMBER(U79),U79&lt;TODAY()),"Overdue","Open")))</f>
        <v/>
      </c>
      <c r="X79" s="27" t="n"/>
      <c r="Y79" s="27" t="n"/>
    </row>
    <row r="80">
      <c r="A80" s="28" t="n"/>
      <c r="B80" s="29" t="n"/>
      <c r="C80" s="27" t="n"/>
      <c r="D80" s="27" t="n"/>
      <c r="E80" s="27" t="n"/>
      <c r="F80" s="27" t="n"/>
      <c r="G80" s="27" t="n"/>
      <c r="H80" s="27" t="n"/>
      <c r="I80" s="27" t="n"/>
      <c r="J80" s="25" t="n"/>
      <c r="K80" s="25" t="n"/>
      <c r="L80" s="25" t="n"/>
      <c r="M80" s="25" t="n"/>
      <c r="N80" s="33">
        <f>IF(AND(L80="",M80=""),"",(N(L80)*60+N(M80))/86400)</f>
        <v/>
      </c>
      <c r="O80" s="27" t="n"/>
      <c r="P80" s="27" t="n"/>
      <c r="Q80" s="27" t="n"/>
      <c r="R80" s="27" t="n"/>
      <c r="S80" s="27" t="n"/>
      <c r="T80" s="27" t="n"/>
      <c r="U80" s="28" t="n"/>
      <c r="V80" s="28" t="n"/>
      <c r="W80" s="32">
        <f>IF(LEN(R80)=0,"",IF(ISNUMBER(V80),"Closed",IF(AND(ISNUMBER(U80),U80&lt;TODAY()),"Overdue","Open")))</f>
        <v/>
      </c>
      <c r="X80" s="27" t="n"/>
      <c r="Y80" s="27" t="n"/>
    </row>
    <row r="81">
      <c r="A81" s="28" t="n"/>
      <c r="B81" s="29" t="n"/>
      <c r="C81" s="27" t="n"/>
      <c r="D81" s="27" t="n"/>
      <c r="E81" s="27" t="n"/>
      <c r="F81" s="27" t="n"/>
      <c r="G81" s="27" t="n"/>
      <c r="H81" s="27" t="n"/>
      <c r="I81" s="27" t="n"/>
      <c r="J81" s="25" t="n"/>
      <c r="K81" s="25" t="n"/>
      <c r="L81" s="25" t="n"/>
      <c r="M81" s="25" t="n"/>
      <c r="N81" s="33">
        <f>IF(AND(L81="",M81=""),"",(N(L81)*60+N(M81))/86400)</f>
        <v/>
      </c>
      <c r="O81" s="27" t="n"/>
      <c r="P81" s="27" t="n"/>
      <c r="Q81" s="27" t="n"/>
      <c r="R81" s="27" t="n"/>
      <c r="S81" s="27" t="n"/>
      <c r="T81" s="27" t="n"/>
      <c r="U81" s="28" t="n"/>
      <c r="V81" s="28" t="n"/>
      <c r="W81" s="32">
        <f>IF(LEN(R81)=0,"",IF(ISNUMBER(V81),"Closed",IF(AND(ISNUMBER(U81),U81&lt;TODAY()),"Overdue","Open")))</f>
        <v/>
      </c>
      <c r="X81" s="27" t="n"/>
      <c r="Y81" s="27" t="n"/>
    </row>
    <row r="82">
      <c r="A82" s="28" t="n"/>
      <c r="B82" s="29" t="n"/>
      <c r="C82" s="27" t="n"/>
      <c r="D82" s="27" t="n"/>
      <c r="E82" s="27" t="n"/>
      <c r="F82" s="27" t="n"/>
      <c r="G82" s="27" t="n"/>
      <c r="H82" s="27" t="n"/>
      <c r="I82" s="27" t="n"/>
      <c r="J82" s="25" t="n"/>
      <c r="K82" s="25" t="n"/>
      <c r="L82" s="25" t="n"/>
      <c r="M82" s="25" t="n"/>
      <c r="N82" s="33">
        <f>IF(AND(L82="",M82=""),"",(N(L82)*60+N(M82))/86400)</f>
        <v/>
      </c>
      <c r="O82" s="27" t="n"/>
      <c r="P82" s="27" t="n"/>
      <c r="Q82" s="27" t="n"/>
      <c r="R82" s="27" t="n"/>
      <c r="S82" s="27" t="n"/>
      <c r="T82" s="27" t="n"/>
      <c r="U82" s="28" t="n"/>
      <c r="V82" s="28" t="n"/>
      <c r="W82" s="32">
        <f>IF(LEN(R82)=0,"",IF(ISNUMBER(V82),"Closed",IF(AND(ISNUMBER(U82),U82&lt;TODAY()),"Overdue","Open")))</f>
        <v/>
      </c>
      <c r="X82" s="27" t="n"/>
      <c r="Y82" s="27" t="n"/>
    </row>
    <row r="83">
      <c r="A83" s="28" t="n"/>
      <c r="B83" s="29" t="n"/>
      <c r="C83" s="27" t="n"/>
      <c r="D83" s="27" t="n"/>
      <c r="E83" s="27" t="n"/>
      <c r="F83" s="27" t="n"/>
      <c r="G83" s="27" t="n"/>
      <c r="H83" s="27" t="n"/>
      <c r="I83" s="27" t="n"/>
      <c r="J83" s="25" t="n"/>
      <c r="K83" s="25" t="n"/>
      <c r="L83" s="25" t="n"/>
      <c r="M83" s="25" t="n"/>
      <c r="N83" s="33">
        <f>IF(AND(L83="",M83=""),"",(N(L83)*60+N(M83))/86400)</f>
        <v/>
      </c>
      <c r="O83" s="27" t="n"/>
      <c r="P83" s="27" t="n"/>
      <c r="Q83" s="27" t="n"/>
      <c r="R83" s="27" t="n"/>
      <c r="S83" s="27" t="n"/>
      <c r="T83" s="27" t="n"/>
      <c r="U83" s="28" t="n"/>
      <c r="V83" s="28" t="n"/>
      <c r="W83" s="32">
        <f>IF(LEN(R83)=0,"",IF(ISNUMBER(V83),"Closed",IF(AND(ISNUMBER(U83),U83&lt;TODAY()),"Overdue","Open")))</f>
        <v/>
      </c>
      <c r="X83" s="27" t="n"/>
      <c r="Y83" s="27" t="n"/>
    </row>
    <row r="84">
      <c r="A84" s="28" t="n"/>
      <c r="B84" s="29" t="n"/>
      <c r="C84" s="27" t="n"/>
      <c r="D84" s="27" t="n"/>
      <c r="E84" s="27" t="n"/>
      <c r="F84" s="27" t="n"/>
      <c r="G84" s="27" t="n"/>
      <c r="H84" s="27" t="n"/>
      <c r="I84" s="27" t="n"/>
      <c r="J84" s="25" t="n"/>
      <c r="K84" s="25" t="n"/>
      <c r="L84" s="25" t="n"/>
      <c r="M84" s="25" t="n"/>
      <c r="N84" s="33">
        <f>IF(AND(L84="",M84=""),"",(N(L84)*60+N(M84))/86400)</f>
        <v/>
      </c>
      <c r="O84" s="27" t="n"/>
      <c r="P84" s="27" t="n"/>
      <c r="Q84" s="27" t="n"/>
      <c r="R84" s="27" t="n"/>
      <c r="S84" s="27" t="n"/>
      <c r="T84" s="27" t="n"/>
      <c r="U84" s="28" t="n"/>
      <c r="V84" s="28" t="n"/>
      <c r="W84" s="32">
        <f>IF(LEN(R84)=0,"",IF(ISNUMBER(V84),"Closed",IF(AND(ISNUMBER(U84),U84&lt;TODAY()),"Overdue","Open")))</f>
        <v/>
      </c>
      <c r="X84" s="27" t="n"/>
      <c r="Y84" s="27" t="n"/>
    </row>
    <row r="85">
      <c r="A85" s="28" t="n"/>
      <c r="B85" s="29" t="n"/>
      <c r="C85" s="27" t="n"/>
      <c r="D85" s="27" t="n"/>
      <c r="E85" s="27" t="n"/>
      <c r="F85" s="27" t="n"/>
      <c r="G85" s="27" t="n"/>
      <c r="H85" s="27" t="n"/>
      <c r="I85" s="27" t="n"/>
      <c r="J85" s="25" t="n"/>
      <c r="K85" s="25" t="n"/>
      <c r="L85" s="25" t="n"/>
      <c r="M85" s="25" t="n"/>
      <c r="N85" s="33">
        <f>IF(AND(L85="",M85=""),"",(N(L85)*60+N(M85))/86400)</f>
        <v/>
      </c>
      <c r="O85" s="27" t="n"/>
      <c r="P85" s="27" t="n"/>
      <c r="Q85" s="27" t="n"/>
      <c r="R85" s="27" t="n"/>
      <c r="S85" s="27" t="n"/>
      <c r="T85" s="27" t="n"/>
      <c r="U85" s="28" t="n"/>
      <c r="V85" s="28" t="n"/>
      <c r="W85" s="32">
        <f>IF(LEN(R85)=0,"",IF(ISNUMBER(V85),"Closed",IF(AND(ISNUMBER(U85),U85&lt;TODAY()),"Overdue","Open")))</f>
        <v/>
      </c>
      <c r="X85" s="27" t="n"/>
      <c r="Y85" s="27" t="n"/>
    </row>
    <row r="86">
      <c r="A86" s="28" t="n"/>
      <c r="B86" s="29" t="n"/>
      <c r="C86" s="27" t="n"/>
      <c r="D86" s="27" t="n"/>
      <c r="E86" s="27" t="n"/>
      <c r="F86" s="27" t="n"/>
      <c r="G86" s="27" t="n"/>
      <c r="H86" s="27" t="n"/>
      <c r="I86" s="27" t="n"/>
      <c r="J86" s="25" t="n"/>
      <c r="K86" s="25" t="n"/>
      <c r="L86" s="25" t="n"/>
      <c r="M86" s="25" t="n"/>
      <c r="N86" s="33">
        <f>IF(AND(L86="",M86=""),"",(N(L86)*60+N(M86))/86400)</f>
        <v/>
      </c>
      <c r="O86" s="27" t="n"/>
      <c r="P86" s="27" t="n"/>
      <c r="Q86" s="27" t="n"/>
      <c r="R86" s="27" t="n"/>
      <c r="S86" s="27" t="n"/>
      <c r="T86" s="27" t="n"/>
      <c r="U86" s="28" t="n"/>
      <c r="V86" s="28" t="n"/>
      <c r="W86" s="32">
        <f>IF(LEN(R86)=0,"",IF(ISNUMBER(V86),"Closed",IF(AND(ISNUMBER(U86),U86&lt;TODAY()),"Overdue","Open")))</f>
        <v/>
      </c>
      <c r="X86" s="27" t="n"/>
      <c r="Y86" s="27" t="n"/>
    </row>
    <row r="87">
      <c r="A87" s="28" t="n"/>
      <c r="B87" s="29" t="n"/>
      <c r="C87" s="27" t="n"/>
      <c r="D87" s="27" t="n"/>
      <c r="E87" s="27" t="n"/>
      <c r="F87" s="27" t="n"/>
      <c r="G87" s="27" t="n"/>
      <c r="H87" s="27" t="n"/>
      <c r="I87" s="27" t="n"/>
      <c r="J87" s="25" t="n"/>
      <c r="K87" s="25" t="n"/>
      <c r="L87" s="25" t="n"/>
      <c r="M87" s="25" t="n"/>
      <c r="N87" s="33">
        <f>IF(AND(L87="",M87=""),"",(N(L87)*60+N(M87))/86400)</f>
        <v/>
      </c>
      <c r="O87" s="27" t="n"/>
      <c r="P87" s="27" t="n"/>
      <c r="Q87" s="27" t="n"/>
      <c r="R87" s="27" t="n"/>
      <c r="S87" s="27" t="n"/>
      <c r="T87" s="27" t="n"/>
      <c r="U87" s="28" t="n"/>
      <c r="V87" s="28" t="n"/>
      <c r="W87" s="32">
        <f>IF(LEN(R87)=0,"",IF(ISNUMBER(V87),"Closed",IF(AND(ISNUMBER(U87),U87&lt;TODAY()),"Overdue","Open")))</f>
        <v/>
      </c>
      <c r="X87" s="27" t="n"/>
      <c r="Y87" s="27" t="n"/>
    </row>
    <row r="88">
      <c r="A88" s="28" t="n"/>
      <c r="B88" s="29" t="n"/>
      <c r="C88" s="27" t="n"/>
      <c r="D88" s="27" t="n"/>
      <c r="E88" s="27" t="n"/>
      <c r="F88" s="27" t="n"/>
      <c r="G88" s="27" t="n"/>
      <c r="H88" s="27" t="n"/>
      <c r="I88" s="27" t="n"/>
      <c r="J88" s="25" t="n"/>
      <c r="K88" s="25" t="n"/>
      <c r="L88" s="25" t="n"/>
      <c r="M88" s="25" t="n"/>
      <c r="N88" s="33">
        <f>IF(AND(L88="",M88=""),"",(N(L88)*60+N(M88))/86400)</f>
        <v/>
      </c>
      <c r="O88" s="27" t="n"/>
      <c r="P88" s="27" t="n"/>
      <c r="Q88" s="27" t="n"/>
      <c r="R88" s="27" t="n"/>
      <c r="S88" s="27" t="n"/>
      <c r="T88" s="27" t="n"/>
      <c r="U88" s="28" t="n"/>
      <c r="V88" s="28" t="n"/>
      <c r="W88" s="32">
        <f>IF(LEN(R88)=0,"",IF(ISNUMBER(V88),"Closed",IF(AND(ISNUMBER(U88),U88&lt;TODAY()),"Overdue","Open")))</f>
        <v/>
      </c>
      <c r="X88" s="27" t="n"/>
      <c r="Y88" s="27" t="n"/>
    </row>
    <row r="89">
      <c r="A89" s="28" t="n"/>
      <c r="B89" s="29" t="n"/>
      <c r="C89" s="27" t="n"/>
      <c r="D89" s="27" t="n"/>
      <c r="E89" s="27" t="n"/>
      <c r="F89" s="27" t="n"/>
      <c r="G89" s="27" t="n"/>
      <c r="H89" s="27" t="n"/>
      <c r="I89" s="27" t="n"/>
      <c r="J89" s="25" t="n"/>
      <c r="K89" s="25" t="n"/>
      <c r="L89" s="25" t="n"/>
      <c r="M89" s="25" t="n"/>
      <c r="N89" s="33">
        <f>IF(AND(L89="",M89=""),"",(N(L89)*60+N(M89))/86400)</f>
        <v/>
      </c>
      <c r="O89" s="27" t="n"/>
      <c r="P89" s="27" t="n"/>
      <c r="Q89" s="27" t="n"/>
      <c r="R89" s="27" t="n"/>
      <c r="S89" s="27" t="n"/>
      <c r="T89" s="27" t="n"/>
      <c r="U89" s="28" t="n"/>
      <c r="V89" s="28" t="n"/>
      <c r="W89" s="32">
        <f>IF(LEN(R89)=0,"",IF(ISNUMBER(V89),"Closed",IF(AND(ISNUMBER(U89),U89&lt;TODAY()),"Overdue","Open")))</f>
        <v/>
      </c>
      <c r="X89" s="27" t="n"/>
      <c r="Y89" s="27" t="n"/>
    </row>
    <row r="90">
      <c r="A90" s="28" t="n"/>
      <c r="B90" s="29" t="n"/>
      <c r="C90" s="27" t="n"/>
      <c r="D90" s="27" t="n"/>
      <c r="E90" s="27" t="n"/>
      <c r="F90" s="27" t="n"/>
      <c r="G90" s="27" t="n"/>
      <c r="H90" s="27" t="n"/>
      <c r="I90" s="27" t="n"/>
      <c r="J90" s="25" t="n"/>
      <c r="K90" s="25" t="n"/>
      <c r="L90" s="25" t="n"/>
      <c r="M90" s="25" t="n"/>
      <c r="N90" s="33">
        <f>IF(AND(L90="",M90=""),"",(N(L90)*60+N(M90))/86400)</f>
        <v/>
      </c>
      <c r="O90" s="27" t="n"/>
      <c r="P90" s="27" t="n"/>
      <c r="Q90" s="27" t="n"/>
      <c r="R90" s="27" t="n"/>
      <c r="S90" s="27" t="n"/>
      <c r="T90" s="27" t="n"/>
      <c r="U90" s="28" t="n"/>
      <c r="V90" s="28" t="n"/>
      <c r="W90" s="32">
        <f>IF(LEN(R90)=0,"",IF(ISNUMBER(V90),"Closed",IF(AND(ISNUMBER(U90),U90&lt;TODAY()),"Overdue","Open")))</f>
        <v/>
      </c>
      <c r="X90" s="27" t="n"/>
      <c r="Y90" s="27" t="n"/>
    </row>
    <row r="91">
      <c r="A91" s="28" t="n"/>
      <c r="B91" s="29" t="n"/>
      <c r="C91" s="27" t="n"/>
      <c r="D91" s="27" t="n"/>
      <c r="E91" s="27" t="n"/>
      <c r="F91" s="27" t="n"/>
      <c r="G91" s="27" t="n"/>
      <c r="H91" s="27" t="n"/>
      <c r="I91" s="27" t="n"/>
      <c r="J91" s="25" t="n"/>
      <c r="K91" s="25" t="n"/>
      <c r="L91" s="25" t="n"/>
      <c r="M91" s="25" t="n"/>
      <c r="N91" s="33">
        <f>IF(AND(L91="",M91=""),"",(N(L91)*60+N(M91))/86400)</f>
        <v/>
      </c>
      <c r="O91" s="27" t="n"/>
      <c r="P91" s="27" t="n"/>
      <c r="Q91" s="27" t="n"/>
      <c r="R91" s="27" t="n"/>
      <c r="S91" s="27" t="n"/>
      <c r="T91" s="27" t="n"/>
      <c r="U91" s="28" t="n"/>
      <c r="V91" s="28" t="n"/>
      <c r="W91" s="32">
        <f>IF(LEN(R91)=0,"",IF(ISNUMBER(V91),"Closed",IF(AND(ISNUMBER(U91),U91&lt;TODAY()),"Overdue","Open")))</f>
        <v/>
      </c>
      <c r="X91" s="27" t="n"/>
      <c r="Y91" s="27" t="n"/>
    </row>
    <row r="92">
      <c r="A92" s="28" t="n"/>
      <c r="B92" s="29" t="n"/>
      <c r="C92" s="27" t="n"/>
      <c r="D92" s="27" t="n"/>
      <c r="E92" s="27" t="n"/>
      <c r="F92" s="27" t="n"/>
      <c r="G92" s="27" t="n"/>
      <c r="H92" s="27" t="n"/>
      <c r="I92" s="27" t="n"/>
      <c r="J92" s="25" t="n"/>
      <c r="K92" s="25" t="n"/>
      <c r="L92" s="25" t="n"/>
      <c r="M92" s="25" t="n"/>
      <c r="N92" s="33">
        <f>IF(AND(L92="",M92=""),"",(N(L92)*60+N(M92))/86400)</f>
        <v/>
      </c>
      <c r="O92" s="27" t="n"/>
      <c r="P92" s="27" t="n"/>
      <c r="Q92" s="27" t="n"/>
      <c r="R92" s="27" t="n"/>
      <c r="S92" s="27" t="n"/>
      <c r="T92" s="27" t="n"/>
      <c r="U92" s="28" t="n"/>
      <c r="V92" s="28" t="n"/>
      <c r="W92" s="32">
        <f>IF(LEN(R92)=0,"",IF(ISNUMBER(V92),"Closed",IF(AND(ISNUMBER(U92),U92&lt;TODAY()),"Overdue","Open")))</f>
        <v/>
      </c>
      <c r="X92" s="27" t="n"/>
      <c r="Y92" s="27" t="n"/>
    </row>
    <row r="93">
      <c r="A93" s="28" t="n"/>
      <c r="B93" s="29" t="n"/>
      <c r="C93" s="27" t="n"/>
      <c r="D93" s="27" t="n"/>
      <c r="E93" s="27" t="n"/>
      <c r="F93" s="27" t="n"/>
      <c r="G93" s="27" t="n"/>
      <c r="H93" s="27" t="n"/>
      <c r="I93" s="27" t="n"/>
      <c r="J93" s="25" t="n"/>
      <c r="K93" s="25" t="n"/>
      <c r="L93" s="25" t="n"/>
      <c r="M93" s="25" t="n"/>
      <c r="N93" s="33">
        <f>IF(AND(L93="",M93=""),"",(N(L93)*60+N(M93))/86400)</f>
        <v/>
      </c>
      <c r="O93" s="27" t="n"/>
      <c r="P93" s="27" t="n"/>
      <c r="Q93" s="27" t="n"/>
      <c r="R93" s="27" t="n"/>
      <c r="S93" s="27" t="n"/>
      <c r="T93" s="27" t="n"/>
      <c r="U93" s="28" t="n"/>
      <c r="V93" s="28" t="n"/>
      <c r="W93" s="32">
        <f>IF(LEN(R93)=0,"",IF(ISNUMBER(V93),"Closed",IF(AND(ISNUMBER(U93),U93&lt;TODAY()),"Overdue","Open")))</f>
        <v/>
      </c>
      <c r="X93" s="27" t="n"/>
      <c r="Y93" s="27" t="n"/>
    </row>
    <row r="94">
      <c r="A94" s="28" t="n"/>
      <c r="B94" s="29" t="n"/>
      <c r="C94" s="27" t="n"/>
      <c r="D94" s="27" t="n"/>
      <c r="E94" s="27" t="n"/>
      <c r="F94" s="27" t="n"/>
      <c r="G94" s="27" t="n"/>
      <c r="H94" s="27" t="n"/>
      <c r="I94" s="27" t="n"/>
      <c r="J94" s="25" t="n"/>
      <c r="K94" s="25" t="n"/>
      <c r="L94" s="25" t="n"/>
      <c r="M94" s="25" t="n"/>
      <c r="N94" s="33">
        <f>IF(AND(L94="",M94=""),"",(N(L94)*60+N(M94))/86400)</f>
        <v/>
      </c>
      <c r="O94" s="27" t="n"/>
      <c r="P94" s="27" t="n"/>
      <c r="Q94" s="27" t="n"/>
      <c r="R94" s="27" t="n"/>
      <c r="S94" s="27" t="n"/>
      <c r="T94" s="27" t="n"/>
      <c r="U94" s="28" t="n"/>
      <c r="V94" s="28" t="n"/>
      <c r="W94" s="32">
        <f>IF(LEN(R94)=0,"",IF(ISNUMBER(V94),"Closed",IF(AND(ISNUMBER(U94),U94&lt;TODAY()),"Overdue","Open")))</f>
        <v/>
      </c>
      <c r="X94" s="27" t="n"/>
      <c r="Y94" s="27" t="n"/>
    </row>
    <row r="95">
      <c r="A95" s="28" t="n"/>
      <c r="B95" s="29" t="n"/>
      <c r="C95" s="27" t="n"/>
      <c r="D95" s="27" t="n"/>
      <c r="E95" s="27" t="n"/>
      <c r="F95" s="27" t="n"/>
      <c r="G95" s="27" t="n"/>
      <c r="H95" s="27" t="n"/>
      <c r="I95" s="27" t="n"/>
      <c r="J95" s="25" t="n"/>
      <c r="K95" s="25" t="n"/>
      <c r="L95" s="25" t="n"/>
      <c r="M95" s="25" t="n"/>
      <c r="N95" s="33">
        <f>IF(AND(L95="",M95=""),"",(N(L95)*60+N(M95))/86400)</f>
        <v/>
      </c>
      <c r="O95" s="27" t="n"/>
      <c r="P95" s="27" t="n"/>
      <c r="Q95" s="27" t="n"/>
      <c r="R95" s="27" t="n"/>
      <c r="S95" s="27" t="n"/>
      <c r="T95" s="27" t="n"/>
      <c r="U95" s="28" t="n"/>
      <c r="V95" s="28" t="n"/>
      <c r="W95" s="32">
        <f>IF(LEN(R95)=0,"",IF(ISNUMBER(V95),"Closed",IF(AND(ISNUMBER(U95),U95&lt;TODAY()),"Overdue","Open")))</f>
        <v/>
      </c>
      <c r="X95" s="27" t="n"/>
      <c r="Y95" s="27" t="n"/>
    </row>
    <row r="96">
      <c r="A96" s="28" t="n"/>
      <c r="B96" s="29" t="n"/>
      <c r="C96" s="27" t="n"/>
      <c r="D96" s="27" t="n"/>
      <c r="E96" s="27" t="n"/>
      <c r="F96" s="27" t="n"/>
      <c r="G96" s="27" t="n"/>
      <c r="H96" s="27" t="n"/>
      <c r="I96" s="27" t="n"/>
      <c r="J96" s="25" t="n"/>
      <c r="K96" s="25" t="n"/>
      <c r="L96" s="25" t="n"/>
      <c r="M96" s="25" t="n"/>
      <c r="N96" s="33">
        <f>IF(AND(L96="",M96=""),"",(N(L96)*60+N(M96))/86400)</f>
        <v/>
      </c>
      <c r="O96" s="27" t="n"/>
      <c r="P96" s="27" t="n"/>
      <c r="Q96" s="27" t="n"/>
      <c r="R96" s="27" t="n"/>
      <c r="S96" s="27" t="n"/>
      <c r="T96" s="27" t="n"/>
      <c r="U96" s="28" t="n"/>
      <c r="V96" s="28" t="n"/>
      <c r="W96" s="32">
        <f>IF(LEN(R96)=0,"",IF(ISNUMBER(V96),"Closed",IF(AND(ISNUMBER(U96),U96&lt;TODAY()),"Overdue","Open")))</f>
        <v/>
      </c>
      <c r="X96" s="27" t="n"/>
      <c r="Y96" s="27" t="n"/>
    </row>
    <row r="97">
      <c r="A97" s="28" t="n"/>
      <c r="B97" s="29" t="n"/>
      <c r="C97" s="27" t="n"/>
      <c r="D97" s="27" t="n"/>
      <c r="E97" s="27" t="n"/>
      <c r="F97" s="27" t="n"/>
      <c r="G97" s="27" t="n"/>
      <c r="H97" s="27" t="n"/>
      <c r="I97" s="27" t="n"/>
      <c r="J97" s="25" t="n"/>
      <c r="K97" s="25" t="n"/>
      <c r="L97" s="25" t="n"/>
      <c r="M97" s="25" t="n"/>
      <c r="N97" s="33">
        <f>IF(AND(L97="",M97=""),"",(N(L97)*60+N(M97))/86400)</f>
        <v/>
      </c>
      <c r="O97" s="27" t="n"/>
      <c r="P97" s="27" t="n"/>
      <c r="Q97" s="27" t="n"/>
      <c r="R97" s="27" t="n"/>
      <c r="S97" s="27" t="n"/>
      <c r="T97" s="27" t="n"/>
      <c r="U97" s="28" t="n"/>
      <c r="V97" s="28" t="n"/>
      <c r="W97" s="32">
        <f>IF(LEN(R97)=0,"",IF(ISNUMBER(V97),"Closed",IF(AND(ISNUMBER(U97),U97&lt;TODAY()),"Overdue","Open")))</f>
        <v/>
      </c>
      <c r="X97" s="27" t="n"/>
      <c r="Y97" s="27" t="n"/>
    </row>
    <row r="98">
      <c r="A98" s="28" t="n"/>
      <c r="B98" s="29" t="n"/>
      <c r="C98" s="27" t="n"/>
      <c r="D98" s="27" t="n"/>
      <c r="E98" s="27" t="n"/>
      <c r="F98" s="27" t="n"/>
      <c r="G98" s="27" t="n"/>
      <c r="H98" s="27" t="n"/>
      <c r="I98" s="27" t="n"/>
      <c r="J98" s="25" t="n"/>
      <c r="K98" s="25" t="n"/>
      <c r="L98" s="25" t="n"/>
      <c r="M98" s="25" t="n"/>
      <c r="N98" s="33">
        <f>IF(AND(L98="",M98=""),"",(N(L98)*60+N(M98))/86400)</f>
        <v/>
      </c>
      <c r="O98" s="27" t="n"/>
      <c r="P98" s="27" t="n"/>
      <c r="Q98" s="27" t="n"/>
      <c r="R98" s="27" t="n"/>
      <c r="S98" s="27" t="n"/>
      <c r="T98" s="27" t="n"/>
      <c r="U98" s="28" t="n"/>
      <c r="V98" s="28" t="n"/>
      <c r="W98" s="32">
        <f>IF(LEN(R98)=0,"",IF(ISNUMBER(V98),"Closed",IF(AND(ISNUMBER(U98),U98&lt;TODAY()),"Overdue","Open")))</f>
        <v/>
      </c>
      <c r="X98" s="27" t="n"/>
      <c r="Y98" s="27" t="n"/>
    </row>
    <row r="99">
      <c r="A99" s="28" t="n"/>
      <c r="B99" s="29" t="n"/>
      <c r="C99" s="27" t="n"/>
      <c r="D99" s="27" t="n"/>
      <c r="E99" s="27" t="n"/>
      <c r="F99" s="27" t="n"/>
      <c r="G99" s="27" t="n"/>
      <c r="H99" s="27" t="n"/>
      <c r="I99" s="27" t="n"/>
      <c r="J99" s="25" t="n"/>
      <c r="K99" s="25" t="n"/>
      <c r="L99" s="25" t="n"/>
      <c r="M99" s="25" t="n"/>
      <c r="N99" s="33">
        <f>IF(AND(L99="",M99=""),"",(N(L99)*60+N(M99))/86400)</f>
        <v/>
      </c>
      <c r="O99" s="27" t="n"/>
      <c r="P99" s="27" t="n"/>
      <c r="Q99" s="27" t="n"/>
      <c r="R99" s="27" t="n"/>
      <c r="S99" s="27" t="n"/>
      <c r="T99" s="27" t="n"/>
      <c r="U99" s="28" t="n"/>
      <c r="V99" s="28" t="n"/>
      <c r="W99" s="32">
        <f>IF(LEN(R99)=0,"",IF(ISNUMBER(V99),"Closed",IF(AND(ISNUMBER(U99),U99&lt;TODAY()),"Overdue","Open")))</f>
        <v/>
      </c>
      <c r="X99" s="27" t="n"/>
      <c r="Y99" s="27" t="n"/>
    </row>
    <row r="100">
      <c r="A100" s="28" t="n"/>
      <c r="B100" s="29" t="n"/>
      <c r="C100" s="27" t="n"/>
      <c r="D100" s="27" t="n"/>
      <c r="E100" s="27" t="n"/>
      <c r="F100" s="27" t="n"/>
      <c r="G100" s="27" t="n"/>
      <c r="H100" s="27" t="n"/>
      <c r="I100" s="27" t="n"/>
      <c r="J100" s="25" t="n"/>
      <c r="K100" s="25" t="n"/>
      <c r="L100" s="25" t="n"/>
      <c r="M100" s="25" t="n"/>
      <c r="N100" s="33">
        <f>IF(AND(L100="",M100=""),"",(N(L100)*60+N(M100))/86400)</f>
        <v/>
      </c>
      <c r="O100" s="27" t="n"/>
      <c r="P100" s="27" t="n"/>
      <c r="Q100" s="27" t="n"/>
      <c r="R100" s="27" t="n"/>
      <c r="S100" s="27" t="n"/>
      <c r="T100" s="27" t="n"/>
      <c r="U100" s="28" t="n"/>
      <c r="V100" s="28" t="n"/>
      <c r="W100" s="32">
        <f>IF(LEN(R100)=0,"",IF(ISNUMBER(V100),"Closed",IF(AND(ISNUMBER(U100),U100&lt;TODAY()),"Overdue","Open")))</f>
        <v/>
      </c>
      <c r="X100" s="27" t="n"/>
      <c r="Y100" s="27" t="n"/>
    </row>
    <row r="101">
      <c r="A101" s="28" t="n"/>
      <c r="B101" s="29" t="n"/>
      <c r="C101" s="27" t="n"/>
      <c r="D101" s="27" t="n"/>
      <c r="E101" s="27" t="n"/>
      <c r="F101" s="27" t="n"/>
      <c r="G101" s="27" t="n"/>
      <c r="H101" s="27" t="n"/>
      <c r="I101" s="27" t="n"/>
      <c r="J101" s="25" t="n"/>
      <c r="K101" s="25" t="n"/>
      <c r="L101" s="25" t="n"/>
      <c r="M101" s="25" t="n"/>
      <c r="N101" s="33">
        <f>IF(AND(L101="",M101=""),"",(N(L101)*60+N(M101))/86400)</f>
        <v/>
      </c>
      <c r="O101" s="27" t="n"/>
      <c r="P101" s="27" t="n"/>
      <c r="Q101" s="27" t="n"/>
      <c r="R101" s="27" t="n"/>
      <c r="S101" s="27" t="n"/>
      <c r="T101" s="27" t="n"/>
      <c r="U101" s="28" t="n"/>
      <c r="V101" s="28" t="n"/>
      <c r="W101" s="32">
        <f>IF(LEN(R101)=0,"",IF(ISNUMBER(V101),"Closed",IF(AND(ISNUMBER(U101),U101&lt;TODAY()),"Overdue","Open")))</f>
        <v/>
      </c>
      <c r="X101" s="27" t="n"/>
      <c r="Y101" s="27" t="n"/>
    </row>
    <row r="102">
      <c r="A102" s="28" t="n"/>
      <c r="B102" s="29" t="n"/>
      <c r="C102" s="27" t="n"/>
      <c r="D102" s="27" t="n"/>
      <c r="E102" s="27" t="n"/>
      <c r="F102" s="27" t="n"/>
      <c r="G102" s="27" t="n"/>
      <c r="H102" s="27" t="n"/>
      <c r="I102" s="27" t="n"/>
      <c r="J102" s="25" t="n"/>
      <c r="K102" s="25" t="n"/>
      <c r="L102" s="25" t="n"/>
      <c r="M102" s="25" t="n"/>
      <c r="N102" s="33">
        <f>IF(AND(L102="",M102=""),"",(N(L102)*60+N(M102))/86400)</f>
        <v/>
      </c>
      <c r="O102" s="27" t="n"/>
      <c r="P102" s="27" t="n"/>
      <c r="Q102" s="27" t="n"/>
      <c r="R102" s="27" t="n"/>
      <c r="S102" s="27" t="n"/>
      <c r="T102" s="27" t="n"/>
      <c r="U102" s="28" t="n"/>
      <c r="V102" s="28" t="n"/>
      <c r="W102" s="32">
        <f>IF(LEN(R102)=0,"",IF(ISNUMBER(V102),"Closed",IF(AND(ISNUMBER(U102),U102&lt;TODAY()),"Overdue","Open")))</f>
        <v/>
      </c>
      <c r="X102" s="27" t="n"/>
      <c r="Y102" s="27" t="n"/>
    </row>
    <row r="103">
      <c r="A103" s="28" t="n"/>
      <c r="B103" s="29" t="n"/>
      <c r="C103" s="27" t="n"/>
      <c r="D103" s="27" t="n"/>
      <c r="E103" s="27" t="n"/>
      <c r="F103" s="27" t="n"/>
      <c r="G103" s="27" t="n"/>
      <c r="H103" s="27" t="n"/>
      <c r="I103" s="27" t="n"/>
      <c r="J103" s="25" t="n"/>
      <c r="K103" s="25" t="n"/>
      <c r="L103" s="25" t="n"/>
      <c r="M103" s="25" t="n"/>
      <c r="N103" s="33">
        <f>IF(AND(L103="",M103=""),"",(N(L103)*60+N(M103))/86400)</f>
        <v/>
      </c>
      <c r="O103" s="27" t="n"/>
      <c r="P103" s="27" t="n"/>
      <c r="Q103" s="27" t="n"/>
      <c r="R103" s="27" t="n"/>
      <c r="S103" s="27" t="n"/>
      <c r="T103" s="27" t="n"/>
      <c r="U103" s="28" t="n"/>
      <c r="V103" s="28" t="n"/>
      <c r="W103" s="32">
        <f>IF(LEN(R103)=0,"",IF(ISNUMBER(V103),"Closed",IF(AND(ISNUMBER(U103),U103&lt;TODAY()),"Overdue","Open")))</f>
        <v/>
      </c>
      <c r="X103" s="27" t="n"/>
      <c r="Y103" s="27" t="n"/>
    </row>
    <row r="104">
      <c r="A104" s="28" t="n"/>
      <c r="B104" s="29" t="n"/>
      <c r="C104" s="27" t="n"/>
      <c r="D104" s="27" t="n"/>
      <c r="E104" s="27" t="n"/>
      <c r="F104" s="27" t="n"/>
      <c r="G104" s="27" t="n"/>
      <c r="H104" s="27" t="n"/>
      <c r="I104" s="27" t="n"/>
      <c r="J104" s="25" t="n"/>
      <c r="K104" s="25" t="n"/>
      <c r="L104" s="25" t="n"/>
      <c r="M104" s="25" t="n"/>
      <c r="N104" s="33">
        <f>IF(AND(L104="",M104=""),"",(N(L104)*60+N(M104))/86400)</f>
        <v/>
      </c>
      <c r="O104" s="27" t="n"/>
      <c r="P104" s="27" t="n"/>
      <c r="Q104" s="27" t="n"/>
      <c r="R104" s="27" t="n"/>
      <c r="S104" s="27" t="n"/>
      <c r="T104" s="27" t="n"/>
      <c r="U104" s="28" t="n"/>
      <c r="V104" s="28" t="n"/>
      <c r="W104" s="32">
        <f>IF(LEN(R104)=0,"",IF(ISNUMBER(V104),"Closed",IF(AND(ISNUMBER(U104),U104&lt;TODAY()),"Overdue","Open")))</f>
        <v/>
      </c>
      <c r="X104" s="27" t="n"/>
      <c r="Y104" s="27" t="n"/>
    </row>
    <row r="105">
      <c r="A105" s="28" t="n"/>
      <c r="B105" s="29" t="n"/>
      <c r="C105" s="27" t="n"/>
      <c r="D105" s="27" t="n"/>
      <c r="E105" s="27" t="n"/>
      <c r="F105" s="27" t="n"/>
      <c r="G105" s="27" t="n"/>
      <c r="H105" s="27" t="n"/>
      <c r="I105" s="27" t="n"/>
      <c r="J105" s="25" t="n"/>
      <c r="K105" s="25" t="n"/>
      <c r="L105" s="25" t="n"/>
      <c r="M105" s="25" t="n"/>
      <c r="N105" s="33">
        <f>IF(AND(L105="",M105=""),"",(N(L105)*60+N(M105))/86400)</f>
        <v/>
      </c>
      <c r="O105" s="27" t="n"/>
      <c r="P105" s="27" t="n"/>
      <c r="Q105" s="27" t="n"/>
      <c r="R105" s="27" t="n"/>
      <c r="S105" s="27" t="n"/>
      <c r="T105" s="27" t="n"/>
      <c r="U105" s="28" t="n"/>
      <c r="V105" s="28" t="n"/>
      <c r="W105" s="32">
        <f>IF(LEN(R105)=0,"",IF(ISNUMBER(V105),"Closed",IF(AND(ISNUMBER(U105),U105&lt;TODAY()),"Overdue","Open")))</f>
        <v/>
      </c>
      <c r="X105" s="27" t="n"/>
      <c r="Y105" s="27" t="n"/>
    </row>
    <row r="106">
      <c r="A106" s="28" t="n"/>
      <c r="B106" s="29" t="n"/>
      <c r="C106" s="27" t="n"/>
      <c r="D106" s="27" t="n"/>
      <c r="E106" s="27" t="n"/>
      <c r="F106" s="27" t="n"/>
      <c r="G106" s="27" t="n"/>
      <c r="H106" s="27" t="n"/>
      <c r="I106" s="27" t="n"/>
      <c r="J106" s="25" t="n"/>
      <c r="K106" s="25" t="n"/>
      <c r="L106" s="25" t="n"/>
      <c r="M106" s="25" t="n"/>
      <c r="N106" s="33">
        <f>IF(AND(L106="",M106=""),"",(N(L106)*60+N(M106))/86400)</f>
        <v/>
      </c>
      <c r="O106" s="27" t="n"/>
      <c r="P106" s="27" t="n"/>
      <c r="Q106" s="27" t="n"/>
      <c r="R106" s="27" t="n"/>
      <c r="S106" s="27" t="n"/>
      <c r="T106" s="27" t="n"/>
      <c r="U106" s="28" t="n"/>
      <c r="V106" s="28" t="n"/>
      <c r="W106" s="32">
        <f>IF(LEN(R106)=0,"",IF(ISNUMBER(V106),"Closed",IF(AND(ISNUMBER(U106),U106&lt;TODAY()),"Overdue","Open")))</f>
        <v/>
      </c>
      <c r="X106" s="27" t="n"/>
      <c r="Y106" s="27" t="n"/>
    </row>
    <row r="107">
      <c r="A107" s="28" t="n"/>
      <c r="B107" s="29" t="n"/>
      <c r="C107" s="27" t="n"/>
      <c r="D107" s="27" t="n"/>
      <c r="E107" s="27" t="n"/>
      <c r="F107" s="27" t="n"/>
      <c r="G107" s="27" t="n"/>
      <c r="H107" s="27" t="n"/>
      <c r="I107" s="27" t="n"/>
      <c r="J107" s="25" t="n"/>
      <c r="K107" s="25" t="n"/>
      <c r="L107" s="25" t="n"/>
      <c r="M107" s="25" t="n"/>
      <c r="N107" s="33">
        <f>IF(AND(L107="",M107=""),"",(N(L107)*60+N(M107))/86400)</f>
        <v/>
      </c>
      <c r="O107" s="27" t="n"/>
      <c r="P107" s="27" t="n"/>
      <c r="Q107" s="27" t="n"/>
      <c r="R107" s="27" t="n"/>
      <c r="S107" s="27" t="n"/>
      <c r="T107" s="27" t="n"/>
      <c r="U107" s="28" t="n"/>
      <c r="V107" s="28" t="n"/>
      <c r="W107" s="32">
        <f>IF(LEN(R107)=0,"",IF(ISNUMBER(V107),"Closed",IF(AND(ISNUMBER(U107),U107&lt;TODAY()),"Overdue","Open")))</f>
        <v/>
      </c>
      <c r="X107" s="27" t="n"/>
      <c r="Y107" s="27" t="n"/>
    </row>
    <row r="108">
      <c r="A108" s="28" t="n"/>
      <c r="B108" s="29" t="n"/>
      <c r="C108" s="27" t="n"/>
      <c r="D108" s="27" t="n"/>
      <c r="E108" s="27" t="n"/>
      <c r="F108" s="27" t="n"/>
      <c r="G108" s="27" t="n"/>
      <c r="H108" s="27" t="n"/>
      <c r="I108" s="27" t="n"/>
      <c r="J108" s="25" t="n"/>
      <c r="K108" s="25" t="n"/>
      <c r="L108" s="25" t="n"/>
      <c r="M108" s="25" t="n"/>
      <c r="N108" s="33">
        <f>IF(AND(L108="",M108=""),"",(N(L108)*60+N(M108))/86400)</f>
        <v/>
      </c>
      <c r="O108" s="27" t="n"/>
      <c r="P108" s="27" t="n"/>
      <c r="Q108" s="27" t="n"/>
      <c r="R108" s="27" t="n"/>
      <c r="S108" s="27" t="n"/>
      <c r="T108" s="27" t="n"/>
      <c r="U108" s="28" t="n"/>
      <c r="V108" s="28" t="n"/>
      <c r="W108" s="32">
        <f>IF(LEN(R108)=0,"",IF(ISNUMBER(V108),"Closed",IF(AND(ISNUMBER(U108),U108&lt;TODAY()),"Overdue","Open")))</f>
        <v/>
      </c>
      <c r="X108" s="27" t="n"/>
      <c r="Y108" s="27" t="n"/>
    </row>
    <row r="109">
      <c r="A109" s="28" t="n"/>
      <c r="B109" s="29" t="n"/>
      <c r="C109" s="27" t="n"/>
      <c r="D109" s="27" t="n"/>
      <c r="E109" s="27" t="n"/>
      <c r="F109" s="27" t="n"/>
      <c r="G109" s="27" t="n"/>
      <c r="H109" s="27" t="n"/>
      <c r="I109" s="27" t="n"/>
      <c r="J109" s="25" t="n"/>
      <c r="K109" s="25" t="n"/>
      <c r="L109" s="25" t="n"/>
      <c r="M109" s="25" t="n"/>
      <c r="N109" s="33">
        <f>IF(AND(L109="",M109=""),"",(N(L109)*60+N(M109))/86400)</f>
        <v/>
      </c>
      <c r="O109" s="27" t="n"/>
      <c r="P109" s="27" t="n"/>
      <c r="Q109" s="27" t="n"/>
      <c r="R109" s="27" t="n"/>
      <c r="S109" s="27" t="n"/>
      <c r="T109" s="27" t="n"/>
      <c r="U109" s="28" t="n"/>
      <c r="V109" s="28" t="n"/>
      <c r="W109" s="32">
        <f>IF(LEN(R109)=0,"",IF(ISNUMBER(V109),"Closed",IF(AND(ISNUMBER(U109),U109&lt;TODAY()),"Overdue","Open")))</f>
        <v/>
      </c>
      <c r="X109" s="27" t="n"/>
      <c r="Y109" s="27" t="n"/>
    </row>
    <row r="110">
      <c r="A110" s="28" t="n"/>
      <c r="B110" s="29" t="n"/>
      <c r="C110" s="27" t="n"/>
      <c r="D110" s="27" t="n"/>
      <c r="E110" s="27" t="n"/>
      <c r="F110" s="27" t="n"/>
      <c r="G110" s="27" t="n"/>
      <c r="H110" s="27" t="n"/>
      <c r="I110" s="27" t="n"/>
      <c r="J110" s="25" t="n"/>
      <c r="K110" s="25" t="n"/>
      <c r="L110" s="25" t="n"/>
      <c r="M110" s="25" t="n"/>
      <c r="N110" s="33">
        <f>IF(AND(L110="",M110=""),"",(N(L110)*60+N(M110))/86400)</f>
        <v/>
      </c>
      <c r="O110" s="27" t="n"/>
      <c r="P110" s="27" t="n"/>
      <c r="Q110" s="27" t="n"/>
      <c r="R110" s="27" t="n"/>
      <c r="S110" s="27" t="n"/>
      <c r="T110" s="27" t="n"/>
      <c r="U110" s="28" t="n"/>
      <c r="V110" s="28" t="n"/>
      <c r="W110" s="32">
        <f>IF(LEN(R110)=0,"",IF(ISNUMBER(V110),"Closed",IF(AND(ISNUMBER(U110),U110&lt;TODAY()),"Overdue","Open")))</f>
        <v/>
      </c>
      <c r="X110" s="27" t="n"/>
      <c r="Y110" s="27" t="n"/>
    </row>
    <row r="111">
      <c r="A111" s="28" t="n"/>
      <c r="B111" s="29" t="n"/>
      <c r="C111" s="27" t="n"/>
      <c r="D111" s="27" t="n"/>
      <c r="E111" s="27" t="n"/>
      <c r="F111" s="27" t="n"/>
      <c r="G111" s="27" t="n"/>
      <c r="H111" s="27" t="n"/>
      <c r="I111" s="27" t="n"/>
      <c r="J111" s="25" t="n"/>
      <c r="K111" s="25" t="n"/>
      <c r="L111" s="25" t="n"/>
      <c r="M111" s="25" t="n"/>
      <c r="N111" s="33">
        <f>IF(AND(L111="",M111=""),"",(N(L111)*60+N(M111))/86400)</f>
        <v/>
      </c>
      <c r="O111" s="27" t="n"/>
      <c r="P111" s="27" t="n"/>
      <c r="Q111" s="27" t="n"/>
      <c r="R111" s="27" t="n"/>
      <c r="S111" s="27" t="n"/>
      <c r="T111" s="27" t="n"/>
      <c r="U111" s="28" t="n"/>
      <c r="V111" s="28" t="n"/>
      <c r="W111" s="32">
        <f>IF(LEN(R111)=0,"",IF(ISNUMBER(V111),"Closed",IF(AND(ISNUMBER(U111),U111&lt;TODAY()),"Overdue","Open")))</f>
        <v/>
      </c>
      <c r="X111" s="27" t="n"/>
      <c r="Y111" s="27" t="n"/>
    </row>
    <row r="112">
      <c r="A112" s="28" t="n"/>
      <c r="B112" s="29" t="n"/>
      <c r="C112" s="27" t="n"/>
      <c r="D112" s="27" t="n"/>
      <c r="E112" s="27" t="n"/>
      <c r="F112" s="27" t="n"/>
      <c r="G112" s="27" t="n"/>
      <c r="H112" s="27" t="n"/>
      <c r="I112" s="27" t="n"/>
      <c r="J112" s="25" t="n"/>
      <c r="K112" s="25" t="n"/>
      <c r="L112" s="25" t="n"/>
      <c r="M112" s="25" t="n"/>
      <c r="N112" s="33">
        <f>IF(AND(L112="",M112=""),"",(N(L112)*60+N(M112))/86400)</f>
        <v/>
      </c>
      <c r="O112" s="27" t="n"/>
      <c r="P112" s="27" t="n"/>
      <c r="Q112" s="27" t="n"/>
      <c r="R112" s="27" t="n"/>
      <c r="S112" s="27" t="n"/>
      <c r="T112" s="27" t="n"/>
      <c r="U112" s="28" t="n"/>
      <c r="V112" s="28" t="n"/>
      <c r="W112" s="32">
        <f>IF(LEN(R112)=0,"",IF(ISNUMBER(V112),"Closed",IF(AND(ISNUMBER(U112),U112&lt;TODAY()),"Overdue","Open")))</f>
        <v/>
      </c>
      <c r="X112" s="27" t="n"/>
      <c r="Y112" s="27" t="n"/>
    </row>
    <row r="113">
      <c r="A113" s="28" t="n"/>
      <c r="B113" s="29" t="n"/>
      <c r="C113" s="27" t="n"/>
      <c r="D113" s="27" t="n"/>
      <c r="E113" s="27" t="n"/>
      <c r="F113" s="27" t="n"/>
      <c r="G113" s="27" t="n"/>
      <c r="H113" s="27" t="n"/>
      <c r="I113" s="27" t="n"/>
      <c r="J113" s="25" t="n"/>
      <c r="K113" s="25" t="n"/>
      <c r="L113" s="25" t="n"/>
      <c r="M113" s="25" t="n"/>
      <c r="N113" s="33">
        <f>IF(AND(L113="",M113=""),"",(N(L113)*60+N(M113))/86400)</f>
        <v/>
      </c>
      <c r="O113" s="27" t="n"/>
      <c r="P113" s="27" t="n"/>
      <c r="Q113" s="27" t="n"/>
      <c r="R113" s="27" t="n"/>
      <c r="S113" s="27" t="n"/>
      <c r="T113" s="27" t="n"/>
      <c r="U113" s="28" t="n"/>
      <c r="V113" s="28" t="n"/>
      <c r="W113" s="32">
        <f>IF(LEN(R113)=0,"",IF(ISNUMBER(V113),"Closed",IF(AND(ISNUMBER(U113),U113&lt;TODAY()),"Overdue","Open")))</f>
        <v/>
      </c>
      <c r="X113" s="27" t="n"/>
      <c r="Y113" s="27" t="n"/>
    </row>
    <row r="114">
      <c r="A114" s="28" t="n"/>
      <c r="B114" s="29" t="n"/>
      <c r="C114" s="27" t="n"/>
      <c r="D114" s="27" t="n"/>
      <c r="E114" s="27" t="n"/>
      <c r="F114" s="27" t="n"/>
      <c r="G114" s="27" t="n"/>
      <c r="H114" s="27" t="n"/>
      <c r="I114" s="27" t="n"/>
      <c r="J114" s="25" t="n"/>
      <c r="K114" s="25" t="n"/>
      <c r="L114" s="25" t="n"/>
      <c r="M114" s="25" t="n"/>
      <c r="N114" s="33">
        <f>IF(AND(L114="",M114=""),"",(N(L114)*60+N(M114))/86400)</f>
        <v/>
      </c>
      <c r="O114" s="27" t="n"/>
      <c r="P114" s="27" t="n"/>
      <c r="Q114" s="27" t="n"/>
      <c r="R114" s="27" t="n"/>
      <c r="S114" s="27" t="n"/>
      <c r="T114" s="27" t="n"/>
      <c r="U114" s="28" t="n"/>
      <c r="V114" s="28" t="n"/>
      <c r="W114" s="32">
        <f>IF(LEN(R114)=0,"",IF(ISNUMBER(V114),"Closed",IF(AND(ISNUMBER(U114),U114&lt;TODAY()),"Overdue","Open")))</f>
        <v/>
      </c>
      <c r="X114" s="27" t="n"/>
      <c r="Y114" s="27" t="n"/>
    </row>
    <row r="115">
      <c r="A115" s="28" t="n"/>
      <c r="B115" s="29" t="n"/>
      <c r="C115" s="27" t="n"/>
      <c r="D115" s="27" t="n"/>
      <c r="E115" s="27" t="n"/>
      <c r="F115" s="27" t="n"/>
      <c r="G115" s="27" t="n"/>
      <c r="H115" s="27" t="n"/>
      <c r="I115" s="27" t="n"/>
      <c r="J115" s="25" t="n"/>
      <c r="K115" s="25" t="n"/>
      <c r="L115" s="25" t="n"/>
      <c r="M115" s="25" t="n"/>
      <c r="N115" s="33">
        <f>IF(AND(L115="",M115=""),"",(N(L115)*60+N(M115))/86400)</f>
        <v/>
      </c>
      <c r="O115" s="27" t="n"/>
      <c r="P115" s="27" t="n"/>
      <c r="Q115" s="27" t="n"/>
      <c r="R115" s="27" t="n"/>
      <c r="S115" s="27" t="n"/>
      <c r="T115" s="27" t="n"/>
      <c r="U115" s="28" t="n"/>
      <c r="V115" s="28" t="n"/>
      <c r="W115" s="32">
        <f>IF(LEN(R115)=0,"",IF(ISNUMBER(V115),"Closed",IF(AND(ISNUMBER(U115),U115&lt;TODAY()),"Overdue","Open")))</f>
        <v/>
      </c>
      <c r="X115" s="27" t="n"/>
      <c r="Y115" s="27" t="n"/>
    </row>
    <row r="116">
      <c r="A116" s="28" t="n"/>
      <c r="B116" s="29" t="n"/>
      <c r="C116" s="27" t="n"/>
      <c r="D116" s="27" t="n"/>
      <c r="E116" s="27" t="n"/>
      <c r="F116" s="27" t="n"/>
      <c r="G116" s="27" t="n"/>
      <c r="H116" s="27" t="n"/>
      <c r="I116" s="27" t="n"/>
      <c r="J116" s="25" t="n"/>
      <c r="K116" s="25" t="n"/>
      <c r="L116" s="25" t="n"/>
      <c r="M116" s="25" t="n"/>
      <c r="N116" s="33">
        <f>IF(AND(L116="",M116=""),"",(N(L116)*60+N(M116))/86400)</f>
        <v/>
      </c>
      <c r="O116" s="27" t="n"/>
      <c r="P116" s="27" t="n"/>
      <c r="Q116" s="27" t="n"/>
      <c r="R116" s="27" t="n"/>
      <c r="S116" s="27" t="n"/>
      <c r="T116" s="27" t="n"/>
      <c r="U116" s="28" t="n"/>
      <c r="V116" s="28" t="n"/>
      <c r="W116" s="32">
        <f>IF(LEN(R116)=0,"",IF(ISNUMBER(V116),"Closed",IF(AND(ISNUMBER(U116),U116&lt;TODAY()),"Overdue","Open")))</f>
        <v/>
      </c>
      <c r="X116" s="27" t="n"/>
      <c r="Y116" s="27" t="n"/>
    </row>
    <row r="117">
      <c r="A117" s="28" t="n"/>
      <c r="B117" s="29" t="n"/>
      <c r="C117" s="27" t="n"/>
      <c r="D117" s="27" t="n"/>
      <c r="E117" s="27" t="n"/>
      <c r="F117" s="27" t="n"/>
      <c r="G117" s="27" t="n"/>
      <c r="H117" s="27" t="n"/>
      <c r="I117" s="27" t="n"/>
      <c r="J117" s="25" t="n"/>
      <c r="K117" s="25" t="n"/>
      <c r="L117" s="25" t="n"/>
      <c r="M117" s="25" t="n"/>
      <c r="N117" s="33">
        <f>IF(AND(L117="",M117=""),"",(N(L117)*60+N(M117))/86400)</f>
        <v/>
      </c>
      <c r="O117" s="27" t="n"/>
      <c r="P117" s="27" t="n"/>
      <c r="Q117" s="27" t="n"/>
      <c r="R117" s="27" t="n"/>
      <c r="S117" s="27" t="n"/>
      <c r="T117" s="27" t="n"/>
      <c r="U117" s="28" t="n"/>
      <c r="V117" s="28" t="n"/>
      <c r="W117" s="32">
        <f>IF(LEN(R117)=0,"",IF(ISNUMBER(V117),"Closed",IF(AND(ISNUMBER(U117),U117&lt;TODAY()),"Overdue","Open")))</f>
        <v/>
      </c>
      <c r="X117" s="27" t="n"/>
      <c r="Y117" s="27" t="n"/>
    </row>
    <row r="118">
      <c r="A118" s="28" t="n"/>
      <c r="B118" s="29" t="n"/>
      <c r="C118" s="27" t="n"/>
      <c r="D118" s="27" t="n"/>
      <c r="E118" s="27" t="n"/>
      <c r="F118" s="27" t="n"/>
      <c r="G118" s="27" t="n"/>
      <c r="H118" s="27" t="n"/>
      <c r="I118" s="27" t="n"/>
      <c r="J118" s="25" t="n"/>
      <c r="K118" s="25" t="n"/>
      <c r="L118" s="25" t="n"/>
      <c r="M118" s="25" t="n"/>
      <c r="N118" s="33">
        <f>IF(AND(L118="",M118=""),"",(N(L118)*60+N(M118))/86400)</f>
        <v/>
      </c>
      <c r="O118" s="27" t="n"/>
      <c r="P118" s="27" t="n"/>
      <c r="Q118" s="27" t="n"/>
      <c r="R118" s="27" t="n"/>
      <c r="S118" s="27" t="n"/>
      <c r="T118" s="27" t="n"/>
      <c r="U118" s="28" t="n"/>
      <c r="V118" s="28" t="n"/>
      <c r="W118" s="32">
        <f>IF(LEN(R118)=0,"",IF(ISNUMBER(V118),"Closed",IF(AND(ISNUMBER(U118),U118&lt;TODAY()),"Overdue","Open")))</f>
        <v/>
      </c>
      <c r="X118" s="27" t="n"/>
      <c r="Y118" s="27" t="n"/>
    </row>
    <row r="119">
      <c r="A119" s="28" t="n"/>
      <c r="B119" s="29" t="n"/>
      <c r="C119" s="27" t="n"/>
      <c r="D119" s="27" t="n"/>
      <c r="E119" s="27" t="n"/>
      <c r="F119" s="27" t="n"/>
      <c r="G119" s="27" t="n"/>
      <c r="H119" s="27" t="n"/>
      <c r="I119" s="27" t="n"/>
      <c r="J119" s="25" t="n"/>
      <c r="K119" s="25" t="n"/>
      <c r="L119" s="25" t="n"/>
      <c r="M119" s="25" t="n"/>
      <c r="N119" s="33">
        <f>IF(AND(L119="",M119=""),"",(N(L119)*60+N(M119))/86400)</f>
        <v/>
      </c>
      <c r="O119" s="27" t="n"/>
      <c r="P119" s="27" t="n"/>
      <c r="Q119" s="27" t="n"/>
      <c r="R119" s="27" t="n"/>
      <c r="S119" s="27" t="n"/>
      <c r="T119" s="27" t="n"/>
      <c r="U119" s="28" t="n"/>
      <c r="V119" s="28" t="n"/>
      <c r="W119" s="32">
        <f>IF(LEN(R119)=0,"",IF(ISNUMBER(V119),"Closed",IF(AND(ISNUMBER(U119),U119&lt;TODAY()),"Overdue","Open")))</f>
        <v/>
      </c>
      <c r="X119" s="27" t="n"/>
      <c r="Y119" s="27" t="n"/>
    </row>
    <row r="120">
      <c r="A120" s="28" t="n"/>
      <c r="B120" s="29" t="n"/>
      <c r="C120" s="27" t="n"/>
      <c r="D120" s="27" t="n"/>
      <c r="E120" s="27" t="n"/>
      <c r="F120" s="27" t="n"/>
      <c r="G120" s="27" t="n"/>
      <c r="H120" s="27" t="n"/>
      <c r="I120" s="27" t="n"/>
      <c r="J120" s="25" t="n"/>
      <c r="K120" s="25" t="n"/>
      <c r="L120" s="25" t="n"/>
      <c r="M120" s="25" t="n"/>
      <c r="N120" s="33">
        <f>IF(AND(L120="",M120=""),"",(N(L120)*60+N(M120))/86400)</f>
        <v/>
      </c>
      <c r="O120" s="27" t="n"/>
      <c r="P120" s="27" t="n"/>
      <c r="Q120" s="27" t="n"/>
      <c r="R120" s="27" t="n"/>
      <c r="S120" s="27" t="n"/>
      <c r="T120" s="27" t="n"/>
      <c r="U120" s="28" t="n"/>
      <c r="V120" s="28" t="n"/>
      <c r="W120" s="32">
        <f>IF(LEN(R120)=0,"",IF(ISNUMBER(V120),"Closed",IF(AND(ISNUMBER(U120),U120&lt;TODAY()),"Overdue","Open")))</f>
        <v/>
      </c>
      <c r="X120" s="27" t="n"/>
      <c r="Y120" s="27" t="n"/>
    </row>
    <row r="121">
      <c r="A121" s="28" t="n"/>
      <c r="B121" s="29" t="n"/>
      <c r="C121" s="27" t="n"/>
      <c r="D121" s="27" t="n"/>
      <c r="E121" s="27" t="n"/>
      <c r="F121" s="27" t="n"/>
      <c r="G121" s="27" t="n"/>
      <c r="H121" s="27" t="n"/>
      <c r="I121" s="27" t="n"/>
      <c r="J121" s="25" t="n"/>
      <c r="K121" s="25" t="n"/>
      <c r="L121" s="25" t="n"/>
      <c r="M121" s="25" t="n"/>
      <c r="N121" s="33">
        <f>IF(AND(L121="",M121=""),"",(N(L121)*60+N(M121))/86400)</f>
        <v/>
      </c>
      <c r="O121" s="27" t="n"/>
      <c r="P121" s="27" t="n"/>
      <c r="Q121" s="27" t="n"/>
      <c r="R121" s="27" t="n"/>
      <c r="S121" s="27" t="n"/>
      <c r="T121" s="27" t="n"/>
      <c r="U121" s="28" t="n"/>
      <c r="V121" s="28" t="n"/>
      <c r="W121" s="32">
        <f>IF(LEN(R121)=0,"",IF(ISNUMBER(V121),"Closed",IF(AND(ISNUMBER(U121),U121&lt;TODAY()),"Overdue","Open")))</f>
        <v/>
      </c>
      <c r="X121" s="27" t="n"/>
      <c r="Y121" s="27" t="n"/>
    </row>
    <row r="122">
      <c r="A122" s="28" t="n"/>
      <c r="B122" s="29" t="n"/>
      <c r="C122" s="27" t="n"/>
      <c r="D122" s="27" t="n"/>
      <c r="E122" s="27" t="n"/>
      <c r="F122" s="27" t="n"/>
      <c r="G122" s="27" t="n"/>
      <c r="H122" s="27" t="n"/>
      <c r="I122" s="27" t="n"/>
      <c r="J122" s="25" t="n"/>
      <c r="K122" s="25" t="n"/>
      <c r="L122" s="25" t="n"/>
      <c r="M122" s="25" t="n"/>
      <c r="N122" s="33">
        <f>IF(AND(L122="",M122=""),"",(N(L122)*60+N(M122))/86400)</f>
        <v/>
      </c>
      <c r="O122" s="27" t="n"/>
      <c r="P122" s="27" t="n"/>
      <c r="Q122" s="27" t="n"/>
      <c r="R122" s="27" t="n"/>
      <c r="S122" s="27" t="n"/>
      <c r="T122" s="27" t="n"/>
      <c r="U122" s="28" t="n"/>
      <c r="V122" s="28" t="n"/>
      <c r="W122" s="32">
        <f>IF(LEN(R122)=0,"",IF(ISNUMBER(V122),"Closed",IF(AND(ISNUMBER(U122),U122&lt;TODAY()),"Overdue","Open")))</f>
        <v/>
      </c>
      <c r="X122" s="27" t="n"/>
      <c r="Y122" s="27" t="n"/>
    </row>
    <row r="123">
      <c r="A123" s="28" t="n"/>
      <c r="B123" s="29" t="n"/>
      <c r="C123" s="27" t="n"/>
      <c r="D123" s="27" t="n"/>
      <c r="E123" s="27" t="n"/>
      <c r="F123" s="27" t="n"/>
      <c r="G123" s="27" t="n"/>
      <c r="H123" s="27" t="n"/>
      <c r="I123" s="27" t="n"/>
      <c r="J123" s="25" t="n"/>
      <c r="K123" s="25" t="n"/>
      <c r="L123" s="25" t="n"/>
      <c r="M123" s="25" t="n"/>
      <c r="N123" s="33">
        <f>IF(AND(L123="",M123=""),"",(N(L123)*60+N(M123))/86400)</f>
        <v/>
      </c>
      <c r="O123" s="27" t="n"/>
      <c r="P123" s="27" t="n"/>
      <c r="Q123" s="27" t="n"/>
      <c r="R123" s="27" t="n"/>
      <c r="S123" s="27" t="n"/>
      <c r="T123" s="27" t="n"/>
      <c r="U123" s="28" t="n"/>
      <c r="V123" s="28" t="n"/>
      <c r="W123" s="32">
        <f>IF(LEN(R123)=0,"",IF(ISNUMBER(V123),"Closed",IF(AND(ISNUMBER(U123),U123&lt;TODAY()),"Overdue","Open")))</f>
        <v/>
      </c>
      <c r="X123" s="27" t="n"/>
      <c r="Y123" s="27" t="n"/>
    </row>
    <row r="124">
      <c r="A124" s="28" t="n"/>
      <c r="B124" s="29" t="n"/>
      <c r="C124" s="27" t="n"/>
      <c r="D124" s="27" t="n"/>
      <c r="E124" s="27" t="n"/>
      <c r="F124" s="27" t="n"/>
      <c r="G124" s="27" t="n"/>
      <c r="H124" s="27" t="n"/>
      <c r="I124" s="27" t="n"/>
      <c r="J124" s="25" t="n"/>
      <c r="K124" s="25" t="n"/>
      <c r="L124" s="25" t="n"/>
      <c r="M124" s="25" t="n"/>
      <c r="N124" s="33">
        <f>IF(AND(L124="",M124=""),"",(N(L124)*60+N(M124))/86400)</f>
        <v/>
      </c>
      <c r="O124" s="27" t="n"/>
      <c r="P124" s="27" t="n"/>
      <c r="Q124" s="27" t="n"/>
      <c r="R124" s="27" t="n"/>
      <c r="S124" s="27" t="n"/>
      <c r="T124" s="27" t="n"/>
      <c r="U124" s="28" t="n"/>
      <c r="V124" s="28" t="n"/>
      <c r="W124" s="32">
        <f>IF(LEN(R124)=0,"",IF(ISNUMBER(V124),"Closed",IF(AND(ISNUMBER(U124),U124&lt;TODAY()),"Overdue","Open")))</f>
        <v/>
      </c>
      <c r="X124" s="27" t="n"/>
      <c r="Y124" s="27" t="n"/>
    </row>
    <row r="125">
      <c r="A125" s="28" t="n"/>
      <c r="B125" s="29" t="n"/>
      <c r="C125" s="27" t="n"/>
      <c r="D125" s="27" t="n"/>
      <c r="E125" s="27" t="n"/>
      <c r="F125" s="27" t="n"/>
      <c r="G125" s="27" t="n"/>
      <c r="H125" s="27" t="n"/>
      <c r="I125" s="27" t="n"/>
      <c r="J125" s="25" t="n"/>
      <c r="K125" s="25" t="n"/>
      <c r="L125" s="25" t="n"/>
      <c r="M125" s="25" t="n"/>
      <c r="N125" s="33">
        <f>IF(AND(L125="",M125=""),"",(N(L125)*60+N(M125))/86400)</f>
        <v/>
      </c>
      <c r="O125" s="27" t="n"/>
      <c r="P125" s="27" t="n"/>
      <c r="Q125" s="27" t="n"/>
      <c r="R125" s="27" t="n"/>
      <c r="S125" s="27" t="n"/>
      <c r="T125" s="27" t="n"/>
      <c r="U125" s="28" t="n"/>
      <c r="V125" s="28" t="n"/>
      <c r="W125" s="32">
        <f>IF(LEN(R125)=0,"",IF(ISNUMBER(V125),"Closed",IF(AND(ISNUMBER(U125),U125&lt;TODAY()),"Overdue","Open")))</f>
        <v/>
      </c>
      <c r="X125" s="27" t="n"/>
      <c r="Y125" s="27" t="n"/>
    </row>
    <row r="126">
      <c r="A126" s="28" t="n"/>
      <c r="B126" s="29" t="n"/>
      <c r="C126" s="27" t="n"/>
      <c r="D126" s="27" t="n"/>
      <c r="E126" s="27" t="n"/>
      <c r="F126" s="27" t="n"/>
      <c r="G126" s="27" t="n"/>
      <c r="H126" s="27" t="n"/>
      <c r="I126" s="27" t="n"/>
      <c r="J126" s="25" t="n"/>
      <c r="K126" s="25" t="n"/>
      <c r="L126" s="25" t="n"/>
      <c r="M126" s="25" t="n"/>
      <c r="N126" s="33">
        <f>IF(AND(L126="",M126=""),"",(N(L126)*60+N(M126))/86400)</f>
        <v/>
      </c>
      <c r="O126" s="27" t="n"/>
      <c r="P126" s="27" t="n"/>
      <c r="Q126" s="27" t="n"/>
      <c r="R126" s="27" t="n"/>
      <c r="S126" s="27" t="n"/>
      <c r="T126" s="27" t="n"/>
      <c r="U126" s="28" t="n"/>
      <c r="V126" s="28" t="n"/>
      <c r="W126" s="32">
        <f>IF(LEN(R126)=0,"",IF(ISNUMBER(V126),"Closed",IF(AND(ISNUMBER(U126),U126&lt;TODAY()),"Overdue","Open")))</f>
        <v/>
      </c>
      <c r="X126" s="27" t="n"/>
      <c r="Y126" s="27" t="n"/>
    </row>
    <row r="127">
      <c r="A127" s="28" t="n"/>
      <c r="B127" s="29" t="n"/>
      <c r="C127" s="27" t="n"/>
      <c r="D127" s="27" t="n"/>
      <c r="E127" s="27" t="n"/>
      <c r="F127" s="27" t="n"/>
      <c r="G127" s="27" t="n"/>
      <c r="H127" s="27" t="n"/>
      <c r="I127" s="27" t="n"/>
      <c r="J127" s="25" t="n"/>
      <c r="K127" s="25" t="n"/>
      <c r="L127" s="25" t="n"/>
      <c r="M127" s="25" t="n"/>
      <c r="N127" s="33">
        <f>IF(AND(L127="",M127=""),"",(N(L127)*60+N(M127))/86400)</f>
        <v/>
      </c>
      <c r="O127" s="27" t="n"/>
      <c r="P127" s="27" t="n"/>
      <c r="Q127" s="27" t="n"/>
      <c r="R127" s="27" t="n"/>
      <c r="S127" s="27" t="n"/>
      <c r="T127" s="27" t="n"/>
      <c r="U127" s="28" t="n"/>
      <c r="V127" s="28" t="n"/>
      <c r="W127" s="32">
        <f>IF(LEN(R127)=0,"",IF(ISNUMBER(V127),"Closed",IF(AND(ISNUMBER(U127),U127&lt;TODAY()),"Overdue","Open")))</f>
        <v/>
      </c>
      <c r="X127" s="27" t="n"/>
      <c r="Y127" s="27" t="n"/>
    </row>
    <row r="128">
      <c r="A128" s="28" t="n"/>
      <c r="B128" s="29" t="n"/>
      <c r="C128" s="27" t="n"/>
      <c r="D128" s="27" t="n"/>
      <c r="E128" s="27" t="n"/>
      <c r="F128" s="27" t="n"/>
      <c r="G128" s="27" t="n"/>
      <c r="H128" s="27" t="n"/>
      <c r="I128" s="27" t="n"/>
      <c r="J128" s="25" t="n"/>
      <c r="K128" s="25" t="n"/>
      <c r="L128" s="25" t="n"/>
      <c r="M128" s="25" t="n"/>
      <c r="N128" s="33">
        <f>IF(AND(L128="",M128=""),"",(N(L128)*60+N(M128))/86400)</f>
        <v/>
      </c>
      <c r="O128" s="27" t="n"/>
      <c r="P128" s="27" t="n"/>
      <c r="Q128" s="27" t="n"/>
      <c r="R128" s="27" t="n"/>
      <c r="S128" s="27" t="n"/>
      <c r="T128" s="27" t="n"/>
      <c r="U128" s="28" t="n"/>
      <c r="V128" s="28" t="n"/>
      <c r="W128" s="32">
        <f>IF(LEN(R128)=0,"",IF(ISNUMBER(V128),"Closed",IF(AND(ISNUMBER(U128),U128&lt;TODAY()),"Overdue","Open")))</f>
        <v/>
      </c>
      <c r="X128" s="27" t="n"/>
      <c r="Y128" s="27" t="n"/>
    </row>
    <row r="129">
      <c r="A129" s="28" t="n"/>
      <c r="B129" s="29" t="n"/>
      <c r="C129" s="27" t="n"/>
      <c r="D129" s="27" t="n"/>
      <c r="E129" s="27" t="n"/>
      <c r="F129" s="27" t="n"/>
      <c r="G129" s="27" t="n"/>
      <c r="H129" s="27" t="n"/>
      <c r="I129" s="27" t="n"/>
      <c r="J129" s="25" t="n"/>
      <c r="K129" s="25" t="n"/>
      <c r="L129" s="25" t="n"/>
      <c r="M129" s="25" t="n"/>
      <c r="N129" s="33">
        <f>IF(AND(L129="",M129=""),"",(N(L129)*60+N(M129))/86400)</f>
        <v/>
      </c>
      <c r="O129" s="27" t="n"/>
      <c r="P129" s="27" t="n"/>
      <c r="Q129" s="27" t="n"/>
      <c r="R129" s="27" t="n"/>
      <c r="S129" s="27" t="n"/>
      <c r="T129" s="27" t="n"/>
      <c r="U129" s="28" t="n"/>
      <c r="V129" s="28" t="n"/>
      <c r="W129" s="32">
        <f>IF(LEN(R129)=0,"",IF(ISNUMBER(V129),"Closed",IF(AND(ISNUMBER(U129),U129&lt;TODAY()),"Overdue","Open")))</f>
        <v/>
      </c>
      <c r="X129" s="27" t="n"/>
      <c r="Y129" s="27" t="n"/>
    </row>
    <row r="130">
      <c r="A130" s="28" t="n"/>
      <c r="B130" s="29" t="n"/>
      <c r="C130" s="27" t="n"/>
      <c r="D130" s="27" t="n"/>
      <c r="E130" s="27" t="n"/>
      <c r="F130" s="27" t="n"/>
      <c r="G130" s="27" t="n"/>
      <c r="H130" s="27" t="n"/>
      <c r="I130" s="27" t="n"/>
      <c r="J130" s="25" t="n"/>
      <c r="K130" s="25" t="n"/>
      <c r="L130" s="25" t="n"/>
      <c r="M130" s="25" t="n"/>
      <c r="N130" s="33">
        <f>IF(AND(L130="",M130=""),"",(N(L130)*60+N(M130))/86400)</f>
        <v/>
      </c>
      <c r="O130" s="27" t="n"/>
      <c r="P130" s="27" t="n"/>
      <c r="Q130" s="27" t="n"/>
      <c r="R130" s="27" t="n"/>
      <c r="S130" s="27" t="n"/>
      <c r="T130" s="27" t="n"/>
      <c r="U130" s="28" t="n"/>
      <c r="V130" s="28" t="n"/>
      <c r="W130" s="32">
        <f>IF(LEN(R130)=0,"",IF(ISNUMBER(V130),"Closed",IF(AND(ISNUMBER(U130),U130&lt;TODAY()),"Overdue","Open")))</f>
        <v/>
      </c>
      <c r="X130" s="27" t="n"/>
      <c r="Y130" s="27" t="n"/>
    </row>
    <row r="131">
      <c r="A131" s="28" t="n"/>
      <c r="B131" s="29" t="n"/>
      <c r="C131" s="27" t="n"/>
      <c r="D131" s="27" t="n"/>
      <c r="E131" s="27" t="n"/>
      <c r="F131" s="27" t="n"/>
      <c r="G131" s="27" t="n"/>
      <c r="H131" s="27" t="n"/>
      <c r="I131" s="27" t="n"/>
      <c r="J131" s="25" t="n"/>
      <c r="K131" s="25" t="n"/>
      <c r="L131" s="25" t="n"/>
      <c r="M131" s="25" t="n"/>
      <c r="N131" s="33">
        <f>IF(AND(L131="",M131=""),"",(N(L131)*60+N(M131))/86400)</f>
        <v/>
      </c>
      <c r="O131" s="27" t="n"/>
      <c r="P131" s="27" t="n"/>
      <c r="Q131" s="27" t="n"/>
      <c r="R131" s="27" t="n"/>
      <c r="S131" s="27" t="n"/>
      <c r="T131" s="27" t="n"/>
      <c r="U131" s="28" t="n"/>
      <c r="V131" s="28" t="n"/>
      <c r="W131" s="32">
        <f>IF(LEN(R131)=0,"",IF(ISNUMBER(V131),"Closed",IF(AND(ISNUMBER(U131),U131&lt;TODAY()),"Overdue","Open")))</f>
        <v/>
      </c>
      <c r="X131" s="27" t="n"/>
      <c r="Y131" s="27" t="n"/>
    </row>
    <row r="132">
      <c r="A132" s="28" t="n"/>
      <c r="B132" s="29" t="n"/>
      <c r="C132" s="27" t="n"/>
      <c r="D132" s="27" t="n"/>
      <c r="E132" s="27" t="n"/>
      <c r="F132" s="27" t="n"/>
      <c r="G132" s="27" t="n"/>
      <c r="H132" s="27" t="n"/>
      <c r="I132" s="27" t="n"/>
      <c r="J132" s="25" t="n"/>
      <c r="K132" s="25" t="n"/>
      <c r="L132" s="25" t="n"/>
      <c r="M132" s="25" t="n"/>
      <c r="N132" s="33">
        <f>IF(AND(L132="",M132=""),"",(N(L132)*60+N(M132))/86400)</f>
        <v/>
      </c>
      <c r="O132" s="27" t="n"/>
      <c r="P132" s="27" t="n"/>
      <c r="Q132" s="27" t="n"/>
      <c r="R132" s="27" t="n"/>
      <c r="S132" s="27" t="n"/>
      <c r="T132" s="27" t="n"/>
      <c r="U132" s="28" t="n"/>
      <c r="V132" s="28" t="n"/>
      <c r="W132" s="32">
        <f>IF(LEN(R132)=0,"",IF(ISNUMBER(V132),"Closed",IF(AND(ISNUMBER(U132),U132&lt;TODAY()),"Overdue","Open")))</f>
        <v/>
      </c>
      <c r="X132" s="27" t="n"/>
      <c r="Y132" s="27" t="n"/>
    </row>
    <row r="133">
      <c r="A133" s="28" t="n"/>
      <c r="B133" s="29" t="n"/>
      <c r="C133" s="27" t="n"/>
      <c r="D133" s="27" t="n"/>
      <c r="E133" s="27" t="n"/>
      <c r="F133" s="27" t="n"/>
      <c r="G133" s="27" t="n"/>
      <c r="H133" s="27" t="n"/>
      <c r="I133" s="27" t="n"/>
      <c r="J133" s="25" t="n"/>
      <c r="K133" s="25" t="n"/>
      <c r="L133" s="25" t="n"/>
      <c r="M133" s="25" t="n"/>
      <c r="N133" s="33">
        <f>IF(AND(L133="",M133=""),"",(N(L133)*60+N(M133))/86400)</f>
        <v/>
      </c>
      <c r="O133" s="27" t="n"/>
      <c r="P133" s="27" t="n"/>
      <c r="Q133" s="27" t="n"/>
      <c r="R133" s="27" t="n"/>
      <c r="S133" s="27" t="n"/>
      <c r="T133" s="27" t="n"/>
      <c r="U133" s="28" t="n"/>
      <c r="V133" s="28" t="n"/>
      <c r="W133" s="32">
        <f>IF(LEN(R133)=0,"",IF(ISNUMBER(V133),"Closed",IF(AND(ISNUMBER(U133),U133&lt;TODAY()),"Overdue","Open")))</f>
        <v/>
      </c>
      <c r="X133" s="27" t="n"/>
      <c r="Y133" s="27" t="n"/>
    </row>
    <row r="134">
      <c r="A134" s="28" t="n"/>
      <c r="B134" s="29" t="n"/>
      <c r="C134" s="27" t="n"/>
      <c r="D134" s="27" t="n"/>
      <c r="E134" s="27" t="n"/>
      <c r="F134" s="27" t="n"/>
      <c r="G134" s="27" t="n"/>
      <c r="H134" s="27" t="n"/>
      <c r="I134" s="27" t="n"/>
      <c r="J134" s="25" t="n"/>
      <c r="K134" s="25" t="n"/>
      <c r="L134" s="25" t="n"/>
      <c r="M134" s="25" t="n"/>
      <c r="N134" s="33">
        <f>IF(AND(L134="",M134=""),"",(N(L134)*60+N(M134))/86400)</f>
        <v/>
      </c>
      <c r="O134" s="27" t="n"/>
      <c r="P134" s="27" t="n"/>
      <c r="Q134" s="27" t="n"/>
      <c r="R134" s="27" t="n"/>
      <c r="S134" s="27" t="n"/>
      <c r="T134" s="27" t="n"/>
      <c r="U134" s="28" t="n"/>
      <c r="V134" s="28" t="n"/>
      <c r="W134" s="32">
        <f>IF(LEN(R134)=0,"",IF(ISNUMBER(V134),"Closed",IF(AND(ISNUMBER(U134),U134&lt;TODAY()),"Overdue","Open")))</f>
        <v/>
      </c>
      <c r="X134" s="27" t="n"/>
      <c r="Y134" s="27" t="n"/>
    </row>
    <row r="135">
      <c r="A135" s="28" t="n"/>
      <c r="B135" s="29" t="n"/>
      <c r="C135" s="27" t="n"/>
      <c r="D135" s="27" t="n"/>
      <c r="E135" s="27" t="n"/>
      <c r="F135" s="27" t="n"/>
      <c r="G135" s="27" t="n"/>
      <c r="H135" s="27" t="n"/>
      <c r="I135" s="27" t="n"/>
      <c r="J135" s="25" t="n"/>
      <c r="K135" s="25" t="n"/>
      <c r="L135" s="25" t="n"/>
      <c r="M135" s="25" t="n"/>
      <c r="N135" s="33">
        <f>IF(AND(L135="",M135=""),"",(N(L135)*60+N(M135))/86400)</f>
        <v/>
      </c>
      <c r="O135" s="27" t="n"/>
      <c r="P135" s="27" t="n"/>
      <c r="Q135" s="27" t="n"/>
      <c r="R135" s="27" t="n"/>
      <c r="S135" s="27" t="n"/>
      <c r="T135" s="27" t="n"/>
      <c r="U135" s="28" t="n"/>
      <c r="V135" s="28" t="n"/>
      <c r="W135" s="32">
        <f>IF(LEN(R135)=0,"",IF(ISNUMBER(V135),"Closed",IF(AND(ISNUMBER(U135),U135&lt;TODAY()),"Overdue","Open")))</f>
        <v/>
      </c>
      <c r="X135" s="27" t="n"/>
      <c r="Y135" s="27" t="n"/>
    </row>
    <row r="136">
      <c r="A136" s="28" t="n"/>
      <c r="B136" s="29" t="n"/>
      <c r="C136" s="27" t="n"/>
      <c r="D136" s="27" t="n"/>
      <c r="E136" s="27" t="n"/>
      <c r="F136" s="27" t="n"/>
      <c r="G136" s="27" t="n"/>
      <c r="H136" s="27" t="n"/>
      <c r="I136" s="27" t="n"/>
      <c r="J136" s="25" t="n"/>
      <c r="K136" s="25" t="n"/>
      <c r="L136" s="25" t="n"/>
      <c r="M136" s="25" t="n"/>
      <c r="N136" s="33">
        <f>IF(AND(L136="",M136=""),"",(N(L136)*60+N(M136))/86400)</f>
        <v/>
      </c>
      <c r="O136" s="27" t="n"/>
      <c r="P136" s="27" t="n"/>
      <c r="Q136" s="27" t="n"/>
      <c r="R136" s="27" t="n"/>
      <c r="S136" s="27" t="n"/>
      <c r="T136" s="27" t="n"/>
      <c r="U136" s="28" t="n"/>
      <c r="V136" s="28" t="n"/>
      <c r="W136" s="32">
        <f>IF(LEN(R136)=0,"",IF(ISNUMBER(V136),"Closed",IF(AND(ISNUMBER(U136),U136&lt;TODAY()),"Overdue","Open")))</f>
        <v/>
      </c>
      <c r="X136" s="27" t="n"/>
      <c r="Y136" s="27" t="n"/>
    </row>
    <row r="137">
      <c r="A137" s="28" t="n"/>
      <c r="B137" s="29" t="n"/>
      <c r="C137" s="27" t="n"/>
      <c r="D137" s="27" t="n"/>
      <c r="E137" s="27" t="n"/>
      <c r="F137" s="27" t="n"/>
      <c r="G137" s="27" t="n"/>
      <c r="H137" s="27" t="n"/>
      <c r="I137" s="27" t="n"/>
      <c r="J137" s="25" t="n"/>
      <c r="K137" s="25" t="n"/>
      <c r="L137" s="25" t="n"/>
      <c r="M137" s="25" t="n"/>
      <c r="N137" s="33">
        <f>IF(AND(L137="",M137=""),"",(N(L137)*60+N(M137))/86400)</f>
        <v/>
      </c>
      <c r="O137" s="27" t="n"/>
      <c r="P137" s="27" t="n"/>
      <c r="Q137" s="27" t="n"/>
      <c r="R137" s="27" t="n"/>
      <c r="S137" s="27" t="n"/>
      <c r="T137" s="27" t="n"/>
      <c r="U137" s="28" t="n"/>
      <c r="V137" s="28" t="n"/>
      <c r="W137" s="32">
        <f>IF(LEN(R137)=0,"",IF(ISNUMBER(V137),"Closed",IF(AND(ISNUMBER(U137),U137&lt;TODAY()),"Overdue","Open")))</f>
        <v/>
      </c>
      <c r="X137" s="27" t="n"/>
      <c r="Y137" s="27" t="n"/>
    </row>
    <row r="138">
      <c r="A138" s="28" t="n"/>
      <c r="B138" s="29" t="n"/>
      <c r="C138" s="27" t="n"/>
      <c r="D138" s="27" t="n"/>
      <c r="E138" s="27" t="n"/>
      <c r="F138" s="27" t="n"/>
      <c r="G138" s="27" t="n"/>
      <c r="H138" s="27" t="n"/>
      <c r="I138" s="27" t="n"/>
      <c r="J138" s="25" t="n"/>
      <c r="K138" s="25" t="n"/>
      <c r="L138" s="25" t="n"/>
      <c r="M138" s="25" t="n"/>
      <c r="N138" s="33">
        <f>IF(AND(L138="",M138=""),"",(N(L138)*60+N(M138))/86400)</f>
        <v/>
      </c>
      <c r="O138" s="27" t="n"/>
      <c r="P138" s="27" t="n"/>
      <c r="Q138" s="27" t="n"/>
      <c r="R138" s="27" t="n"/>
      <c r="S138" s="27" t="n"/>
      <c r="T138" s="27" t="n"/>
      <c r="U138" s="28" t="n"/>
      <c r="V138" s="28" t="n"/>
      <c r="W138" s="32">
        <f>IF(LEN(R138)=0,"",IF(ISNUMBER(V138),"Closed",IF(AND(ISNUMBER(U138),U138&lt;TODAY()),"Overdue","Open")))</f>
        <v/>
      </c>
      <c r="X138" s="27" t="n"/>
      <c r="Y138" s="27" t="n"/>
    </row>
    <row r="139">
      <c r="A139" s="28" t="n"/>
      <c r="B139" s="29" t="n"/>
      <c r="C139" s="27" t="n"/>
      <c r="D139" s="27" t="n"/>
      <c r="E139" s="27" t="n"/>
      <c r="F139" s="27" t="n"/>
      <c r="G139" s="27" t="n"/>
      <c r="H139" s="27" t="n"/>
      <c r="I139" s="27" t="n"/>
      <c r="J139" s="25" t="n"/>
      <c r="K139" s="25" t="n"/>
      <c r="L139" s="25" t="n"/>
      <c r="M139" s="25" t="n"/>
      <c r="N139" s="33">
        <f>IF(AND(L139="",M139=""),"",(N(L139)*60+N(M139))/86400)</f>
        <v/>
      </c>
      <c r="O139" s="27" t="n"/>
      <c r="P139" s="27" t="n"/>
      <c r="Q139" s="27" t="n"/>
      <c r="R139" s="27" t="n"/>
      <c r="S139" s="27" t="n"/>
      <c r="T139" s="27" t="n"/>
      <c r="U139" s="28" t="n"/>
      <c r="V139" s="28" t="n"/>
      <c r="W139" s="32">
        <f>IF(LEN(R139)=0,"",IF(ISNUMBER(V139),"Closed",IF(AND(ISNUMBER(U139),U139&lt;TODAY()),"Overdue","Open")))</f>
        <v/>
      </c>
      <c r="X139" s="27" t="n"/>
      <c r="Y139" s="27" t="n"/>
    </row>
    <row r="140">
      <c r="A140" s="28" t="n"/>
      <c r="B140" s="29" t="n"/>
      <c r="C140" s="27" t="n"/>
      <c r="D140" s="27" t="n"/>
      <c r="E140" s="27" t="n"/>
      <c r="F140" s="27" t="n"/>
      <c r="G140" s="27" t="n"/>
      <c r="H140" s="27" t="n"/>
      <c r="I140" s="27" t="n"/>
      <c r="J140" s="25" t="n"/>
      <c r="K140" s="25" t="n"/>
      <c r="L140" s="25" t="n"/>
      <c r="M140" s="25" t="n"/>
      <c r="N140" s="33">
        <f>IF(AND(L140="",M140=""),"",(N(L140)*60+N(M140))/86400)</f>
        <v/>
      </c>
      <c r="O140" s="27" t="n"/>
      <c r="P140" s="27" t="n"/>
      <c r="Q140" s="27" t="n"/>
      <c r="R140" s="27" t="n"/>
      <c r="S140" s="27" t="n"/>
      <c r="T140" s="27" t="n"/>
      <c r="U140" s="28" t="n"/>
      <c r="V140" s="28" t="n"/>
      <c r="W140" s="32">
        <f>IF(LEN(R140)=0,"",IF(ISNUMBER(V140),"Closed",IF(AND(ISNUMBER(U140),U140&lt;TODAY()),"Overdue","Open")))</f>
        <v/>
      </c>
      <c r="X140" s="27" t="n"/>
      <c r="Y140" s="27" t="n"/>
    </row>
    <row r="141">
      <c r="A141" s="28" t="n"/>
      <c r="B141" s="29" t="n"/>
      <c r="C141" s="27" t="n"/>
      <c r="D141" s="27" t="n"/>
      <c r="E141" s="27" t="n"/>
      <c r="F141" s="27" t="n"/>
      <c r="G141" s="27" t="n"/>
      <c r="H141" s="27" t="n"/>
      <c r="I141" s="27" t="n"/>
      <c r="J141" s="25" t="n"/>
      <c r="K141" s="25" t="n"/>
      <c r="L141" s="25" t="n"/>
      <c r="M141" s="25" t="n"/>
      <c r="N141" s="33">
        <f>IF(AND(L141="",M141=""),"",(N(L141)*60+N(M141))/86400)</f>
        <v/>
      </c>
      <c r="O141" s="27" t="n"/>
      <c r="P141" s="27" t="n"/>
      <c r="Q141" s="27" t="n"/>
      <c r="R141" s="27" t="n"/>
      <c r="S141" s="27" t="n"/>
      <c r="T141" s="27" t="n"/>
      <c r="U141" s="28" t="n"/>
      <c r="V141" s="28" t="n"/>
      <c r="W141" s="32">
        <f>IF(LEN(R141)=0,"",IF(ISNUMBER(V141),"Closed",IF(AND(ISNUMBER(U141),U141&lt;TODAY()),"Overdue","Open")))</f>
        <v/>
      </c>
      <c r="X141" s="27" t="n"/>
      <c r="Y141" s="27" t="n"/>
    </row>
    <row r="142">
      <c r="A142" s="28" t="n"/>
      <c r="B142" s="29" t="n"/>
      <c r="C142" s="27" t="n"/>
      <c r="D142" s="27" t="n"/>
      <c r="E142" s="27" t="n"/>
      <c r="F142" s="27" t="n"/>
      <c r="G142" s="27" t="n"/>
      <c r="H142" s="27" t="n"/>
      <c r="I142" s="27" t="n"/>
      <c r="J142" s="25" t="n"/>
      <c r="K142" s="25" t="n"/>
      <c r="L142" s="25" t="n"/>
      <c r="M142" s="25" t="n"/>
      <c r="N142" s="33">
        <f>IF(AND(L142="",M142=""),"",(N(L142)*60+N(M142))/86400)</f>
        <v/>
      </c>
      <c r="O142" s="27" t="n"/>
      <c r="P142" s="27" t="n"/>
      <c r="Q142" s="27" t="n"/>
      <c r="R142" s="27" t="n"/>
      <c r="S142" s="27" t="n"/>
      <c r="T142" s="27" t="n"/>
      <c r="U142" s="28" t="n"/>
      <c r="V142" s="28" t="n"/>
      <c r="W142" s="32">
        <f>IF(LEN(R142)=0,"",IF(ISNUMBER(V142),"Closed",IF(AND(ISNUMBER(U142),U142&lt;TODAY()),"Overdue","Open")))</f>
        <v/>
      </c>
      <c r="X142" s="27" t="n"/>
      <c r="Y142" s="27" t="n"/>
    </row>
    <row r="143">
      <c r="A143" s="28" t="n"/>
      <c r="B143" s="29" t="n"/>
      <c r="C143" s="27" t="n"/>
      <c r="D143" s="27" t="n"/>
      <c r="E143" s="27" t="n"/>
      <c r="F143" s="27" t="n"/>
      <c r="G143" s="27" t="n"/>
      <c r="H143" s="27" t="n"/>
      <c r="I143" s="27" t="n"/>
      <c r="J143" s="25" t="n"/>
      <c r="K143" s="25" t="n"/>
      <c r="L143" s="25" t="n"/>
      <c r="M143" s="25" t="n"/>
      <c r="N143" s="33">
        <f>IF(AND(L143="",M143=""),"",(N(L143)*60+N(M143))/86400)</f>
        <v/>
      </c>
      <c r="O143" s="27" t="n"/>
      <c r="P143" s="27" t="n"/>
      <c r="Q143" s="27" t="n"/>
      <c r="R143" s="27" t="n"/>
      <c r="S143" s="27" t="n"/>
      <c r="T143" s="27" t="n"/>
      <c r="U143" s="28" t="n"/>
      <c r="V143" s="28" t="n"/>
      <c r="W143" s="32">
        <f>IF(LEN(R143)=0,"",IF(ISNUMBER(V143),"Closed",IF(AND(ISNUMBER(U143),U143&lt;TODAY()),"Overdue","Open")))</f>
        <v/>
      </c>
      <c r="X143" s="27" t="n"/>
      <c r="Y143" s="27" t="n"/>
    </row>
    <row r="144">
      <c r="A144" s="28" t="n"/>
      <c r="B144" s="29" t="n"/>
      <c r="C144" s="27" t="n"/>
      <c r="D144" s="27" t="n"/>
      <c r="E144" s="27" t="n"/>
      <c r="F144" s="27" t="n"/>
      <c r="G144" s="27" t="n"/>
      <c r="H144" s="27" t="n"/>
      <c r="I144" s="27" t="n"/>
      <c r="J144" s="25" t="n"/>
      <c r="K144" s="25" t="n"/>
      <c r="L144" s="25" t="n"/>
      <c r="M144" s="25" t="n"/>
      <c r="N144" s="33">
        <f>IF(AND(L144="",M144=""),"",(N(L144)*60+N(M144))/86400)</f>
        <v/>
      </c>
      <c r="O144" s="27" t="n"/>
      <c r="P144" s="27" t="n"/>
      <c r="Q144" s="27" t="n"/>
      <c r="R144" s="27" t="n"/>
      <c r="S144" s="27" t="n"/>
      <c r="T144" s="27" t="n"/>
      <c r="U144" s="28" t="n"/>
      <c r="V144" s="28" t="n"/>
      <c r="W144" s="32">
        <f>IF(LEN(R144)=0,"",IF(ISNUMBER(V144),"Closed",IF(AND(ISNUMBER(U144),U144&lt;TODAY()),"Overdue","Open")))</f>
        <v/>
      </c>
      <c r="X144" s="27" t="n"/>
      <c r="Y144" s="27" t="n"/>
    </row>
    <row r="145">
      <c r="A145" s="28" t="n"/>
      <c r="B145" s="29" t="n"/>
      <c r="C145" s="27" t="n"/>
      <c r="D145" s="27" t="n"/>
      <c r="E145" s="27" t="n"/>
      <c r="F145" s="27" t="n"/>
      <c r="G145" s="27" t="n"/>
      <c r="H145" s="27" t="n"/>
      <c r="I145" s="27" t="n"/>
      <c r="J145" s="25" t="n"/>
      <c r="K145" s="25" t="n"/>
      <c r="L145" s="25" t="n"/>
      <c r="M145" s="25" t="n"/>
      <c r="N145" s="33">
        <f>IF(AND(L145="",M145=""),"",(N(L145)*60+N(M145))/86400)</f>
        <v/>
      </c>
      <c r="O145" s="27" t="n"/>
      <c r="P145" s="27" t="n"/>
      <c r="Q145" s="27" t="n"/>
      <c r="R145" s="27" t="n"/>
      <c r="S145" s="27" t="n"/>
      <c r="T145" s="27" t="n"/>
      <c r="U145" s="28" t="n"/>
      <c r="V145" s="28" t="n"/>
      <c r="W145" s="32">
        <f>IF(LEN(R145)=0,"",IF(ISNUMBER(V145),"Closed",IF(AND(ISNUMBER(U145),U145&lt;TODAY()),"Overdue","Open")))</f>
        <v/>
      </c>
      <c r="X145" s="27" t="n"/>
      <c r="Y145" s="27" t="n"/>
    </row>
    <row r="146">
      <c r="A146" s="28" t="n"/>
      <c r="B146" s="29" t="n"/>
      <c r="C146" s="27" t="n"/>
      <c r="D146" s="27" t="n"/>
      <c r="E146" s="27" t="n"/>
      <c r="F146" s="27" t="n"/>
      <c r="G146" s="27" t="n"/>
      <c r="H146" s="27" t="n"/>
      <c r="I146" s="27" t="n"/>
      <c r="J146" s="25" t="n"/>
      <c r="K146" s="25" t="n"/>
      <c r="L146" s="25" t="n"/>
      <c r="M146" s="25" t="n"/>
      <c r="N146" s="33">
        <f>IF(AND(L146="",M146=""),"",(N(L146)*60+N(M146))/86400)</f>
        <v/>
      </c>
      <c r="O146" s="27" t="n"/>
      <c r="P146" s="27" t="n"/>
      <c r="Q146" s="27" t="n"/>
      <c r="R146" s="27" t="n"/>
      <c r="S146" s="27" t="n"/>
      <c r="T146" s="27" t="n"/>
      <c r="U146" s="28" t="n"/>
      <c r="V146" s="28" t="n"/>
      <c r="W146" s="32">
        <f>IF(LEN(R146)=0,"",IF(ISNUMBER(V146),"Closed",IF(AND(ISNUMBER(U146),U146&lt;TODAY()),"Overdue","Open")))</f>
        <v/>
      </c>
      <c r="X146" s="27" t="n"/>
      <c r="Y146" s="27" t="n"/>
    </row>
    <row r="147">
      <c r="A147" s="28" t="n"/>
      <c r="B147" s="29" t="n"/>
      <c r="C147" s="27" t="n"/>
      <c r="D147" s="27" t="n"/>
      <c r="E147" s="27" t="n"/>
      <c r="F147" s="27" t="n"/>
      <c r="G147" s="27" t="n"/>
      <c r="H147" s="27" t="n"/>
      <c r="I147" s="27" t="n"/>
      <c r="J147" s="25" t="n"/>
      <c r="K147" s="25" t="n"/>
      <c r="L147" s="25" t="n"/>
      <c r="M147" s="25" t="n"/>
      <c r="N147" s="33">
        <f>IF(AND(L147="",M147=""),"",(N(L147)*60+N(M147))/86400)</f>
        <v/>
      </c>
      <c r="O147" s="27" t="n"/>
      <c r="P147" s="27" t="n"/>
      <c r="Q147" s="27" t="n"/>
      <c r="R147" s="27" t="n"/>
      <c r="S147" s="27" t="n"/>
      <c r="T147" s="27" t="n"/>
      <c r="U147" s="28" t="n"/>
      <c r="V147" s="28" t="n"/>
      <c r="W147" s="32">
        <f>IF(LEN(R147)=0,"",IF(ISNUMBER(V147),"Closed",IF(AND(ISNUMBER(U147),U147&lt;TODAY()),"Overdue","Open")))</f>
        <v/>
      </c>
      <c r="X147" s="27" t="n"/>
      <c r="Y147" s="27" t="n"/>
    </row>
    <row r="148">
      <c r="A148" s="28" t="n"/>
      <c r="B148" s="29" t="n"/>
      <c r="C148" s="27" t="n"/>
      <c r="D148" s="27" t="n"/>
      <c r="E148" s="27" t="n"/>
      <c r="F148" s="27" t="n"/>
      <c r="G148" s="27" t="n"/>
      <c r="H148" s="27" t="n"/>
      <c r="I148" s="27" t="n"/>
      <c r="J148" s="25" t="n"/>
      <c r="K148" s="25" t="n"/>
      <c r="L148" s="25" t="n"/>
      <c r="M148" s="25" t="n"/>
      <c r="N148" s="33">
        <f>IF(AND(L148="",M148=""),"",(N(L148)*60+N(M148))/86400)</f>
        <v/>
      </c>
      <c r="O148" s="27" t="n"/>
      <c r="P148" s="27" t="n"/>
      <c r="Q148" s="27" t="n"/>
      <c r="R148" s="27" t="n"/>
      <c r="S148" s="27" t="n"/>
      <c r="T148" s="27" t="n"/>
      <c r="U148" s="28" t="n"/>
      <c r="V148" s="28" t="n"/>
      <c r="W148" s="32">
        <f>IF(LEN(R148)=0,"",IF(ISNUMBER(V148),"Closed",IF(AND(ISNUMBER(U148),U148&lt;TODAY()),"Overdue","Open")))</f>
        <v/>
      </c>
      <c r="X148" s="27" t="n"/>
      <c r="Y148" s="27" t="n"/>
    </row>
    <row r="149">
      <c r="A149" s="28" t="n"/>
      <c r="B149" s="29" t="n"/>
      <c r="C149" s="27" t="n"/>
      <c r="D149" s="27" t="n"/>
      <c r="E149" s="27" t="n"/>
      <c r="F149" s="27" t="n"/>
      <c r="G149" s="27" t="n"/>
      <c r="H149" s="27" t="n"/>
      <c r="I149" s="27" t="n"/>
      <c r="J149" s="25" t="n"/>
      <c r="K149" s="25" t="n"/>
      <c r="L149" s="25" t="n"/>
      <c r="M149" s="25" t="n"/>
      <c r="N149" s="33">
        <f>IF(AND(L149="",M149=""),"",(N(L149)*60+N(M149))/86400)</f>
        <v/>
      </c>
      <c r="O149" s="27" t="n"/>
      <c r="P149" s="27" t="n"/>
      <c r="Q149" s="27" t="n"/>
      <c r="R149" s="27" t="n"/>
      <c r="S149" s="27" t="n"/>
      <c r="T149" s="27" t="n"/>
      <c r="U149" s="28" t="n"/>
      <c r="V149" s="28" t="n"/>
      <c r="W149" s="32">
        <f>IF(LEN(R149)=0,"",IF(ISNUMBER(V149),"Closed",IF(AND(ISNUMBER(U149),U149&lt;TODAY()),"Overdue","Open")))</f>
        <v/>
      </c>
      <c r="X149" s="27" t="n"/>
      <c r="Y149" s="27" t="n"/>
    </row>
    <row r="150">
      <c r="A150" s="28" t="n"/>
      <c r="B150" s="29" t="n"/>
      <c r="C150" s="27" t="n"/>
      <c r="D150" s="27" t="n"/>
      <c r="E150" s="27" t="n"/>
      <c r="F150" s="27" t="n"/>
      <c r="G150" s="27" t="n"/>
      <c r="H150" s="27" t="n"/>
      <c r="I150" s="27" t="n"/>
      <c r="J150" s="25" t="n"/>
      <c r="K150" s="25" t="n"/>
      <c r="L150" s="25" t="n"/>
      <c r="M150" s="25" t="n"/>
      <c r="N150" s="33">
        <f>IF(AND(L150="",M150=""),"",(N(L150)*60+N(M150))/86400)</f>
        <v/>
      </c>
      <c r="O150" s="27" t="n"/>
      <c r="P150" s="27" t="n"/>
      <c r="Q150" s="27" t="n"/>
      <c r="R150" s="27" t="n"/>
      <c r="S150" s="27" t="n"/>
      <c r="T150" s="27" t="n"/>
      <c r="U150" s="28" t="n"/>
      <c r="V150" s="28" t="n"/>
      <c r="W150" s="32">
        <f>IF(LEN(R150)=0,"",IF(ISNUMBER(V150),"Closed",IF(AND(ISNUMBER(U150),U150&lt;TODAY()),"Overdue","Open")))</f>
        <v/>
      </c>
      <c r="X150" s="27" t="n"/>
      <c r="Y150" s="27" t="n"/>
    </row>
    <row r="151">
      <c r="A151" s="28" t="n"/>
      <c r="B151" s="29" t="n"/>
      <c r="C151" s="27" t="n"/>
      <c r="D151" s="27" t="n"/>
      <c r="E151" s="27" t="n"/>
      <c r="F151" s="27" t="n"/>
      <c r="G151" s="27" t="n"/>
      <c r="H151" s="27" t="n"/>
      <c r="I151" s="27" t="n"/>
      <c r="J151" s="25" t="n"/>
      <c r="K151" s="25" t="n"/>
      <c r="L151" s="25" t="n"/>
      <c r="M151" s="25" t="n"/>
      <c r="N151" s="33">
        <f>IF(AND(L151="",M151=""),"",(N(L151)*60+N(M151))/86400)</f>
        <v/>
      </c>
      <c r="O151" s="27" t="n"/>
      <c r="P151" s="27" t="n"/>
      <c r="Q151" s="27" t="n"/>
      <c r="R151" s="27" t="n"/>
      <c r="S151" s="27" t="n"/>
      <c r="T151" s="27" t="n"/>
      <c r="U151" s="28" t="n"/>
      <c r="V151" s="28" t="n"/>
      <c r="W151" s="32">
        <f>IF(LEN(R151)=0,"",IF(ISNUMBER(V151),"Closed",IF(AND(ISNUMBER(U151),U151&lt;TODAY()),"Overdue","Open")))</f>
        <v/>
      </c>
      <c r="X151" s="27" t="n"/>
      <c r="Y151" s="27" t="n"/>
    </row>
    <row r="152">
      <c r="A152" s="28" t="n"/>
      <c r="B152" s="29" t="n"/>
      <c r="C152" s="27" t="n"/>
      <c r="D152" s="27" t="n"/>
      <c r="E152" s="27" t="n"/>
      <c r="F152" s="27" t="n"/>
      <c r="G152" s="27" t="n"/>
      <c r="H152" s="27" t="n"/>
      <c r="I152" s="27" t="n"/>
      <c r="J152" s="25" t="n"/>
      <c r="K152" s="25" t="n"/>
      <c r="L152" s="25" t="n"/>
      <c r="M152" s="25" t="n"/>
      <c r="N152" s="33">
        <f>IF(AND(L152="",M152=""),"",(N(L152)*60+N(M152))/86400)</f>
        <v/>
      </c>
      <c r="O152" s="27" t="n"/>
      <c r="P152" s="27" t="n"/>
      <c r="Q152" s="27" t="n"/>
      <c r="R152" s="27" t="n"/>
      <c r="S152" s="27" t="n"/>
      <c r="T152" s="27" t="n"/>
      <c r="U152" s="28" t="n"/>
      <c r="V152" s="28" t="n"/>
      <c r="W152" s="32">
        <f>IF(LEN(R152)=0,"",IF(ISNUMBER(V152),"Closed",IF(AND(ISNUMBER(U152),U152&lt;TODAY()),"Overdue","Open")))</f>
        <v/>
      </c>
      <c r="X152" s="27" t="n"/>
      <c r="Y152" s="27" t="n"/>
    </row>
    <row r="153">
      <c r="A153" s="28" t="n"/>
      <c r="B153" s="29" t="n"/>
      <c r="C153" s="27" t="n"/>
      <c r="D153" s="27" t="n"/>
      <c r="E153" s="27" t="n"/>
      <c r="F153" s="27" t="n"/>
      <c r="G153" s="27" t="n"/>
      <c r="H153" s="27" t="n"/>
      <c r="I153" s="27" t="n"/>
      <c r="J153" s="25" t="n"/>
      <c r="K153" s="25" t="n"/>
      <c r="L153" s="25" t="n"/>
      <c r="M153" s="25" t="n"/>
      <c r="N153" s="33">
        <f>IF(AND(L153="",M153=""),"",(N(L153)*60+N(M153))/86400)</f>
        <v/>
      </c>
      <c r="O153" s="27" t="n"/>
      <c r="P153" s="27" t="n"/>
      <c r="Q153" s="27" t="n"/>
      <c r="R153" s="27" t="n"/>
      <c r="S153" s="27" t="n"/>
      <c r="T153" s="27" t="n"/>
      <c r="U153" s="28" t="n"/>
      <c r="V153" s="28" t="n"/>
      <c r="W153" s="32">
        <f>IF(LEN(R153)=0,"",IF(ISNUMBER(V153),"Closed",IF(AND(ISNUMBER(U153),U153&lt;TODAY()),"Overdue","Open")))</f>
        <v/>
      </c>
      <c r="X153" s="27" t="n"/>
      <c r="Y153" s="27" t="n"/>
    </row>
    <row r="154">
      <c r="A154" s="28" t="n"/>
      <c r="B154" s="29" t="n"/>
      <c r="C154" s="27" t="n"/>
      <c r="D154" s="27" t="n"/>
      <c r="E154" s="27" t="n"/>
      <c r="F154" s="27" t="n"/>
      <c r="G154" s="27" t="n"/>
      <c r="H154" s="27" t="n"/>
      <c r="I154" s="27" t="n"/>
      <c r="J154" s="25" t="n"/>
      <c r="K154" s="25" t="n"/>
      <c r="L154" s="25" t="n"/>
      <c r="M154" s="25" t="n"/>
      <c r="N154" s="33">
        <f>IF(AND(L154="",M154=""),"",(N(L154)*60+N(M154))/86400)</f>
        <v/>
      </c>
      <c r="O154" s="27" t="n"/>
      <c r="P154" s="27" t="n"/>
      <c r="Q154" s="27" t="n"/>
      <c r="R154" s="27" t="n"/>
      <c r="S154" s="27" t="n"/>
      <c r="T154" s="27" t="n"/>
      <c r="U154" s="28" t="n"/>
      <c r="V154" s="28" t="n"/>
      <c r="W154" s="32">
        <f>IF(LEN(R154)=0,"",IF(ISNUMBER(V154),"Closed",IF(AND(ISNUMBER(U154),U154&lt;TODAY()),"Overdue","Open")))</f>
        <v/>
      </c>
      <c r="X154" s="27" t="n"/>
      <c r="Y154" s="27" t="n"/>
    </row>
    <row r="155">
      <c r="A155" s="28" t="n"/>
      <c r="B155" s="29" t="n"/>
      <c r="C155" s="27" t="n"/>
      <c r="D155" s="27" t="n"/>
      <c r="E155" s="27" t="n"/>
      <c r="F155" s="27" t="n"/>
      <c r="G155" s="27" t="n"/>
      <c r="H155" s="27" t="n"/>
      <c r="I155" s="27" t="n"/>
      <c r="J155" s="25" t="n"/>
      <c r="K155" s="25" t="n"/>
      <c r="L155" s="25" t="n"/>
      <c r="M155" s="25" t="n"/>
      <c r="N155" s="33">
        <f>IF(AND(L155="",M155=""),"",(N(L155)*60+N(M155))/86400)</f>
        <v/>
      </c>
      <c r="O155" s="27" t="n"/>
      <c r="P155" s="27" t="n"/>
      <c r="Q155" s="27" t="n"/>
      <c r="R155" s="27" t="n"/>
      <c r="S155" s="27" t="n"/>
      <c r="T155" s="27" t="n"/>
      <c r="U155" s="28" t="n"/>
      <c r="V155" s="28" t="n"/>
      <c r="W155" s="32">
        <f>IF(LEN(R155)=0,"",IF(ISNUMBER(V155),"Closed",IF(AND(ISNUMBER(U155),U155&lt;TODAY()),"Overdue","Open")))</f>
        <v/>
      </c>
      <c r="X155" s="27" t="n"/>
      <c r="Y155" s="27" t="n"/>
    </row>
    <row r="156">
      <c r="A156" s="28" t="n"/>
      <c r="B156" s="29" t="n"/>
      <c r="C156" s="27" t="n"/>
      <c r="D156" s="27" t="n"/>
      <c r="E156" s="27" t="n"/>
      <c r="F156" s="27" t="n"/>
      <c r="G156" s="27" t="n"/>
      <c r="H156" s="27" t="n"/>
      <c r="I156" s="27" t="n"/>
      <c r="J156" s="25" t="n"/>
      <c r="K156" s="25" t="n"/>
      <c r="L156" s="25" t="n"/>
      <c r="M156" s="25" t="n"/>
      <c r="N156" s="33">
        <f>IF(AND(L156="",M156=""),"",(N(L156)*60+N(M156))/86400)</f>
        <v/>
      </c>
      <c r="O156" s="27" t="n"/>
      <c r="P156" s="27" t="n"/>
      <c r="Q156" s="27" t="n"/>
      <c r="R156" s="27" t="n"/>
      <c r="S156" s="27" t="n"/>
      <c r="T156" s="27" t="n"/>
      <c r="U156" s="28" t="n"/>
      <c r="V156" s="28" t="n"/>
      <c r="W156" s="32">
        <f>IF(LEN(R156)=0,"",IF(ISNUMBER(V156),"Closed",IF(AND(ISNUMBER(U156),U156&lt;TODAY()),"Overdue","Open")))</f>
        <v/>
      </c>
      <c r="X156" s="27" t="n"/>
      <c r="Y156" s="27" t="n"/>
    </row>
    <row r="157">
      <c r="A157" s="28" t="n"/>
      <c r="B157" s="29" t="n"/>
      <c r="C157" s="27" t="n"/>
      <c r="D157" s="27" t="n"/>
      <c r="E157" s="27" t="n"/>
      <c r="F157" s="27" t="n"/>
      <c r="G157" s="27" t="n"/>
      <c r="H157" s="27" t="n"/>
      <c r="I157" s="27" t="n"/>
      <c r="J157" s="25" t="n"/>
      <c r="K157" s="25" t="n"/>
      <c r="L157" s="25" t="n"/>
      <c r="M157" s="25" t="n"/>
      <c r="N157" s="33">
        <f>IF(AND(L157="",M157=""),"",(N(L157)*60+N(M157))/86400)</f>
        <v/>
      </c>
      <c r="O157" s="27" t="n"/>
      <c r="P157" s="27" t="n"/>
      <c r="Q157" s="27" t="n"/>
      <c r="R157" s="27" t="n"/>
      <c r="S157" s="27" t="n"/>
      <c r="T157" s="27" t="n"/>
      <c r="U157" s="28" t="n"/>
      <c r="V157" s="28" t="n"/>
      <c r="W157" s="32">
        <f>IF(LEN(R157)=0,"",IF(ISNUMBER(V157),"Closed",IF(AND(ISNUMBER(U157),U157&lt;TODAY()),"Overdue","Open")))</f>
        <v/>
      </c>
      <c r="X157" s="27" t="n"/>
      <c r="Y157" s="27" t="n"/>
    </row>
    <row r="158">
      <c r="A158" s="28" t="n"/>
      <c r="B158" s="29" t="n"/>
      <c r="C158" s="27" t="n"/>
      <c r="D158" s="27" t="n"/>
      <c r="E158" s="27" t="n"/>
      <c r="F158" s="27" t="n"/>
      <c r="G158" s="27" t="n"/>
      <c r="H158" s="27" t="n"/>
      <c r="I158" s="27" t="n"/>
      <c r="J158" s="25" t="n"/>
      <c r="K158" s="25" t="n"/>
      <c r="L158" s="25" t="n"/>
      <c r="M158" s="25" t="n"/>
      <c r="N158" s="33">
        <f>IF(AND(L158="",M158=""),"",(N(L158)*60+N(M158))/86400)</f>
        <v/>
      </c>
      <c r="O158" s="27" t="n"/>
      <c r="P158" s="27" t="n"/>
      <c r="Q158" s="27" t="n"/>
      <c r="R158" s="27" t="n"/>
      <c r="S158" s="27" t="n"/>
      <c r="T158" s="27" t="n"/>
      <c r="U158" s="28" t="n"/>
      <c r="V158" s="28" t="n"/>
      <c r="W158" s="32">
        <f>IF(LEN(R158)=0,"",IF(ISNUMBER(V158),"Closed",IF(AND(ISNUMBER(U158),U158&lt;TODAY()),"Overdue","Open")))</f>
        <v/>
      </c>
      <c r="X158" s="27" t="n"/>
      <c r="Y158" s="27" t="n"/>
    </row>
    <row r="159">
      <c r="A159" s="28" t="n"/>
      <c r="B159" s="29" t="n"/>
      <c r="C159" s="27" t="n"/>
      <c r="D159" s="27" t="n"/>
      <c r="E159" s="27" t="n"/>
      <c r="F159" s="27" t="n"/>
      <c r="G159" s="27" t="n"/>
      <c r="H159" s="27" t="n"/>
      <c r="I159" s="27" t="n"/>
      <c r="J159" s="25" t="n"/>
      <c r="K159" s="25" t="n"/>
      <c r="L159" s="25" t="n"/>
      <c r="M159" s="25" t="n"/>
      <c r="N159" s="33">
        <f>IF(AND(L159="",M159=""),"",(N(L159)*60+N(M159))/86400)</f>
        <v/>
      </c>
      <c r="O159" s="27" t="n"/>
      <c r="P159" s="27" t="n"/>
      <c r="Q159" s="27" t="n"/>
      <c r="R159" s="27" t="n"/>
      <c r="S159" s="27" t="n"/>
      <c r="T159" s="27" t="n"/>
      <c r="U159" s="28" t="n"/>
      <c r="V159" s="28" t="n"/>
      <c r="W159" s="32">
        <f>IF(LEN(R159)=0,"",IF(ISNUMBER(V159),"Closed",IF(AND(ISNUMBER(U159),U159&lt;TODAY()),"Overdue","Open")))</f>
        <v/>
      </c>
      <c r="X159" s="27" t="n"/>
      <c r="Y159" s="27" t="n"/>
    </row>
    <row r="160">
      <c r="A160" s="28" t="n"/>
      <c r="B160" s="29" t="n"/>
      <c r="C160" s="27" t="n"/>
      <c r="D160" s="27" t="n"/>
      <c r="E160" s="27" t="n"/>
      <c r="F160" s="27" t="n"/>
      <c r="G160" s="27" t="n"/>
      <c r="H160" s="27" t="n"/>
      <c r="I160" s="27" t="n"/>
      <c r="J160" s="25" t="n"/>
      <c r="K160" s="25" t="n"/>
      <c r="L160" s="25" t="n"/>
      <c r="M160" s="25" t="n"/>
      <c r="N160" s="33">
        <f>IF(AND(L160="",M160=""),"",(N(L160)*60+N(M160))/86400)</f>
        <v/>
      </c>
      <c r="O160" s="27" t="n"/>
      <c r="P160" s="27" t="n"/>
      <c r="Q160" s="27" t="n"/>
      <c r="R160" s="27" t="n"/>
      <c r="S160" s="27" t="n"/>
      <c r="T160" s="27" t="n"/>
      <c r="U160" s="28" t="n"/>
      <c r="V160" s="28" t="n"/>
      <c r="W160" s="32">
        <f>IF(LEN(R160)=0,"",IF(ISNUMBER(V160),"Closed",IF(AND(ISNUMBER(U160),U160&lt;TODAY()),"Overdue","Open")))</f>
        <v/>
      </c>
      <c r="X160" s="27" t="n"/>
      <c r="Y160" s="27" t="n"/>
    </row>
    <row r="161">
      <c r="A161" s="28" t="n"/>
      <c r="B161" s="29" t="n"/>
      <c r="C161" s="27" t="n"/>
      <c r="D161" s="27" t="n"/>
      <c r="E161" s="27" t="n"/>
      <c r="F161" s="27" t="n"/>
      <c r="G161" s="27" t="n"/>
      <c r="H161" s="27" t="n"/>
      <c r="I161" s="27" t="n"/>
      <c r="J161" s="25" t="n"/>
      <c r="K161" s="25" t="n"/>
      <c r="L161" s="25" t="n"/>
      <c r="M161" s="25" t="n"/>
      <c r="N161" s="33">
        <f>IF(AND(L161="",M161=""),"",(N(L161)*60+N(M161))/86400)</f>
        <v/>
      </c>
      <c r="O161" s="27" t="n"/>
      <c r="P161" s="27" t="n"/>
      <c r="Q161" s="27" t="n"/>
      <c r="R161" s="27" t="n"/>
      <c r="S161" s="27" t="n"/>
      <c r="T161" s="27" t="n"/>
      <c r="U161" s="28" t="n"/>
      <c r="V161" s="28" t="n"/>
      <c r="W161" s="32">
        <f>IF(LEN(R161)=0,"",IF(ISNUMBER(V161),"Closed",IF(AND(ISNUMBER(U161),U161&lt;TODAY()),"Overdue","Open")))</f>
        <v/>
      </c>
      <c r="X161" s="27" t="n"/>
      <c r="Y161" s="27" t="n"/>
    </row>
    <row r="162">
      <c r="A162" s="28" t="n"/>
      <c r="B162" s="29" t="n"/>
      <c r="C162" s="27" t="n"/>
      <c r="D162" s="27" t="n"/>
      <c r="E162" s="27" t="n"/>
      <c r="F162" s="27" t="n"/>
      <c r="G162" s="27" t="n"/>
      <c r="H162" s="27" t="n"/>
      <c r="I162" s="27" t="n"/>
      <c r="J162" s="25" t="n"/>
      <c r="K162" s="25" t="n"/>
      <c r="L162" s="25" t="n"/>
      <c r="M162" s="25" t="n"/>
      <c r="N162" s="33">
        <f>IF(AND(L162="",M162=""),"",(N(L162)*60+N(M162))/86400)</f>
        <v/>
      </c>
      <c r="O162" s="27" t="n"/>
      <c r="P162" s="27" t="n"/>
      <c r="Q162" s="27" t="n"/>
      <c r="R162" s="27" t="n"/>
      <c r="S162" s="27" t="n"/>
      <c r="T162" s="27" t="n"/>
      <c r="U162" s="28" t="n"/>
      <c r="V162" s="28" t="n"/>
      <c r="W162" s="32">
        <f>IF(LEN(R162)=0,"",IF(ISNUMBER(V162),"Closed",IF(AND(ISNUMBER(U162),U162&lt;TODAY()),"Overdue","Open")))</f>
        <v/>
      </c>
      <c r="X162" s="27" t="n"/>
      <c r="Y162" s="27" t="n"/>
    </row>
    <row r="163">
      <c r="A163" s="28" t="n"/>
      <c r="B163" s="29" t="n"/>
      <c r="C163" s="27" t="n"/>
      <c r="D163" s="27" t="n"/>
      <c r="E163" s="27" t="n"/>
      <c r="F163" s="27" t="n"/>
      <c r="G163" s="27" t="n"/>
      <c r="H163" s="27" t="n"/>
      <c r="I163" s="27" t="n"/>
      <c r="J163" s="25" t="n"/>
      <c r="K163" s="25" t="n"/>
      <c r="L163" s="25" t="n"/>
      <c r="M163" s="25" t="n"/>
      <c r="N163" s="33">
        <f>IF(AND(L163="",M163=""),"",(N(L163)*60+N(M163))/86400)</f>
        <v/>
      </c>
      <c r="O163" s="27" t="n"/>
      <c r="P163" s="27" t="n"/>
      <c r="Q163" s="27" t="n"/>
      <c r="R163" s="27" t="n"/>
      <c r="S163" s="27" t="n"/>
      <c r="T163" s="27" t="n"/>
      <c r="U163" s="28" t="n"/>
      <c r="V163" s="28" t="n"/>
      <c r="W163" s="32">
        <f>IF(LEN(R163)=0,"",IF(ISNUMBER(V163),"Closed",IF(AND(ISNUMBER(U163),U163&lt;TODAY()),"Overdue","Open")))</f>
        <v/>
      </c>
      <c r="X163" s="27" t="n"/>
      <c r="Y163" s="27" t="n"/>
    </row>
    <row r="164">
      <c r="A164" s="28" t="n"/>
      <c r="B164" s="29" t="n"/>
      <c r="C164" s="27" t="n"/>
      <c r="D164" s="27" t="n"/>
      <c r="E164" s="27" t="n"/>
      <c r="F164" s="27" t="n"/>
      <c r="G164" s="27" t="n"/>
      <c r="H164" s="27" t="n"/>
      <c r="I164" s="27" t="n"/>
      <c r="J164" s="25" t="n"/>
      <c r="K164" s="25" t="n"/>
      <c r="L164" s="25" t="n"/>
      <c r="M164" s="25" t="n"/>
      <c r="N164" s="33">
        <f>IF(AND(L164="",M164=""),"",(N(L164)*60+N(M164))/86400)</f>
        <v/>
      </c>
      <c r="O164" s="27" t="n"/>
      <c r="P164" s="27" t="n"/>
      <c r="Q164" s="27" t="n"/>
      <c r="R164" s="27" t="n"/>
      <c r="S164" s="27" t="n"/>
      <c r="T164" s="27" t="n"/>
      <c r="U164" s="28" t="n"/>
      <c r="V164" s="28" t="n"/>
      <c r="W164" s="32">
        <f>IF(LEN(R164)=0,"",IF(ISNUMBER(V164),"Closed",IF(AND(ISNUMBER(U164),U164&lt;TODAY()),"Overdue","Open")))</f>
        <v/>
      </c>
      <c r="X164" s="27" t="n"/>
      <c r="Y164" s="27" t="n"/>
    </row>
    <row r="165">
      <c r="A165" s="28" t="n"/>
      <c r="B165" s="29" t="n"/>
      <c r="C165" s="27" t="n"/>
      <c r="D165" s="27" t="n"/>
      <c r="E165" s="27" t="n"/>
      <c r="F165" s="27" t="n"/>
      <c r="G165" s="27" t="n"/>
      <c r="H165" s="27" t="n"/>
      <c r="I165" s="27" t="n"/>
      <c r="J165" s="25" t="n"/>
      <c r="K165" s="25" t="n"/>
      <c r="L165" s="25" t="n"/>
      <c r="M165" s="25" t="n"/>
      <c r="N165" s="33">
        <f>IF(AND(L165="",M165=""),"",(N(L165)*60+N(M165))/86400)</f>
        <v/>
      </c>
      <c r="O165" s="27" t="n"/>
      <c r="P165" s="27" t="n"/>
      <c r="Q165" s="27" t="n"/>
      <c r="R165" s="27" t="n"/>
      <c r="S165" s="27" t="n"/>
      <c r="T165" s="27" t="n"/>
      <c r="U165" s="28" t="n"/>
      <c r="V165" s="28" t="n"/>
      <c r="W165" s="32">
        <f>IF(LEN(R165)=0,"",IF(ISNUMBER(V165),"Closed",IF(AND(ISNUMBER(U165),U165&lt;TODAY()),"Overdue","Open")))</f>
        <v/>
      </c>
      <c r="X165" s="27" t="n"/>
      <c r="Y165" s="27" t="n"/>
    </row>
    <row r="166">
      <c r="A166" s="28" t="n"/>
      <c r="B166" s="29" t="n"/>
      <c r="C166" s="27" t="n"/>
      <c r="D166" s="27" t="n"/>
      <c r="E166" s="27" t="n"/>
      <c r="F166" s="27" t="n"/>
      <c r="G166" s="27" t="n"/>
      <c r="H166" s="27" t="n"/>
      <c r="I166" s="27" t="n"/>
      <c r="J166" s="25" t="n"/>
      <c r="K166" s="25" t="n"/>
      <c r="L166" s="25" t="n"/>
      <c r="M166" s="25" t="n"/>
      <c r="N166" s="33">
        <f>IF(AND(L166="",M166=""),"",(N(L166)*60+N(M166))/86400)</f>
        <v/>
      </c>
      <c r="O166" s="27" t="n"/>
      <c r="P166" s="27" t="n"/>
      <c r="Q166" s="27" t="n"/>
      <c r="R166" s="27" t="n"/>
      <c r="S166" s="27" t="n"/>
      <c r="T166" s="27" t="n"/>
      <c r="U166" s="28" t="n"/>
      <c r="V166" s="28" t="n"/>
      <c r="W166" s="32">
        <f>IF(LEN(R166)=0,"",IF(ISNUMBER(V166),"Closed",IF(AND(ISNUMBER(U166),U166&lt;TODAY()),"Overdue","Open")))</f>
        <v/>
      </c>
      <c r="X166" s="27" t="n"/>
      <c r="Y166" s="27" t="n"/>
    </row>
    <row r="167">
      <c r="A167" s="28" t="n"/>
      <c r="B167" s="29" t="n"/>
      <c r="C167" s="27" t="n"/>
      <c r="D167" s="27" t="n"/>
      <c r="E167" s="27" t="n"/>
      <c r="F167" s="27" t="n"/>
      <c r="G167" s="27" t="n"/>
      <c r="H167" s="27" t="n"/>
      <c r="I167" s="27" t="n"/>
      <c r="J167" s="25" t="n"/>
      <c r="K167" s="25" t="n"/>
      <c r="L167" s="25" t="n"/>
      <c r="M167" s="25" t="n"/>
      <c r="N167" s="33">
        <f>IF(AND(L167="",M167=""),"",(N(L167)*60+N(M167))/86400)</f>
        <v/>
      </c>
      <c r="O167" s="27" t="n"/>
      <c r="P167" s="27" t="n"/>
      <c r="Q167" s="27" t="n"/>
      <c r="R167" s="27" t="n"/>
      <c r="S167" s="27" t="n"/>
      <c r="T167" s="27" t="n"/>
      <c r="U167" s="28" t="n"/>
      <c r="V167" s="28" t="n"/>
      <c r="W167" s="32">
        <f>IF(LEN(R167)=0,"",IF(ISNUMBER(V167),"Closed",IF(AND(ISNUMBER(U167),U167&lt;TODAY()),"Overdue","Open")))</f>
        <v/>
      </c>
      <c r="X167" s="27" t="n"/>
      <c r="Y167" s="27" t="n"/>
    </row>
    <row r="168">
      <c r="A168" s="28" t="n"/>
      <c r="B168" s="29" t="n"/>
      <c r="C168" s="27" t="n"/>
      <c r="D168" s="27" t="n"/>
      <c r="E168" s="27" t="n"/>
      <c r="F168" s="27" t="n"/>
      <c r="G168" s="27" t="n"/>
      <c r="H168" s="27" t="n"/>
      <c r="I168" s="27" t="n"/>
      <c r="J168" s="25" t="n"/>
      <c r="K168" s="25" t="n"/>
      <c r="L168" s="25" t="n"/>
      <c r="M168" s="25" t="n"/>
      <c r="N168" s="33">
        <f>IF(AND(L168="",M168=""),"",(N(L168)*60+N(M168))/86400)</f>
        <v/>
      </c>
      <c r="O168" s="27" t="n"/>
      <c r="P168" s="27" t="n"/>
      <c r="Q168" s="27" t="n"/>
      <c r="R168" s="27" t="n"/>
      <c r="S168" s="27" t="n"/>
      <c r="T168" s="27" t="n"/>
      <c r="U168" s="28" t="n"/>
      <c r="V168" s="28" t="n"/>
      <c r="W168" s="32">
        <f>IF(LEN(R168)=0,"",IF(ISNUMBER(V168),"Closed",IF(AND(ISNUMBER(U168),U168&lt;TODAY()),"Overdue","Open")))</f>
        <v/>
      </c>
      <c r="X168" s="27" t="n"/>
      <c r="Y168" s="27" t="n"/>
    </row>
    <row r="169">
      <c r="A169" s="28" t="n"/>
      <c r="B169" s="29" t="n"/>
      <c r="C169" s="27" t="n"/>
      <c r="D169" s="27" t="n"/>
      <c r="E169" s="27" t="n"/>
      <c r="F169" s="27" t="n"/>
      <c r="G169" s="27" t="n"/>
      <c r="H169" s="27" t="n"/>
      <c r="I169" s="27" t="n"/>
      <c r="J169" s="25" t="n"/>
      <c r="K169" s="25" t="n"/>
      <c r="L169" s="25" t="n"/>
      <c r="M169" s="25" t="n"/>
      <c r="N169" s="33">
        <f>IF(AND(L169="",M169=""),"",(N(L169)*60+N(M169))/86400)</f>
        <v/>
      </c>
      <c r="O169" s="27" t="n"/>
      <c r="P169" s="27" t="n"/>
      <c r="Q169" s="27" t="n"/>
      <c r="R169" s="27" t="n"/>
      <c r="S169" s="27" t="n"/>
      <c r="T169" s="27" t="n"/>
      <c r="U169" s="28" t="n"/>
      <c r="V169" s="28" t="n"/>
      <c r="W169" s="32">
        <f>IF(LEN(R169)=0,"",IF(ISNUMBER(V169),"Closed",IF(AND(ISNUMBER(U169),U169&lt;TODAY()),"Overdue","Open")))</f>
        <v/>
      </c>
      <c r="X169" s="27" t="n"/>
      <c r="Y169" s="27" t="n"/>
    </row>
    <row r="170">
      <c r="A170" s="28" t="n"/>
      <c r="B170" s="29" t="n"/>
      <c r="C170" s="27" t="n"/>
      <c r="D170" s="27" t="n"/>
      <c r="E170" s="27" t="n"/>
      <c r="F170" s="27" t="n"/>
      <c r="G170" s="27" t="n"/>
      <c r="H170" s="27" t="n"/>
      <c r="I170" s="27" t="n"/>
      <c r="J170" s="25" t="n"/>
      <c r="K170" s="25" t="n"/>
      <c r="L170" s="25" t="n"/>
      <c r="M170" s="25" t="n"/>
      <c r="N170" s="33">
        <f>IF(AND(L170="",M170=""),"",(N(L170)*60+N(M170))/86400)</f>
        <v/>
      </c>
      <c r="O170" s="27" t="n"/>
      <c r="P170" s="27" t="n"/>
      <c r="Q170" s="27" t="n"/>
      <c r="R170" s="27" t="n"/>
      <c r="S170" s="27" t="n"/>
      <c r="T170" s="27" t="n"/>
      <c r="U170" s="28" t="n"/>
      <c r="V170" s="28" t="n"/>
      <c r="W170" s="32">
        <f>IF(LEN(R170)=0,"",IF(ISNUMBER(V170),"Closed",IF(AND(ISNUMBER(U170),U170&lt;TODAY()),"Overdue","Open")))</f>
        <v/>
      </c>
      <c r="X170" s="27" t="n"/>
      <c r="Y170" s="27" t="n"/>
    </row>
    <row r="171">
      <c r="A171" s="28" t="n"/>
      <c r="B171" s="29" t="n"/>
      <c r="C171" s="27" t="n"/>
      <c r="D171" s="27" t="n"/>
      <c r="E171" s="27" t="n"/>
      <c r="F171" s="27" t="n"/>
      <c r="G171" s="27" t="n"/>
      <c r="H171" s="27" t="n"/>
      <c r="I171" s="27" t="n"/>
      <c r="J171" s="25" t="n"/>
      <c r="K171" s="25" t="n"/>
      <c r="L171" s="25" t="n"/>
      <c r="M171" s="25" t="n"/>
      <c r="N171" s="33">
        <f>IF(AND(L171="",M171=""),"",(N(L171)*60+N(M171))/86400)</f>
        <v/>
      </c>
      <c r="O171" s="27" t="n"/>
      <c r="P171" s="27" t="n"/>
      <c r="Q171" s="27" t="n"/>
      <c r="R171" s="27" t="n"/>
      <c r="S171" s="27" t="n"/>
      <c r="T171" s="27" t="n"/>
      <c r="U171" s="28" t="n"/>
      <c r="V171" s="28" t="n"/>
      <c r="W171" s="32">
        <f>IF(LEN(R171)=0,"",IF(ISNUMBER(V171),"Closed",IF(AND(ISNUMBER(U171),U171&lt;TODAY()),"Overdue","Open")))</f>
        <v/>
      </c>
      <c r="X171" s="27" t="n"/>
      <c r="Y171" s="27" t="n"/>
    </row>
    <row r="172">
      <c r="A172" s="28" t="n"/>
      <c r="B172" s="29" t="n"/>
      <c r="C172" s="27" t="n"/>
      <c r="D172" s="27" t="n"/>
      <c r="E172" s="27" t="n"/>
      <c r="F172" s="27" t="n"/>
      <c r="G172" s="27" t="n"/>
      <c r="H172" s="27" t="n"/>
      <c r="I172" s="27" t="n"/>
      <c r="J172" s="25" t="n"/>
      <c r="K172" s="25" t="n"/>
      <c r="L172" s="25" t="n"/>
      <c r="M172" s="25" t="n"/>
      <c r="N172" s="33">
        <f>IF(AND(L172="",M172=""),"",(N(L172)*60+N(M172))/86400)</f>
        <v/>
      </c>
      <c r="O172" s="27" t="n"/>
      <c r="P172" s="27" t="n"/>
      <c r="Q172" s="27" t="n"/>
      <c r="R172" s="27" t="n"/>
      <c r="S172" s="27" t="n"/>
      <c r="T172" s="27" t="n"/>
      <c r="U172" s="28" t="n"/>
      <c r="V172" s="28" t="n"/>
      <c r="W172" s="32">
        <f>IF(LEN(R172)=0,"",IF(ISNUMBER(V172),"Closed",IF(AND(ISNUMBER(U172),U172&lt;TODAY()),"Overdue","Open")))</f>
        <v/>
      </c>
      <c r="X172" s="27" t="n"/>
      <c r="Y172" s="27" t="n"/>
    </row>
    <row r="173">
      <c r="A173" s="28" t="n"/>
      <c r="B173" s="29" t="n"/>
      <c r="C173" s="27" t="n"/>
      <c r="D173" s="27" t="n"/>
      <c r="E173" s="27" t="n"/>
      <c r="F173" s="27" t="n"/>
      <c r="G173" s="27" t="n"/>
      <c r="H173" s="27" t="n"/>
      <c r="I173" s="27" t="n"/>
      <c r="J173" s="25" t="n"/>
      <c r="K173" s="25" t="n"/>
      <c r="L173" s="25" t="n"/>
      <c r="M173" s="25" t="n"/>
      <c r="N173" s="33">
        <f>IF(AND(L173="",M173=""),"",(N(L173)*60+N(M173))/86400)</f>
        <v/>
      </c>
      <c r="O173" s="27" t="n"/>
      <c r="P173" s="27" t="n"/>
      <c r="Q173" s="27" t="n"/>
      <c r="R173" s="27" t="n"/>
      <c r="S173" s="27" t="n"/>
      <c r="T173" s="27" t="n"/>
      <c r="U173" s="28" t="n"/>
      <c r="V173" s="28" t="n"/>
      <c r="W173" s="32">
        <f>IF(LEN(R173)=0,"",IF(ISNUMBER(V173),"Closed",IF(AND(ISNUMBER(U173),U173&lt;TODAY()),"Overdue","Open")))</f>
        <v/>
      </c>
      <c r="X173" s="27" t="n"/>
      <c r="Y173" s="27" t="n"/>
    </row>
    <row r="174">
      <c r="A174" s="28" t="n"/>
      <c r="B174" s="29" t="n"/>
      <c r="C174" s="27" t="n"/>
      <c r="D174" s="27" t="n"/>
      <c r="E174" s="27" t="n"/>
      <c r="F174" s="27" t="n"/>
      <c r="G174" s="27" t="n"/>
      <c r="H174" s="27" t="n"/>
      <c r="I174" s="27" t="n"/>
      <c r="J174" s="25" t="n"/>
      <c r="K174" s="25" t="n"/>
      <c r="L174" s="25" t="n"/>
      <c r="M174" s="25" t="n"/>
      <c r="N174" s="33">
        <f>IF(AND(L174="",M174=""),"",(N(L174)*60+N(M174))/86400)</f>
        <v/>
      </c>
      <c r="O174" s="27" t="n"/>
      <c r="P174" s="27" t="n"/>
      <c r="Q174" s="27" t="n"/>
      <c r="R174" s="27" t="n"/>
      <c r="S174" s="27" t="n"/>
      <c r="T174" s="27" t="n"/>
      <c r="U174" s="28" t="n"/>
      <c r="V174" s="28" t="n"/>
      <c r="W174" s="32">
        <f>IF(LEN(R174)=0,"",IF(ISNUMBER(V174),"Closed",IF(AND(ISNUMBER(U174),U174&lt;TODAY()),"Overdue","Open")))</f>
        <v/>
      </c>
      <c r="X174" s="27" t="n"/>
      <c r="Y174" s="27" t="n"/>
    </row>
    <row r="175">
      <c r="A175" s="28" t="n"/>
      <c r="B175" s="29" t="n"/>
      <c r="C175" s="27" t="n"/>
      <c r="D175" s="27" t="n"/>
      <c r="E175" s="27" t="n"/>
      <c r="F175" s="27" t="n"/>
      <c r="G175" s="27" t="n"/>
      <c r="H175" s="27" t="n"/>
      <c r="I175" s="27" t="n"/>
      <c r="J175" s="25" t="n"/>
      <c r="K175" s="25" t="n"/>
      <c r="L175" s="25" t="n"/>
      <c r="M175" s="25" t="n"/>
      <c r="N175" s="33">
        <f>IF(AND(L175="",M175=""),"",(N(L175)*60+N(M175))/86400)</f>
        <v/>
      </c>
      <c r="O175" s="27" t="n"/>
      <c r="P175" s="27" t="n"/>
      <c r="Q175" s="27" t="n"/>
      <c r="R175" s="27" t="n"/>
      <c r="S175" s="27" t="n"/>
      <c r="T175" s="27" t="n"/>
      <c r="U175" s="28" t="n"/>
      <c r="V175" s="28" t="n"/>
      <c r="W175" s="32">
        <f>IF(LEN(R175)=0,"",IF(ISNUMBER(V175),"Closed",IF(AND(ISNUMBER(U175),U175&lt;TODAY()),"Overdue","Open")))</f>
        <v/>
      </c>
      <c r="X175" s="27" t="n"/>
      <c r="Y175" s="27" t="n"/>
    </row>
    <row r="176">
      <c r="A176" s="28" t="n"/>
      <c r="B176" s="29" t="n"/>
      <c r="C176" s="27" t="n"/>
      <c r="D176" s="27" t="n"/>
      <c r="E176" s="27" t="n"/>
      <c r="F176" s="27" t="n"/>
      <c r="G176" s="27" t="n"/>
      <c r="H176" s="27" t="n"/>
      <c r="I176" s="27" t="n"/>
      <c r="J176" s="25" t="n"/>
      <c r="K176" s="25" t="n"/>
      <c r="L176" s="25" t="n"/>
      <c r="M176" s="25" t="n"/>
      <c r="N176" s="33">
        <f>IF(AND(L176="",M176=""),"",(N(L176)*60+N(M176))/86400)</f>
        <v/>
      </c>
      <c r="O176" s="27" t="n"/>
      <c r="P176" s="27" t="n"/>
      <c r="Q176" s="27" t="n"/>
      <c r="R176" s="27" t="n"/>
      <c r="S176" s="27" t="n"/>
      <c r="T176" s="27" t="n"/>
      <c r="U176" s="28" t="n"/>
      <c r="V176" s="28" t="n"/>
      <c r="W176" s="32">
        <f>IF(LEN(R176)=0,"",IF(ISNUMBER(V176),"Closed",IF(AND(ISNUMBER(U176),U176&lt;TODAY()),"Overdue","Open")))</f>
        <v/>
      </c>
      <c r="X176" s="27" t="n"/>
      <c r="Y176" s="27" t="n"/>
    </row>
    <row r="177">
      <c r="A177" s="28" t="n"/>
      <c r="B177" s="29" t="n"/>
      <c r="C177" s="27" t="n"/>
      <c r="D177" s="27" t="n"/>
      <c r="E177" s="27" t="n"/>
      <c r="F177" s="27" t="n"/>
      <c r="G177" s="27" t="n"/>
      <c r="H177" s="27" t="n"/>
      <c r="I177" s="27" t="n"/>
      <c r="J177" s="25" t="n"/>
      <c r="K177" s="25" t="n"/>
      <c r="L177" s="25" t="n"/>
      <c r="M177" s="25" t="n"/>
      <c r="N177" s="33">
        <f>IF(AND(L177="",M177=""),"",(N(L177)*60+N(M177))/86400)</f>
        <v/>
      </c>
      <c r="O177" s="27" t="n"/>
      <c r="P177" s="27" t="n"/>
      <c r="Q177" s="27" t="n"/>
      <c r="R177" s="27" t="n"/>
      <c r="S177" s="27" t="n"/>
      <c r="T177" s="27" t="n"/>
      <c r="U177" s="28" t="n"/>
      <c r="V177" s="28" t="n"/>
      <c r="W177" s="32">
        <f>IF(LEN(R177)=0,"",IF(ISNUMBER(V177),"Closed",IF(AND(ISNUMBER(U177),U177&lt;TODAY()),"Overdue","Open")))</f>
        <v/>
      </c>
      <c r="X177" s="27" t="n"/>
      <c r="Y177" s="27" t="n"/>
    </row>
    <row r="178">
      <c r="A178" s="28" t="n"/>
      <c r="B178" s="29" t="n"/>
      <c r="C178" s="27" t="n"/>
      <c r="D178" s="27" t="n"/>
      <c r="E178" s="27" t="n"/>
      <c r="F178" s="27" t="n"/>
      <c r="G178" s="27" t="n"/>
      <c r="H178" s="27" t="n"/>
      <c r="I178" s="27" t="n"/>
      <c r="J178" s="25" t="n"/>
      <c r="K178" s="25" t="n"/>
      <c r="L178" s="25" t="n"/>
      <c r="M178" s="25" t="n"/>
      <c r="N178" s="33">
        <f>IF(AND(L178="",M178=""),"",(N(L178)*60+N(M178))/86400)</f>
        <v/>
      </c>
      <c r="O178" s="27" t="n"/>
      <c r="P178" s="27" t="n"/>
      <c r="Q178" s="27" t="n"/>
      <c r="R178" s="27" t="n"/>
      <c r="S178" s="27" t="n"/>
      <c r="T178" s="27" t="n"/>
      <c r="U178" s="28" t="n"/>
      <c r="V178" s="28" t="n"/>
      <c r="W178" s="32">
        <f>IF(LEN(R178)=0,"",IF(ISNUMBER(V178),"Closed",IF(AND(ISNUMBER(U178),U178&lt;TODAY()),"Overdue","Open")))</f>
        <v/>
      </c>
      <c r="X178" s="27" t="n"/>
      <c r="Y178" s="27" t="n"/>
    </row>
    <row r="179">
      <c r="A179" s="28" t="n"/>
      <c r="B179" s="29" t="n"/>
      <c r="C179" s="27" t="n"/>
      <c r="D179" s="27" t="n"/>
      <c r="E179" s="27" t="n"/>
      <c r="F179" s="27" t="n"/>
      <c r="G179" s="27" t="n"/>
      <c r="H179" s="27" t="n"/>
      <c r="I179" s="27" t="n"/>
      <c r="J179" s="25" t="n"/>
      <c r="K179" s="25" t="n"/>
      <c r="L179" s="25" t="n"/>
      <c r="M179" s="25" t="n"/>
      <c r="N179" s="33">
        <f>IF(AND(L179="",M179=""),"",(N(L179)*60+N(M179))/86400)</f>
        <v/>
      </c>
      <c r="O179" s="27" t="n"/>
      <c r="P179" s="27" t="n"/>
      <c r="Q179" s="27" t="n"/>
      <c r="R179" s="27" t="n"/>
      <c r="S179" s="27" t="n"/>
      <c r="T179" s="27" t="n"/>
      <c r="U179" s="28" t="n"/>
      <c r="V179" s="28" t="n"/>
      <c r="W179" s="32">
        <f>IF(LEN(R179)=0,"",IF(ISNUMBER(V179),"Closed",IF(AND(ISNUMBER(U179),U179&lt;TODAY()),"Overdue","Open")))</f>
        <v/>
      </c>
      <c r="X179" s="27" t="n"/>
      <c r="Y179" s="27" t="n"/>
    </row>
    <row r="180">
      <c r="A180" s="28" t="n"/>
      <c r="B180" s="29" t="n"/>
      <c r="C180" s="27" t="n"/>
      <c r="D180" s="27" t="n"/>
      <c r="E180" s="27" t="n"/>
      <c r="F180" s="27" t="n"/>
      <c r="G180" s="27" t="n"/>
      <c r="H180" s="27" t="n"/>
      <c r="I180" s="27" t="n"/>
      <c r="J180" s="25" t="n"/>
      <c r="K180" s="25" t="n"/>
      <c r="L180" s="25" t="n"/>
      <c r="M180" s="25" t="n"/>
      <c r="N180" s="33">
        <f>IF(AND(L180="",M180=""),"",(N(L180)*60+N(M180))/86400)</f>
        <v/>
      </c>
      <c r="O180" s="27" t="n"/>
      <c r="P180" s="27" t="n"/>
      <c r="Q180" s="27" t="n"/>
      <c r="R180" s="27" t="n"/>
      <c r="S180" s="27" t="n"/>
      <c r="T180" s="27" t="n"/>
      <c r="U180" s="28" t="n"/>
      <c r="V180" s="28" t="n"/>
      <c r="W180" s="32">
        <f>IF(LEN(R180)=0,"",IF(ISNUMBER(V180),"Closed",IF(AND(ISNUMBER(U180),U180&lt;TODAY()),"Overdue","Open")))</f>
        <v/>
      </c>
      <c r="X180" s="27" t="n"/>
      <c r="Y180" s="27" t="n"/>
    </row>
    <row r="181">
      <c r="A181" s="28" t="n"/>
      <c r="B181" s="29" t="n"/>
      <c r="C181" s="27" t="n"/>
      <c r="D181" s="27" t="n"/>
      <c r="E181" s="27" t="n"/>
      <c r="F181" s="27" t="n"/>
      <c r="G181" s="27" t="n"/>
      <c r="H181" s="27" t="n"/>
      <c r="I181" s="27" t="n"/>
      <c r="J181" s="25" t="n"/>
      <c r="K181" s="25" t="n"/>
      <c r="L181" s="25" t="n"/>
      <c r="M181" s="25" t="n"/>
      <c r="N181" s="33">
        <f>IF(AND(L181="",M181=""),"",(N(L181)*60+N(M181))/86400)</f>
        <v/>
      </c>
      <c r="O181" s="27" t="n"/>
      <c r="P181" s="27" t="n"/>
      <c r="Q181" s="27" t="n"/>
      <c r="R181" s="27" t="n"/>
      <c r="S181" s="27" t="n"/>
      <c r="T181" s="27" t="n"/>
      <c r="U181" s="28" t="n"/>
      <c r="V181" s="28" t="n"/>
      <c r="W181" s="32">
        <f>IF(LEN(R181)=0,"",IF(ISNUMBER(V181),"Closed",IF(AND(ISNUMBER(U181),U181&lt;TODAY()),"Overdue","Open")))</f>
        <v/>
      </c>
      <c r="X181" s="27" t="n"/>
      <c r="Y181" s="27" t="n"/>
    </row>
    <row r="182">
      <c r="A182" s="28" t="n"/>
      <c r="B182" s="29" t="n"/>
      <c r="C182" s="27" t="n"/>
      <c r="D182" s="27" t="n"/>
      <c r="E182" s="27" t="n"/>
      <c r="F182" s="27" t="n"/>
      <c r="G182" s="27" t="n"/>
      <c r="H182" s="27" t="n"/>
      <c r="I182" s="27" t="n"/>
      <c r="J182" s="25" t="n"/>
      <c r="K182" s="25" t="n"/>
      <c r="L182" s="25" t="n"/>
      <c r="M182" s="25" t="n"/>
      <c r="N182" s="33">
        <f>IF(AND(L182="",M182=""),"",(N(L182)*60+N(M182))/86400)</f>
        <v/>
      </c>
      <c r="O182" s="27" t="n"/>
      <c r="P182" s="27" t="n"/>
      <c r="Q182" s="27" t="n"/>
      <c r="R182" s="27" t="n"/>
      <c r="S182" s="27" t="n"/>
      <c r="T182" s="27" t="n"/>
      <c r="U182" s="28" t="n"/>
      <c r="V182" s="28" t="n"/>
      <c r="W182" s="32">
        <f>IF(LEN(R182)=0,"",IF(ISNUMBER(V182),"Closed",IF(AND(ISNUMBER(U182),U182&lt;TODAY()),"Overdue","Open")))</f>
        <v/>
      </c>
      <c r="X182" s="27" t="n"/>
      <c r="Y182" s="27" t="n"/>
    </row>
    <row r="183">
      <c r="A183" s="28" t="n"/>
      <c r="B183" s="29" t="n"/>
      <c r="C183" s="27" t="n"/>
      <c r="D183" s="27" t="n"/>
      <c r="E183" s="27" t="n"/>
      <c r="F183" s="27" t="n"/>
      <c r="G183" s="27" t="n"/>
      <c r="H183" s="27" t="n"/>
      <c r="I183" s="27" t="n"/>
      <c r="J183" s="25" t="n"/>
      <c r="K183" s="25" t="n"/>
      <c r="L183" s="25" t="n"/>
      <c r="M183" s="25" t="n"/>
      <c r="N183" s="33">
        <f>IF(AND(L183="",M183=""),"",(N(L183)*60+N(M183))/86400)</f>
        <v/>
      </c>
      <c r="O183" s="27" t="n"/>
      <c r="P183" s="27" t="n"/>
      <c r="Q183" s="27" t="n"/>
      <c r="R183" s="27" t="n"/>
      <c r="S183" s="27" t="n"/>
      <c r="T183" s="27" t="n"/>
      <c r="U183" s="28" t="n"/>
      <c r="V183" s="28" t="n"/>
      <c r="W183" s="32">
        <f>IF(LEN(R183)=0,"",IF(ISNUMBER(V183),"Closed",IF(AND(ISNUMBER(U183),U183&lt;TODAY()),"Overdue","Open")))</f>
        <v/>
      </c>
      <c r="X183" s="27" t="n"/>
      <c r="Y183" s="27" t="n"/>
    </row>
    <row r="184">
      <c r="A184" s="28" t="n"/>
      <c r="B184" s="29" t="n"/>
      <c r="C184" s="27" t="n"/>
      <c r="D184" s="27" t="n"/>
      <c r="E184" s="27" t="n"/>
      <c r="F184" s="27" t="n"/>
      <c r="G184" s="27" t="n"/>
      <c r="H184" s="27" t="n"/>
      <c r="I184" s="27" t="n"/>
      <c r="J184" s="25" t="n"/>
      <c r="K184" s="25" t="n"/>
      <c r="L184" s="25" t="n"/>
      <c r="M184" s="25" t="n"/>
      <c r="N184" s="33">
        <f>IF(AND(L184="",M184=""),"",(N(L184)*60+N(M184))/86400)</f>
        <v/>
      </c>
      <c r="O184" s="27" t="n"/>
      <c r="P184" s="27" t="n"/>
      <c r="Q184" s="27" t="n"/>
      <c r="R184" s="27" t="n"/>
      <c r="S184" s="27" t="n"/>
      <c r="T184" s="27" t="n"/>
      <c r="U184" s="28" t="n"/>
      <c r="V184" s="28" t="n"/>
      <c r="W184" s="32">
        <f>IF(LEN(R184)=0,"",IF(ISNUMBER(V184),"Closed",IF(AND(ISNUMBER(U184),U184&lt;TODAY()),"Overdue","Open")))</f>
        <v/>
      </c>
      <c r="X184" s="27" t="n"/>
      <c r="Y184" s="27" t="n"/>
    </row>
    <row r="185">
      <c r="A185" s="28" t="n"/>
      <c r="B185" s="29" t="n"/>
      <c r="C185" s="27" t="n"/>
      <c r="D185" s="27" t="n"/>
      <c r="E185" s="27" t="n"/>
      <c r="F185" s="27" t="n"/>
      <c r="G185" s="27" t="n"/>
      <c r="H185" s="27" t="n"/>
      <c r="I185" s="27" t="n"/>
      <c r="J185" s="25" t="n"/>
      <c r="K185" s="25" t="n"/>
      <c r="L185" s="25" t="n"/>
      <c r="M185" s="25" t="n"/>
      <c r="N185" s="33">
        <f>IF(AND(L185="",M185=""),"",(N(L185)*60+N(M185))/86400)</f>
        <v/>
      </c>
      <c r="O185" s="27" t="n"/>
      <c r="P185" s="27" t="n"/>
      <c r="Q185" s="27" t="n"/>
      <c r="R185" s="27" t="n"/>
      <c r="S185" s="27" t="n"/>
      <c r="T185" s="27" t="n"/>
      <c r="U185" s="28" t="n"/>
      <c r="V185" s="28" t="n"/>
      <c r="W185" s="32">
        <f>IF(LEN(R185)=0,"",IF(ISNUMBER(V185),"Closed",IF(AND(ISNUMBER(U185),U185&lt;TODAY()),"Overdue","Open")))</f>
        <v/>
      </c>
      <c r="X185" s="27" t="n"/>
      <c r="Y185" s="27" t="n"/>
    </row>
    <row r="186">
      <c r="A186" s="28" t="n"/>
      <c r="B186" s="29" t="n"/>
      <c r="C186" s="27" t="n"/>
      <c r="D186" s="27" t="n"/>
      <c r="E186" s="27" t="n"/>
      <c r="F186" s="27" t="n"/>
      <c r="G186" s="27" t="n"/>
      <c r="H186" s="27" t="n"/>
      <c r="I186" s="27" t="n"/>
      <c r="J186" s="25" t="n"/>
      <c r="K186" s="25" t="n"/>
      <c r="L186" s="25" t="n"/>
      <c r="M186" s="25" t="n"/>
      <c r="N186" s="33">
        <f>IF(AND(L186="",M186=""),"",(N(L186)*60+N(M186))/86400)</f>
        <v/>
      </c>
      <c r="O186" s="27" t="n"/>
      <c r="P186" s="27" t="n"/>
      <c r="Q186" s="27" t="n"/>
      <c r="R186" s="27" t="n"/>
      <c r="S186" s="27" t="n"/>
      <c r="T186" s="27" t="n"/>
      <c r="U186" s="28" t="n"/>
      <c r="V186" s="28" t="n"/>
      <c r="W186" s="32">
        <f>IF(LEN(R186)=0,"",IF(ISNUMBER(V186),"Closed",IF(AND(ISNUMBER(U186),U186&lt;TODAY()),"Overdue","Open")))</f>
        <v/>
      </c>
      <c r="X186" s="27" t="n"/>
      <c r="Y186" s="27" t="n"/>
    </row>
    <row r="187">
      <c r="A187" s="28" t="n"/>
      <c r="B187" s="29" t="n"/>
      <c r="C187" s="27" t="n"/>
      <c r="D187" s="27" t="n"/>
      <c r="E187" s="27" t="n"/>
      <c r="F187" s="27" t="n"/>
      <c r="G187" s="27" t="n"/>
      <c r="H187" s="27" t="n"/>
      <c r="I187" s="27" t="n"/>
      <c r="J187" s="25" t="n"/>
      <c r="K187" s="25" t="n"/>
      <c r="L187" s="25" t="n"/>
      <c r="M187" s="25" t="n"/>
      <c r="N187" s="33">
        <f>IF(AND(L187="",M187=""),"",(N(L187)*60+N(M187))/86400)</f>
        <v/>
      </c>
      <c r="O187" s="27" t="n"/>
      <c r="P187" s="27" t="n"/>
      <c r="Q187" s="27" t="n"/>
      <c r="R187" s="27" t="n"/>
      <c r="S187" s="27" t="n"/>
      <c r="T187" s="27" t="n"/>
      <c r="U187" s="28" t="n"/>
      <c r="V187" s="28" t="n"/>
      <c r="W187" s="32">
        <f>IF(LEN(R187)=0,"",IF(ISNUMBER(V187),"Closed",IF(AND(ISNUMBER(U187),U187&lt;TODAY()),"Overdue","Open")))</f>
        <v/>
      </c>
      <c r="X187" s="27" t="n"/>
      <c r="Y187" s="27" t="n"/>
    </row>
    <row r="188">
      <c r="A188" s="28" t="n"/>
      <c r="B188" s="29" t="n"/>
      <c r="C188" s="27" t="n"/>
      <c r="D188" s="27" t="n"/>
      <c r="E188" s="27" t="n"/>
      <c r="F188" s="27" t="n"/>
      <c r="G188" s="27" t="n"/>
      <c r="H188" s="27" t="n"/>
      <c r="I188" s="27" t="n"/>
      <c r="J188" s="25" t="n"/>
      <c r="K188" s="25" t="n"/>
      <c r="L188" s="25" t="n"/>
      <c r="M188" s="25" t="n"/>
      <c r="N188" s="33">
        <f>IF(AND(L188="",M188=""),"",(N(L188)*60+N(M188))/86400)</f>
        <v/>
      </c>
      <c r="O188" s="27" t="n"/>
      <c r="P188" s="27" t="n"/>
      <c r="Q188" s="27" t="n"/>
      <c r="R188" s="27" t="n"/>
      <c r="S188" s="27" t="n"/>
      <c r="T188" s="27" t="n"/>
      <c r="U188" s="28" t="n"/>
      <c r="V188" s="28" t="n"/>
      <c r="W188" s="32">
        <f>IF(LEN(R188)=0,"",IF(ISNUMBER(V188),"Closed",IF(AND(ISNUMBER(U188),U188&lt;TODAY()),"Overdue","Open")))</f>
        <v/>
      </c>
      <c r="X188" s="27" t="n"/>
      <c r="Y188" s="27" t="n"/>
    </row>
    <row r="189">
      <c r="A189" s="28" t="n"/>
      <c r="B189" s="29" t="n"/>
      <c r="C189" s="27" t="n"/>
      <c r="D189" s="27" t="n"/>
      <c r="E189" s="27" t="n"/>
      <c r="F189" s="27" t="n"/>
      <c r="G189" s="27" t="n"/>
      <c r="H189" s="27" t="n"/>
      <c r="I189" s="27" t="n"/>
      <c r="J189" s="25" t="n"/>
      <c r="K189" s="25" t="n"/>
      <c r="L189" s="25" t="n"/>
      <c r="M189" s="25" t="n"/>
      <c r="N189" s="33">
        <f>IF(AND(L189="",M189=""),"",(N(L189)*60+N(M189))/86400)</f>
        <v/>
      </c>
      <c r="O189" s="27" t="n"/>
      <c r="P189" s="27" t="n"/>
      <c r="Q189" s="27" t="n"/>
      <c r="R189" s="27" t="n"/>
      <c r="S189" s="27" t="n"/>
      <c r="T189" s="27" t="n"/>
      <c r="U189" s="28" t="n"/>
      <c r="V189" s="28" t="n"/>
      <c r="W189" s="32">
        <f>IF(LEN(R189)=0,"",IF(ISNUMBER(V189),"Closed",IF(AND(ISNUMBER(U189),U189&lt;TODAY()),"Overdue","Open")))</f>
        <v/>
      </c>
      <c r="X189" s="27" t="n"/>
      <c r="Y189" s="27" t="n"/>
    </row>
    <row r="190">
      <c r="A190" s="28" t="n"/>
      <c r="B190" s="29" t="n"/>
      <c r="C190" s="27" t="n"/>
      <c r="D190" s="27" t="n"/>
      <c r="E190" s="27" t="n"/>
      <c r="F190" s="27" t="n"/>
      <c r="G190" s="27" t="n"/>
      <c r="H190" s="27" t="n"/>
      <c r="I190" s="27" t="n"/>
      <c r="J190" s="25" t="n"/>
      <c r="K190" s="25" t="n"/>
      <c r="L190" s="25" t="n"/>
      <c r="M190" s="25" t="n"/>
      <c r="N190" s="33">
        <f>IF(AND(L190="",M190=""),"",(N(L190)*60+N(M190))/86400)</f>
        <v/>
      </c>
      <c r="O190" s="27" t="n"/>
      <c r="P190" s="27" t="n"/>
      <c r="Q190" s="27" t="n"/>
      <c r="R190" s="27" t="n"/>
      <c r="S190" s="27" t="n"/>
      <c r="T190" s="27" t="n"/>
      <c r="U190" s="28" t="n"/>
      <c r="V190" s="28" t="n"/>
      <c r="W190" s="32">
        <f>IF(LEN(R190)=0,"",IF(ISNUMBER(V190),"Closed",IF(AND(ISNUMBER(U190),U190&lt;TODAY()),"Overdue","Open")))</f>
        <v/>
      </c>
      <c r="X190" s="27" t="n"/>
      <c r="Y190" s="27" t="n"/>
    </row>
    <row r="191">
      <c r="A191" s="28" t="n"/>
      <c r="B191" s="29" t="n"/>
      <c r="C191" s="27" t="n"/>
      <c r="D191" s="27" t="n"/>
      <c r="E191" s="27" t="n"/>
      <c r="F191" s="27" t="n"/>
      <c r="G191" s="27" t="n"/>
      <c r="H191" s="27" t="n"/>
      <c r="I191" s="27" t="n"/>
      <c r="J191" s="25" t="n"/>
      <c r="K191" s="25" t="n"/>
      <c r="L191" s="25" t="n"/>
      <c r="M191" s="25" t="n"/>
      <c r="N191" s="33">
        <f>IF(AND(L191="",M191=""),"",(N(L191)*60+N(M191))/86400)</f>
        <v/>
      </c>
      <c r="O191" s="27" t="n"/>
      <c r="P191" s="27" t="n"/>
      <c r="Q191" s="27" t="n"/>
      <c r="R191" s="27" t="n"/>
      <c r="S191" s="27" t="n"/>
      <c r="T191" s="27" t="n"/>
      <c r="U191" s="28" t="n"/>
      <c r="V191" s="28" t="n"/>
      <c r="W191" s="32">
        <f>IF(LEN(R191)=0,"",IF(ISNUMBER(V191),"Closed",IF(AND(ISNUMBER(U191),U191&lt;TODAY()),"Overdue","Open")))</f>
        <v/>
      </c>
      <c r="X191" s="27" t="n"/>
      <c r="Y191" s="27" t="n"/>
    </row>
    <row r="192">
      <c r="A192" s="28" t="n"/>
      <c r="B192" s="29" t="n"/>
      <c r="C192" s="27" t="n"/>
      <c r="D192" s="27" t="n"/>
      <c r="E192" s="27" t="n"/>
      <c r="F192" s="27" t="n"/>
      <c r="G192" s="27" t="n"/>
      <c r="H192" s="27" t="n"/>
      <c r="I192" s="27" t="n"/>
      <c r="J192" s="25" t="n"/>
      <c r="K192" s="25" t="n"/>
      <c r="L192" s="25" t="n"/>
      <c r="M192" s="25" t="n"/>
      <c r="N192" s="33">
        <f>IF(AND(L192="",M192=""),"",(N(L192)*60+N(M192))/86400)</f>
        <v/>
      </c>
      <c r="O192" s="27" t="n"/>
      <c r="P192" s="27" t="n"/>
      <c r="Q192" s="27" t="n"/>
      <c r="R192" s="27" t="n"/>
      <c r="S192" s="27" t="n"/>
      <c r="T192" s="27" t="n"/>
      <c r="U192" s="28" t="n"/>
      <c r="V192" s="28" t="n"/>
      <c r="W192" s="32">
        <f>IF(LEN(R192)=0,"",IF(ISNUMBER(V192),"Closed",IF(AND(ISNUMBER(U192),U192&lt;TODAY()),"Overdue","Open")))</f>
        <v/>
      </c>
      <c r="X192" s="27" t="n"/>
      <c r="Y192" s="27" t="n"/>
    </row>
    <row r="193">
      <c r="A193" s="28" t="n"/>
      <c r="B193" s="29" t="n"/>
      <c r="C193" s="27" t="n"/>
      <c r="D193" s="27" t="n"/>
      <c r="E193" s="27" t="n"/>
      <c r="F193" s="27" t="n"/>
      <c r="G193" s="27" t="n"/>
      <c r="H193" s="27" t="n"/>
      <c r="I193" s="27" t="n"/>
      <c r="J193" s="25" t="n"/>
      <c r="K193" s="25" t="n"/>
      <c r="L193" s="25" t="n"/>
      <c r="M193" s="25" t="n"/>
      <c r="N193" s="33">
        <f>IF(AND(L193="",M193=""),"",(N(L193)*60+N(M193))/86400)</f>
        <v/>
      </c>
      <c r="O193" s="27" t="n"/>
      <c r="P193" s="27" t="n"/>
      <c r="Q193" s="27" t="n"/>
      <c r="R193" s="27" t="n"/>
      <c r="S193" s="27" t="n"/>
      <c r="T193" s="27" t="n"/>
      <c r="U193" s="28" t="n"/>
      <c r="V193" s="28" t="n"/>
      <c r="W193" s="32">
        <f>IF(LEN(R193)=0,"",IF(ISNUMBER(V193),"Closed",IF(AND(ISNUMBER(U193),U193&lt;TODAY()),"Overdue","Open")))</f>
        <v/>
      </c>
      <c r="X193" s="27" t="n"/>
      <c r="Y193" s="27" t="n"/>
    </row>
    <row r="194">
      <c r="A194" s="28" t="n"/>
      <c r="B194" s="29" t="n"/>
      <c r="C194" s="27" t="n"/>
      <c r="D194" s="27" t="n"/>
      <c r="E194" s="27" t="n"/>
      <c r="F194" s="27" t="n"/>
      <c r="G194" s="27" t="n"/>
      <c r="H194" s="27" t="n"/>
      <c r="I194" s="27" t="n"/>
      <c r="J194" s="25" t="n"/>
      <c r="K194" s="25" t="n"/>
      <c r="L194" s="25" t="n"/>
      <c r="M194" s="25" t="n"/>
      <c r="N194" s="33">
        <f>IF(AND(L194="",M194=""),"",(N(L194)*60+N(M194))/86400)</f>
        <v/>
      </c>
      <c r="O194" s="27" t="n"/>
      <c r="P194" s="27" t="n"/>
      <c r="Q194" s="27" t="n"/>
      <c r="R194" s="27" t="n"/>
      <c r="S194" s="27" t="n"/>
      <c r="T194" s="27" t="n"/>
      <c r="U194" s="28" t="n"/>
      <c r="V194" s="28" t="n"/>
      <c r="W194" s="32">
        <f>IF(LEN(R194)=0,"",IF(ISNUMBER(V194),"Closed",IF(AND(ISNUMBER(U194),U194&lt;TODAY()),"Overdue","Open")))</f>
        <v/>
      </c>
      <c r="X194" s="27" t="n"/>
      <c r="Y194" s="27" t="n"/>
    </row>
    <row r="195">
      <c r="A195" s="28" t="n"/>
      <c r="B195" s="29" t="n"/>
      <c r="C195" s="27" t="n"/>
      <c r="D195" s="27" t="n"/>
      <c r="E195" s="27" t="n"/>
      <c r="F195" s="27" t="n"/>
      <c r="G195" s="27" t="n"/>
      <c r="H195" s="27" t="n"/>
      <c r="I195" s="27" t="n"/>
      <c r="J195" s="25" t="n"/>
      <c r="K195" s="25" t="n"/>
      <c r="L195" s="25" t="n"/>
      <c r="M195" s="25" t="n"/>
      <c r="N195" s="33">
        <f>IF(AND(L195="",M195=""),"",(N(L195)*60+N(M195))/86400)</f>
        <v/>
      </c>
      <c r="O195" s="27" t="n"/>
      <c r="P195" s="27" t="n"/>
      <c r="Q195" s="27" t="n"/>
      <c r="R195" s="27" t="n"/>
      <c r="S195" s="27" t="n"/>
      <c r="T195" s="27" t="n"/>
      <c r="U195" s="28" t="n"/>
      <c r="V195" s="28" t="n"/>
      <c r="W195" s="32">
        <f>IF(LEN(R195)=0,"",IF(ISNUMBER(V195),"Closed",IF(AND(ISNUMBER(U195),U195&lt;TODAY()),"Overdue","Open")))</f>
        <v/>
      </c>
      <c r="X195" s="27" t="n"/>
      <c r="Y195" s="27" t="n"/>
    </row>
    <row r="196">
      <c r="A196" s="28" t="n"/>
      <c r="B196" s="29" t="n"/>
      <c r="C196" s="27" t="n"/>
      <c r="D196" s="27" t="n"/>
      <c r="E196" s="27" t="n"/>
      <c r="F196" s="27" t="n"/>
      <c r="G196" s="27" t="n"/>
      <c r="H196" s="27" t="n"/>
      <c r="I196" s="27" t="n"/>
      <c r="J196" s="25" t="n"/>
      <c r="K196" s="25" t="n"/>
      <c r="L196" s="25" t="n"/>
      <c r="M196" s="25" t="n"/>
      <c r="N196" s="33">
        <f>IF(AND(L196="",M196=""),"",(N(L196)*60+N(M196))/86400)</f>
        <v/>
      </c>
      <c r="O196" s="27" t="n"/>
      <c r="P196" s="27" t="n"/>
      <c r="Q196" s="27" t="n"/>
      <c r="R196" s="27" t="n"/>
      <c r="S196" s="27" t="n"/>
      <c r="T196" s="27" t="n"/>
      <c r="U196" s="28" t="n"/>
      <c r="V196" s="28" t="n"/>
      <c r="W196" s="32">
        <f>IF(LEN(R196)=0,"",IF(ISNUMBER(V196),"Closed",IF(AND(ISNUMBER(U196),U196&lt;TODAY()),"Overdue","Open")))</f>
        <v/>
      </c>
      <c r="X196" s="27" t="n"/>
      <c r="Y196" s="27" t="n"/>
    </row>
    <row r="197">
      <c r="A197" s="28" t="n"/>
      <c r="B197" s="29" t="n"/>
      <c r="C197" s="27" t="n"/>
      <c r="D197" s="27" t="n"/>
      <c r="E197" s="27" t="n"/>
      <c r="F197" s="27" t="n"/>
      <c r="G197" s="27" t="n"/>
      <c r="H197" s="27" t="n"/>
      <c r="I197" s="27" t="n"/>
      <c r="J197" s="25" t="n"/>
      <c r="K197" s="25" t="n"/>
      <c r="L197" s="25" t="n"/>
      <c r="M197" s="25" t="n"/>
      <c r="N197" s="33">
        <f>IF(AND(L197="",M197=""),"",(N(L197)*60+N(M197))/86400)</f>
        <v/>
      </c>
      <c r="O197" s="27" t="n"/>
      <c r="P197" s="27" t="n"/>
      <c r="Q197" s="27" t="n"/>
      <c r="R197" s="27" t="n"/>
      <c r="S197" s="27" t="n"/>
      <c r="T197" s="27" t="n"/>
      <c r="U197" s="28" t="n"/>
      <c r="V197" s="28" t="n"/>
      <c r="W197" s="32">
        <f>IF(LEN(R197)=0,"",IF(ISNUMBER(V197),"Closed",IF(AND(ISNUMBER(U197),U197&lt;TODAY()),"Overdue","Open")))</f>
        <v/>
      </c>
      <c r="X197" s="27" t="n"/>
      <c r="Y197" s="27" t="n"/>
    </row>
    <row r="198">
      <c r="A198" s="28" t="n"/>
      <c r="B198" s="29" t="n"/>
      <c r="C198" s="27" t="n"/>
      <c r="D198" s="27" t="n"/>
      <c r="E198" s="27" t="n"/>
      <c r="F198" s="27" t="n"/>
      <c r="G198" s="27" t="n"/>
      <c r="H198" s="27" t="n"/>
      <c r="I198" s="27" t="n"/>
      <c r="J198" s="25" t="n"/>
      <c r="K198" s="25" t="n"/>
      <c r="L198" s="25" t="n"/>
      <c r="M198" s="25" t="n"/>
      <c r="N198" s="33">
        <f>IF(AND(L198="",M198=""),"",(N(L198)*60+N(M198))/86400)</f>
        <v/>
      </c>
      <c r="O198" s="27" t="n"/>
      <c r="P198" s="27" t="n"/>
      <c r="Q198" s="27" t="n"/>
      <c r="R198" s="27" t="n"/>
      <c r="S198" s="27" t="n"/>
      <c r="T198" s="27" t="n"/>
      <c r="U198" s="28" t="n"/>
      <c r="V198" s="28" t="n"/>
      <c r="W198" s="32">
        <f>IF(LEN(R198)=0,"",IF(ISNUMBER(V198),"Closed",IF(AND(ISNUMBER(U198),U198&lt;TODAY()),"Overdue","Open")))</f>
        <v/>
      </c>
      <c r="X198" s="27" t="n"/>
      <c r="Y198" s="27" t="n"/>
    </row>
    <row r="199">
      <c r="A199" s="28" t="n"/>
      <c r="B199" s="29" t="n"/>
      <c r="C199" s="27" t="n"/>
      <c r="D199" s="27" t="n"/>
      <c r="E199" s="27" t="n"/>
      <c r="F199" s="27" t="n"/>
      <c r="G199" s="27" t="n"/>
      <c r="H199" s="27" t="n"/>
      <c r="I199" s="27" t="n"/>
      <c r="J199" s="25" t="n"/>
      <c r="K199" s="25" t="n"/>
      <c r="L199" s="25" t="n"/>
      <c r="M199" s="25" t="n"/>
      <c r="N199" s="33">
        <f>IF(AND(L199="",M199=""),"",(N(L199)*60+N(M199))/86400)</f>
        <v/>
      </c>
      <c r="O199" s="27" t="n"/>
      <c r="P199" s="27" t="n"/>
      <c r="Q199" s="27" t="n"/>
      <c r="R199" s="27" t="n"/>
      <c r="S199" s="27" t="n"/>
      <c r="T199" s="27" t="n"/>
      <c r="U199" s="28" t="n"/>
      <c r="V199" s="28" t="n"/>
      <c r="W199" s="32">
        <f>IF(LEN(R199)=0,"",IF(ISNUMBER(V199),"Closed",IF(AND(ISNUMBER(U199),U199&lt;TODAY()),"Overdue","Open")))</f>
        <v/>
      </c>
      <c r="X199" s="27" t="n"/>
      <c r="Y199" s="27" t="n"/>
    </row>
    <row r="200">
      <c r="A200" s="28" t="n"/>
      <c r="B200" s="29" t="n"/>
      <c r="C200" s="27" t="n"/>
      <c r="D200" s="27" t="n"/>
      <c r="E200" s="27" t="n"/>
      <c r="F200" s="27" t="n"/>
      <c r="G200" s="27" t="n"/>
      <c r="H200" s="27" t="n"/>
      <c r="I200" s="27" t="n"/>
      <c r="J200" s="25" t="n"/>
      <c r="K200" s="25" t="n"/>
      <c r="L200" s="25" t="n"/>
      <c r="M200" s="25" t="n"/>
      <c r="N200" s="33">
        <f>IF(AND(L200="",M200=""),"",(N(L200)*60+N(M200))/86400)</f>
        <v/>
      </c>
      <c r="O200" s="27" t="n"/>
      <c r="P200" s="27" t="n"/>
      <c r="Q200" s="27" t="n"/>
      <c r="R200" s="27" t="n"/>
      <c r="S200" s="27" t="n"/>
      <c r="T200" s="27" t="n"/>
      <c r="U200" s="28" t="n"/>
      <c r="V200" s="28" t="n"/>
      <c r="W200" s="32">
        <f>IF(LEN(R200)=0,"",IF(ISNUMBER(V200),"Closed",IF(AND(ISNUMBER(U200),U200&lt;TODAY()),"Overdue","Open")))</f>
        <v/>
      </c>
      <c r="X200" s="27" t="n"/>
      <c r="Y200" s="27" t="n"/>
    </row>
    <row r="201">
      <c r="A201" s="28" t="n"/>
      <c r="B201" s="29" t="n"/>
      <c r="C201" s="27" t="n"/>
      <c r="D201" s="27" t="n"/>
      <c r="E201" s="27" t="n"/>
      <c r="F201" s="27" t="n"/>
      <c r="G201" s="27" t="n"/>
      <c r="H201" s="27" t="n"/>
      <c r="I201" s="27" t="n"/>
      <c r="J201" s="25" t="n"/>
      <c r="K201" s="25" t="n"/>
      <c r="L201" s="25" t="n"/>
      <c r="M201" s="25" t="n"/>
      <c r="N201" s="33">
        <f>IF(AND(L201="",M201=""),"",(N(L201)*60+N(M201))/86400)</f>
        <v/>
      </c>
      <c r="O201" s="27" t="n"/>
      <c r="P201" s="27" t="n"/>
      <c r="Q201" s="27" t="n"/>
      <c r="R201" s="27" t="n"/>
      <c r="S201" s="27" t="n"/>
      <c r="T201" s="27" t="n"/>
      <c r="U201" s="28" t="n"/>
      <c r="V201" s="28" t="n"/>
      <c r="W201" s="32">
        <f>IF(LEN(R201)=0,"",IF(ISNUMBER(V201),"Closed",IF(AND(ISNUMBER(U201),U201&lt;TODAY()),"Overdue","Open")))</f>
        <v/>
      </c>
      <c r="X201" s="27" t="n"/>
      <c r="Y201" s="27" t="n"/>
    </row>
    <row r="202">
      <c r="A202" s="28" t="n"/>
      <c r="B202" s="29" t="n"/>
      <c r="C202" s="27" t="n"/>
      <c r="D202" s="27" t="n"/>
      <c r="E202" s="27" t="n"/>
      <c r="F202" s="27" t="n"/>
      <c r="G202" s="27" t="n"/>
      <c r="H202" s="27" t="n"/>
      <c r="I202" s="27" t="n"/>
      <c r="J202" s="25" t="n"/>
      <c r="K202" s="25" t="n"/>
      <c r="L202" s="25" t="n"/>
      <c r="M202" s="25" t="n"/>
      <c r="N202" s="33">
        <f>IF(AND(L202="",M202=""),"",(N(L202)*60+N(M202))/86400)</f>
        <v/>
      </c>
      <c r="O202" s="27" t="n"/>
      <c r="P202" s="27" t="n"/>
      <c r="Q202" s="27" t="n"/>
      <c r="R202" s="27" t="n"/>
      <c r="S202" s="27" t="n"/>
      <c r="T202" s="27" t="n"/>
      <c r="U202" s="28" t="n"/>
      <c r="V202" s="28" t="n"/>
      <c r="W202" s="32">
        <f>IF(LEN(R202)=0,"",IF(ISNUMBER(V202),"Closed",IF(AND(ISNUMBER(U202),U202&lt;TODAY()),"Overdue","Open")))</f>
        <v/>
      </c>
      <c r="X202" s="27" t="n"/>
      <c r="Y202" s="27" t="n"/>
    </row>
    <row r="203">
      <c r="A203" s="28" t="n"/>
      <c r="B203" s="29" t="n"/>
      <c r="C203" s="27" t="n"/>
      <c r="D203" s="27" t="n"/>
      <c r="E203" s="27" t="n"/>
      <c r="F203" s="27" t="n"/>
      <c r="G203" s="27" t="n"/>
      <c r="H203" s="27" t="n"/>
      <c r="I203" s="27" t="n"/>
      <c r="J203" s="25" t="n"/>
      <c r="K203" s="25" t="n"/>
      <c r="L203" s="25" t="n"/>
      <c r="M203" s="25" t="n"/>
      <c r="N203" s="33">
        <f>IF(AND(L203="",M203=""),"",(N(L203)*60+N(M203))/86400)</f>
        <v/>
      </c>
      <c r="O203" s="27" t="n"/>
      <c r="P203" s="27" t="n"/>
      <c r="Q203" s="27" t="n"/>
      <c r="R203" s="27" t="n"/>
      <c r="S203" s="27" t="n"/>
      <c r="T203" s="27" t="n"/>
      <c r="U203" s="28" t="n"/>
      <c r="V203" s="28" t="n"/>
      <c r="W203" s="32">
        <f>IF(LEN(R203)=0,"",IF(ISNUMBER(V203),"Closed",IF(AND(ISNUMBER(U203),U203&lt;TODAY()),"Overdue","Open")))</f>
        <v/>
      </c>
      <c r="X203" s="27" t="n"/>
      <c r="Y203" s="27" t="n"/>
    </row>
    <row r="204">
      <c r="A204" s="28" t="n"/>
      <c r="B204" s="29" t="n"/>
      <c r="C204" s="27" t="n"/>
      <c r="D204" s="27" t="n"/>
      <c r="E204" s="27" t="n"/>
      <c r="F204" s="27" t="n"/>
      <c r="G204" s="27" t="n"/>
      <c r="H204" s="27" t="n"/>
      <c r="I204" s="27" t="n"/>
      <c r="J204" s="25" t="n"/>
      <c r="K204" s="25" t="n"/>
      <c r="L204" s="25" t="n"/>
      <c r="M204" s="25" t="n"/>
      <c r="N204" s="33">
        <f>IF(AND(L204="",M204=""),"",(N(L204)*60+N(M204))/86400)</f>
        <v/>
      </c>
      <c r="O204" s="27" t="n"/>
      <c r="P204" s="27" t="n"/>
      <c r="Q204" s="27" t="n"/>
      <c r="R204" s="27" t="n"/>
      <c r="S204" s="27" t="n"/>
      <c r="T204" s="27" t="n"/>
      <c r="U204" s="28" t="n"/>
      <c r="V204" s="28" t="n"/>
      <c r="W204" s="32">
        <f>IF(LEN(R204)=0,"",IF(ISNUMBER(V204),"Closed",IF(AND(ISNUMBER(U204),U204&lt;TODAY()),"Overdue","Open")))</f>
        <v/>
      </c>
      <c r="X204" s="27" t="n"/>
      <c r="Y204" s="27" t="n"/>
    </row>
    <row r="205">
      <c r="A205" s="28" t="n"/>
      <c r="B205" s="29" t="n"/>
      <c r="C205" s="27" t="n"/>
      <c r="D205" s="27" t="n"/>
      <c r="E205" s="27" t="n"/>
      <c r="F205" s="27" t="n"/>
      <c r="G205" s="27" t="n"/>
      <c r="H205" s="27" t="n"/>
      <c r="I205" s="27" t="n"/>
      <c r="J205" s="25" t="n"/>
      <c r="K205" s="25" t="n"/>
      <c r="L205" s="25" t="n"/>
      <c r="M205" s="25" t="n"/>
      <c r="N205" s="33">
        <f>IF(AND(L205="",M205=""),"",(N(L205)*60+N(M205))/86400)</f>
        <v/>
      </c>
      <c r="O205" s="27" t="n"/>
      <c r="P205" s="27" t="n"/>
      <c r="Q205" s="27" t="n"/>
      <c r="R205" s="27" t="n"/>
      <c r="S205" s="27" t="n"/>
      <c r="T205" s="27" t="n"/>
      <c r="U205" s="28" t="n"/>
      <c r="V205" s="28" t="n"/>
      <c r="W205" s="32">
        <f>IF(LEN(R205)=0,"",IF(ISNUMBER(V205),"Closed",IF(AND(ISNUMBER(U205),U205&lt;TODAY()),"Overdue","Open")))</f>
        <v/>
      </c>
      <c r="X205" s="27" t="n"/>
      <c r="Y205" s="27" t="n"/>
    </row>
    <row r="206">
      <c r="A206" s="28" t="n"/>
      <c r="B206" s="29" t="n"/>
      <c r="C206" s="27" t="n"/>
      <c r="D206" s="27" t="n"/>
      <c r="E206" s="27" t="n"/>
      <c r="F206" s="27" t="n"/>
      <c r="G206" s="27" t="n"/>
      <c r="H206" s="27" t="n"/>
      <c r="I206" s="27" t="n"/>
      <c r="J206" s="25" t="n"/>
      <c r="K206" s="25" t="n"/>
      <c r="L206" s="25" t="n"/>
      <c r="M206" s="25" t="n"/>
      <c r="N206" s="33">
        <f>IF(AND(L206="",M206=""),"",(N(L206)*60+N(M206))/86400)</f>
        <v/>
      </c>
      <c r="O206" s="27" t="n"/>
      <c r="P206" s="27" t="n"/>
      <c r="Q206" s="27" t="n"/>
      <c r="R206" s="27" t="n"/>
      <c r="S206" s="27" t="n"/>
      <c r="T206" s="27" t="n"/>
      <c r="U206" s="28" t="n"/>
      <c r="V206" s="28" t="n"/>
      <c r="W206" s="32">
        <f>IF(LEN(R206)=0,"",IF(ISNUMBER(V206),"Closed",IF(AND(ISNUMBER(U206),U206&lt;TODAY()),"Overdue","Open")))</f>
        <v/>
      </c>
      <c r="X206" s="27" t="n"/>
      <c r="Y206" s="27" t="n"/>
    </row>
    <row r="207">
      <c r="A207" s="28" t="n"/>
      <c r="B207" s="29" t="n"/>
      <c r="C207" s="27" t="n"/>
      <c r="D207" s="27" t="n"/>
      <c r="E207" s="27" t="n"/>
      <c r="F207" s="27" t="n"/>
      <c r="G207" s="27" t="n"/>
      <c r="H207" s="27" t="n"/>
      <c r="I207" s="27" t="n"/>
      <c r="J207" s="25" t="n"/>
      <c r="K207" s="25" t="n"/>
      <c r="L207" s="25" t="n"/>
      <c r="M207" s="25" t="n"/>
      <c r="N207" s="33">
        <f>IF(AND(L207="",M207=""),"",(N(L207)*60+N(M207))/86400)</f>
        <v/>
      </c>
      <c r="O207" s="27" t="n"/>
      <c r="P207" s="27" t="n"/>
      <c r="Q207" s="27" t="n"/>
      <c r="R207" s="27" t="n"/>
      <c r="S207" s="27" t="n"/>
      <c r="T207" s="27" t="n"/>
      <c r="U207" s="28" t="n"/>
      <c r="V207" s="28" t="n"/>
      <c r="W207" s="32">
        <f>IF(LEN(R207)=0,"",IF(ISNUMBER(V207),"Closed",IF(AND(ISNUMBER(U207),U207&lt;TODAY()),"Overdue","Open")))</f>
        <v/>
      </c>
      <c r="X207" s="27" t="n"/>
      <c r="Y207" s="27" t="n"/>
    </row>
    <row r="208">
      <c r="A208" s="28" t="n"/>
      <c r="B208" s="29" t="n"/>
      <c r="C208" s="27" t="n"/>
      <c r="D208" s="27" t="n"/>
      <c r="E208" s="27" t="n"/>
      <c r="F208" s="27" t="n"/>
      <c r="G208" s="27" t="n"/>
      <c r="H208" s="27" t="n"/>
      <c r="I208" s="27" t="n"/>
      <c r="J208" s="25" t="n"/>
      <c r="K208" s="25" t="n"/>
      <c r="L208" s="25" t="n"/>
      <c r="M208" s="25" t="n"/>
      <c r="N208" s="33">
        <f>IF(AND(L208="",M208=""),"",(N(L208)*60+N(M208))/86400)</f>
        <v/>
      </c>
      <c r="O208" s="27" t="n"/>
      <c r="P208" s="27" t="n"/>
      <c r="Q208" s="27" t="n"/>
      <c r="R208" s="27" t="n"/>
      <c r="S208" s="27" t="n"/>
      <c r="T208" s="27" t="n"/>
      <c r="U208" s="28" t="n"/>
      <c r="V208" s="28" t="n"/>
      <c r="W208" s="32">
        <f>IF(LEN(R208)=0,"",IF(ISNUMBER(V208),"Closed",IF(AND(ISNUMBER(U208),U208&lt;TODAY()),"Overdue","Open")))</f>
        <v/>
      </c>
      <c r="X208" s="27" t="n"/>
      <c r="Y208" s="27" t="n"/>
    </row>
    <row r="209">
      <c r="A209" s="28" t="n"/>
      <c r="B209" s="29" t="n"/>
      <c r="C209" s="27" t="n"/>
      <c r="D209" s="27" t="n"/>
      <c r="E209" s="27" t="n"/>
      <c r="F209" s="27" t="n"/>
      <c r="G209" s="27" t="n"/>
      <c r="H209" s="27" t="n"/>
      <c r="I209" s="27" t="n"/>
      <c r="J209" s="25" t="n"/>
      <c r="K209" s="25" t="n"/>
      <c r="L209" s="25" t="n"/>
      <c r="M209" s="25" t="n"/>
      <c r="N209" s="33">
        <f>IF(AND(L209="",M209=""),"",(N(L209)*60+N(M209))/86400)</f>
        <v/>
      </c>
      <c r="O209" s="27" t="n"/>
      <c r="P209" s="27" t="n"/>
      <c r="Q209" s="27" t="n"/>
      <c r="R209" s="27" t="n"/>
      <c r="S209" s="27" t="n"/>
      <c r="T209" s="27" t="n"/>
      <c r="U209" s="28" t="n"/>
      <c r="V209" s="28" t="n"/>
      <c r="W209" s="32">
        <f>IF(LEN(R209)=0,"",IF(ISNUMBER(V209),"Closed",IF(AND(ISNUMBER(U209),U209&lt;TODAY()),"Overdue","Open")))</f>
        <v/>
      </c>
      <c r="X209" s="27" t="n"/>
      <c r="Y209" s="27" t="n"/>
    </row>
    <row r="210">
      <c r="A210" s="28" t="n"/>
      <c r="B210" s="29" t="n"/>
      <c r="C210" s="27" t="n"/>
      <c r="D210" s="27" t="n"/>
      <c r="E210" s="27" t="n"/>
      <c r="F210" s="27" t="n"/>
      <c r="G210" s="27" t="n"/>
      <c r="H210" s="27" t="n"/>
      <c r="I210" s="27" t="n"/>
      <c r="J210" s="25" t="n"/>
      <c r="K210" s="25" t="n"/>
      <c r="L210" s="25" t="n"/>
      <c r="M210" s="25" t="n"/>
      <c r="N210" s="33">
        <f>IF(AND(L210="",M210=""),"",(N(L210)*60+N(M210))/86400)</f>
        <v/>
      </c>
      <c r="O210" s="27" t="n"/>
      <c r="P210" s="27" t="n"/>
      <c r="Q210" s="27" t="n"/>
      <c r="R210" s="27" t="n"/>
      <c r="S210" s="27" t="n"/>
      <c r="T210" s="27" t="n"/>
      <c r="U210" s="28" t="n"/>
      <c r="V210" s="28" t="n"/>
      <c r="W210" s="32">
        <f>IF(LEN(R210)=0,"",IF(ISNUMBER(V210),"Closed",IF(AND(ISNUMBER(U210),U210&lt;TODAY()),"Overdue","Open")))</f>
        <v/>
      </c>
      <c r="X210" s="27" t="n"/>
      <c r="Y210" s="27" t="n"/>
    </row>
    <row r="211">
      <c r="A211" s="28" t="n"/>
      <c r="B211" s="29" t="n"/>
      <c r="C211" s="27" t="n"/>
      <c r="D211" s="27" t="n"/>
      <c r="E211" s="27" t="n"/>
      <c r="F211" s="27" t="n"/>
      <c r="G211" s="27" t="n"/>
      <c r="H211" s="27" t="n"/>
      <c r="I211" s="27" t="n"/>
      <c r="J211" s="25" t="n"/>
      <c r="K211" s="25" t="n"/>
      <c r="L211" s="25" t="n"/>
      <c r="M211" s="25" t="n"/>
      <c r="N211" s="33">
        <f>IF(AND(L211="",M211=""),"",(N(L211)*60+N(M211))/86400)</f>
        <v/>
      </c>
      <c r="O211" s="27" t="n"/>
      <c r="P211" s="27" t="n"/>
      <c r="Q211" s="27" t="n"/>
      <c r="R211" s="27" t="n"/>
      <c r="S211" s="27" t="n"/>
      <c r="T211" s="27" t="n"/>
      <c r="U211" s="28" t="n"/>
      <c r="V211" s="28" t="n"/>
      <c r="W211" s="32">
        <f>IF(LEN(R211)=0,"",IF(ISNUMBER(V211),"Closed",IF(AND(ISNUMBER(U211),U211&lt;TODAY()),"Overdue","Open")))</f>
        <v/>
      </c>
      <c r="X211" s="27" t="n"/>
      <c r="Y211" s="27" t="n"/>
    </row>
    <row r="212">
      <c r="A212" s="28" t="n"/>
      <c r="B212" s="29" t="n"/>
      <c r="C212" s="27" t="n"/>
      <c r="D212" s="27" t="n"/>
      <c r="E212" s="27" t="n"/>
      <c r="F212" s="27" t="n"/>
      <c r="G212" s="27" t="n"/>
      <c r="H212" s="27" t="n"/>
      <c r="I212" s="27" t="n"/>
      <c r="J212" s="25" t="n"/>
      <c r="K212" s="25" t="n"/>
      <c r="L212" s="25" t="n"/>
      <c r="M212" s="25" t="n"/>
      <c r="N212" s="33">
        <f>IF(AND(L212="",M212=""),"",(N(L212)*60+N(M212))/86400)</f>
        <v/>
      </c>
      <c r="O212" s="27" t="n"/>
      <c r="P212" s="27" t="n"/>
      <c r="Q212" s="27" t="n"/>
      <c r="R212" s="27" t="n"/>
      <c r="S212" s="27" t="n"/>
      <c r="T212" s="27" t="n"/>
      <c r="U212" s="28" t="n"/>
      <c r="V212" s="28" t="n"/>
      <c r="W212" s="32">
        <f>IF(LEN(R212)=0,"",IF(ISNUMBER(V212),"Closed",IF(AND(ISNUMBER(U212),U212&lt;TODAY()),"Overdue","Open")))</f>
        <v/>
      </c>
      <c r="X212" s="27" t="n"/>
      <c r="Y212" s="27" t="n"/>
    </row>
    <row r="213">
      <c r="A213" s="28" t="n"/>
      <c r="B213" s="29" t="n"/>
      <c r="C213" s="27" t="n"/>
      <c r="D213" s="27" t="n"/>
      <c r="E213" s="27" t="n"/>
      <c r="F213" s="27" t="n"/>
      <c r="G213" s="27" t="n"/>
      <c r="H213" s="27" t="n"/>
      <c r="I213" s="27" t="n"/>
      <c r="J213" s="25" t="n"/>
      <c r="K213" s="25" t="n"/>
      <c r="L213" s="25" t="n"/>
      <c r="M213" s="25" t="n"/>
      <c r="N213" s="33">
        <f>IF(AND(L213="",M213=""),"",(N(L213)*60+N(M213))/86400)</f>
        <v/>
      </c>
      <c r="O213" s="27" t="n"/>
      <c r="P213" s="27" t="n"/>
      <c r="Q213" s="27" t="n"/>
      <c r="R213" s="27" t="n"/>
      <c r="S213" s="27" t="n"/>
      <c r="T213" s="27" t="n"/>
      <c r="U213" s="28" t="n"/>
      <c r="V213" s="28" t="n"/>
      <c r="W213" s="32">
        <f>IF(LEN(R213)=0,"",IF(ISNUMBER(V213),"Closed",IF(AND(ISNUMBER(U213),U213&lt;TODAY()),"Overdue","Open")))</f>
        <v/>
      </c>
      <c r="X213" s="27" t="n"/>
      <c r="Y213" s="27" t="n"/>
    </row>
    <row r="214">
      <c r="A214" s="28" t="n"/>
      <c r="B214" s="29" t="n"/>
      <c r="C214" s="27" t="n"/>
      <c r="D214" s="27" t="n"/>
      <c r="E214" s="27" t="n"/>
      <c r="F214" s="27" t="n"/>
      <c r="G214" s="27" t="n"/>
      <c r="H214" s="27" t="n"/>
      <c r="I214" s="27" t="n"/>
      <c r="J214" s="25" t="n"/>
      <c r="K214" s="25" t="n"/>
      <c r="L214" s="25" t="n"/>
      <c r="M214" s="25" t="n"/>
      <c r="N214" s="33">
        <f>IF(AND(L214="",M214=""),"",(N(L214)*60+N(M214))/86400)</f>
        <v/>
      </c>
      <c r="O214" s="27" t="n"/>
      <c r="P214" s="27" t="n"/>
      <c r="Q214" s="27" t="n"/>
      <c r="R214" s="27" t="n"/>
      <c r="S214" s="27" t="n"/>
      <c r="T214" s="27" t="n"/>
      <c r="U214" s="28" t="n"/>
      <c r="V214" s="28" t="n"/>
      <c r="W214" s="32">
        <f>IF(LEN(R214)=0,"",IF(ISNUMBER(V214),"Closed",IF(AND(ISNUMBER(U214),U214&lt;TODAY()),"Overdue","Open")))</f>
        <v/>
      </c>
      <c r="X214" s="27" t="n"/>
      <c r="Y214" s="27" t="n"/>
    </row>
    <row r="215">
      <c r="A215" s="28" t="n"/>
      <c r="B215" s="29" t="n"/>
      <c r="C215" s="27" t="n"/>
      <c r="D215" s="27" t="n"/>
      <c r="E215" s="27" t="n"/>
      <c r="F215" s="27" t="n"/>
      <c r="G215" s="27" t="n"/>
      <c r="H215" s="27" t="n"/>
      <c r="I215" s="27" t="n"/>
      <c r="J215" s="25" t="n"/>
      <c r="K215" s="25" t="n"/>
      <c r="L215" s="25" t="n"/>
      <c r="M215" s="25" t="n"/>
      <c r="N215" s="33">
        <f>IF(AND(L215="",M215=""),"",(N(L215)*60+N(M215))/86400)</f>
        <v/>
      </c>
      <c r="O215" s="27" t="n"/>
      <c r="P215" s="27" t="n"/>
      <c r="Q215" s="27" t="n"/>
      <c r="R215" s="27" t="n"/>
      <c r="S215" s="27" t="n"/>
      <c r="T215" s="27" t="n"/>
      <c r="U215" s="28" t="n"/>
      <c r="V215" s="28" t="n"/>
      <c r="W215" s="32">
        <f>IF(LEN(R215)=0,"",IF(ISNUMBER(V215),"Closed",IF(AND(ISNUMBER(U215),U215&lt;TODAY()),"Overdue","Open")))</f>
        <v/>
      </c>
      <c r="X215" s="27" t="n"/>
      <c r="Y215" s="27" t="n"/>
    </row>
    <row r="216">
      <c r="A216" s="28" t="n"/>
      <c r="B216" s="29" t="n"/>
      <c r="C216" s="27" t="n"/>
      <c r="D216" s="27" t="n"/>
      <c r="E216" s="27" t="n"/>
      <c r="F216" s="27" t="n"/>
      <c r="G216" s="27" t="n"/>
      <c r="H216" s="27" t="n"/>
      <c r="I216" s="27" t="n"/>
      <c r="J216" s="25" t="n"/>
      <c r="K216" s="25" t="n"/>
      <c r="L216" s="25" t="n"/>
      <c r="M216" s="25" t="n"/>
      <c r="N216" s="33">
        <f>IF(AND(L216="",M216=""),"",(N(L216)*60+N(M216))/86400)</f>
        <v/>
      </c>
      <c r="O216" s="27" t="n"/>
      <c r="P216" s="27" t="n"/>
      <c r="Q216" s="27" t="n"/>
      <c r="R216" s="27" t="n"/>
      <c r="S216" s="27" t="n"/>
      <c r="T216" s="27" t="n"/>
      <c r="U216" s="28" t="n"/>
      <c r="V216" s="28" t="n"/>
      <c r="W216" s="32">
        <f>IF(LEN(R216)=0,"",IF(ISNUMBER(V216),"Closed",IF(AND(ISNUMBER(U216),U216&lt;TODAY()),"Overdue","Open")))</f>
        <v/>
      </c>
      <c r="X216" s="27" t="n"/>
      <c r="Y216" s="27" t="n"/>
    </row>
    <row r="217">
      <c r="A217" s="28" t="n"/>
      <c r="B217" s="29" t="n"/>
      <c r="C217" s="27" t="n"/>
      <c r="D217" s="27" t="n"/>
      <c r="E217" s="27" t="n"/>
      <c r="F217" s="27" t="n"/>
      <c r="G217" s="27" t="n"/>
      <c r="H217" s="27" t="n"/>
      <c r="I217" s="27" t="n"/>
      <c r="J217" s="25" t="n"/>
      <c r="K217" s="25" t="n"/>
      <c r="L217" s="25" t="n"/>
      <c r="M217" s="25" t="n"/>
      <c r="N217" s="33">
        <f>IF(AND(L217="",M217=""),"",(N(L217)*60+N(M217))/86400)</f>
        <v/>
      </c>
      <c r="O217" s="27" t="n"/>
      <c r="P217" s="27" t="n"/>
      <c r="Q217" s="27" t="n"/>
      <c r="R217" s="27" t="n"/>
      <c r="S217" s="27" t="n"/>
      <c r="T217" s="27" t="n"/>
      <c r="U217" s="28" t="n"/>
      <c r="V217" s="28" t="n"/>
      <c r="W217" s="32">
        <f>IF(LEN(R217)=0,"",IF(ISNUMBER(V217),"Closed",IF(AND(ISNUMBER(U217),U217&lt;TODAY()),"Overdue","Open")))</f>
        <v/>
      </c>
      <c r="X217" s="27" t="n"/>
      <c r="Y217" s="27" t="n"/>
    </row>
    <row r="218">
      <c r="A218" s="28" t="n"/>
      <c r="B218" s="29" t="n"/>
      <c r="C218" s="27" t="n"/>
      <c r="D218" s="27" t="n"/>
      <c r="E218" s="27" t="n"/>
      <c r="F218" s="27" t="n"/>
      <c r="G218" s="27" t="n"/>
      <c r="H218" s="27" t="n"/>
      <c r="I218" s="27" t="n"/>
      <c r="J218" s="25" t="n"/>
      <c r="K218" s="25" t="n"/>
      <c r="L218" s="25" t="n"/>
      <c r="M218" s="25" t="n"/>
      <c r="N218" s="33">
        <f>IF(AND(L218="",M218=""),"",(N(L218)*60+N(M218))/86400)</f>
        <v/>
      </c>
      <c r="O218" s="27" t="n"/>
      <c r="P218" s="27" t="n"/>
      <c r="Q218" s="27" t="n"/>
      <c r="R218" s="27" t="n"/>
      <c r="S218" s="27" t="n"/>
      <c r="T218" s="27" t="n"/>
      <c r="U218" s="28" t="n"/>
      <c r="V218" s="28" t="n"/>
      <c r="W218" s="32">
        <f>IF(LEN(R218)=0,"",IF(ISNUMBER(V218),"Closed",IF(AND(ISNUMBER(U218),U218&lt;TODAY()),"Overdue","Open")))</f>
        <v/>
      </c>
      <c r="X218" s="27" t="n"/>
      <c r="Y218" s="27" t="n"/>
    </row>
    <row r="219">
      <c r="A219" s="28" t="n"/>
      <c r="B219" s="29" t="n"/>
      <c r="C219" s="27" t="n"/>
      <c r="D219" s="27" t="n"/>
      <c r="E219" s="27" t="n"/>
      <c r="F219" s="27" t="n"/>
      <c r="G219" s="27" t="n"/>
      <c r="H219" s="27" t="n"/>
      <c r="I219" s="27" t="n"/>
      <c r="J219" s="25" t="n"/>
      <c r="K219" s="25" t="n"/>
      <c r="L219" s="25" t="n"/>
      <c r="M219" s="25" t="n"/>
      <c r="N219" s="33">
        <f>IF(AND(L219="",M219=""),"",(N(L219)*60+N(M219))/86400)</f>
        <v/>
      </c>
      <c r="O219" s="27" t="n"/>
      <c r="P219" s="27" t="n"/>
      <c r="Q219" s="27" t="n"/>
      <c r="R219" s="27" t="n"/>
      <c r="S219" s="27" t="n"/>
      <c r="T219" s="27" t="n"/>
      <c r="U219" s="28" t="n"/>
      <c r="V219" s="28" t="n"/>
      <c r="W219" s="32">
        <f>IF(LEN(R219)=0,"",IF(ISNUMBER(V219),"Closed",IF(AND(ISNUMBER(U219),U219&lt;TODAY()),"Overdue","Open")))</f>
        <v/>
      </c>
      <c r="X219" s="27" t="n"/>
      <c r="Y219" s="27" t="n"/>
    </row>
    <row r="220">
      <c r="A220" s="28" t="n"/>
      <c r="B220" s="29" t="n"/>
      <c r="C220" s="27" t="n"/>
      <c r="D220" s="27" t="n"/>
      <c r="E220" s="27" t="n"/>
      <c r="F220" s="27" t="n"/>
      <c r="G220" s="27" t="n"/>
      <c r="H220" s="27" t="n"/>
      <c r="I220" s="27" t="n"/>
      <c r="J220" s="25" t="n"/>
      <c r="K220" s="25" t="n"/>
      <c r="L220" s="25" t="n"/>
      <c r="M220" s="25" t="n"/>
      <c r="N220" s="33">
        <f>IF(AND(L220="",M220=""),"",(N(L220)*60+N(M220))/86400)</f>
        <v/>
      </c>
      <c r="O220" s="27" t="n"/>
      <c r="P220" s="27" t="n"/>
      <c r="Q220" s="27" t="n"/>
      <c r="R220" s="27" t="n"/>
      <c r="S220" s="27" t="n"/>
      <c r="T220" s="27" t="n"/>
      <c r="U220" s="28" t="n"/>
      <c r="V220" s="28" t="n"/>
      <c r="W220" s="32">
        <f>IF(LEN(R220)=0,"",IF(ISNUMBER(V220),"Closed",IF(AND(ISNUMBER(U220),U220&lt;TODAY()),"Overdue","Open")))</f>
        <v/>
      </c>
      <c r="X220" s="27" t="n"/>
      <c r="Y220" s="27" t="n"/>
    </row>
    <row r="221">
      <c r="A221" s="28" t="n"/>
      <c r="B221" s="29" t="n"/>
      <c r="C221" s="27" t="n"/>
      <c r="D221" s="27" t="n"/>
      <c r="E221" s="27" t="n"/>
      <c r="F221" s="27" t="n"/>
      <c r="G221" s="27" t="n"/>
      <c r="H221" s="27" t="n"/>
      <c r="I221" s="27" t="n"/>
      <c r="J221" s="25" t="n"/>
      <c r="K221" s="25" t="n"/>
      <c r="L221" s="25" t="n"/>
      <c r="M221" s="25" t="n"/>
      <c r="N221" s="33">
        <f>IF(AND(L221="",M221=""),"",(N(L221)*60+N(M221))/86400)</f>
        <v/>
      </c>
      <c r="O221" s="27" t="n"/>
      <c r="P221" s="27" t="n"/>
      <c r="Q221" s="27" t="n"/>
      <c r="R221" s="27" t="n"/>
      <c r="S221" s="27" t="n"/>
      <c r="T221" s="27" t="n"/>
      <c r="U221" s="28" t="n"/>
      <c r="V221" s="28" t="n"/>
      <c r="W221" s="32">
        <f>IF(LEN(R221)=0,"",IF(ISNUMBER(V221),"Closed",IF(AND(ISNUMBER(U221),U221&lt;TODAY()),"Overdue","Open")))</f>
        <v/>
      </c>
      <c r="X221" s="27" t="n"/>
      <c r="Y221" s="27" t="n"/>
    </row>
    <row r="222">
      <c r="A222" s="28" t="n"/>
      <c r="B222" s="29" t="n"/>
      <c r="C222" s="27" t="n"/>
      <c r="D222" s="27" t="n"/>
      <c r="E222" s="27" t="n"/>
      <c r="F222" s="27" t="n"/>
      <c r="G222" s="27" t="n"/>
      <c r="H222" s="27" t="n"/>
      <c r="I222" s="27" t="n"/>
      <c r="J222" s="25" t="n"/>
      <c r="K222" s="25" t="n"/>
      <c r="L222" s="25" t="n"/>
      <c r="M222" s="25" t="n"/>
      <c r="N222" s="33">
        <f>IF(AND(L222="",M222=""),"",(N(L222)*60+N(M222))/86400)</f>
        <v/>
      </c>
      <c r="O222" s="27" t="n"/>
      <c r="P222" s="27" t="n"/>
      <c r="Q222" s="27" t="n"/>
      <c r="R222" s="27" t="n"/>
      <c r="S222" s="27" t="n"/>
      <c r="T222" s="27" t="n"/>
      <c r="U222" s="28" t="n"/>
      <c r="V222" s="28" t="n"/>
      <c r="W222" s="32">
        <f>IF(LEN(R222)=0,"",IF(ISNUMBER(V222),"Closed",IF(AND(ISNUMBER(U222),U222&lt;TODAY()),"Overdue","Open")))</f>
        <v/>
      </c>
      <c r="X222" s="27" t="n"/>
      <c r="Y222" s="27" t="n"/>
    </row>
    <row r="223">
      <c r="A223" s="28" t="n"/>
      <c r="B223" s="29" t="n"/>
      <c r="C223" s="27" t="n"/>
      <c r="D223" s="27" t="n"/>
      <c r="E223" s="27" t="n"/>
      <c r="F223" s="27" t="n"/>
      <c r="G223" s="27" t="n"/>
      <c r="H223" s="27" t="n"/>
      <c r="I223" s="27" t="n"/>
      <c r="J223" s="25" t="n"/>
      <c r="K223" s="25" t="n"/>
      <c r="L223" s="25" t="n"/>
      <c r="M223" s="25" t="n"/>
      <c r="N223" s="33">
        <f>IF(AND(L223="",M223=""),"",(N(L223)*60+N(M223))/86400)</f>
        <v/>
      </c>
      <c r="O223" s="27" t="n"/>
      <c r="P223" s="27" t="n"/>
      <c r="Q223" s="27" t="n"/>
      <c r="R223" s="27" t="n"/>
      <c r="S223" s="27" t="n"/>
      <c r="T223" s="27" t="n"/>
      <c r="U223" s="28" t="n"/>
      <c r="V223" s="28" t="n"/>
      <c r="W223" s="32">
        <f>IF(LEN(R223)=0,"",IF(ISNUMBER(V223),"Closed",IF(AND(ISNUMBER(U223),U223&lt;TODAY()),"Overdue","Open")))</f>
        <v/>
      </c>
      <c r="X223" s="27" t="n"/>
      <c r="Y223" s="27" t="n"/>
    </row>
    <row r="224">
      <c r="A224" s="28" t="n"/>
      <c r="B224" s="29" t="n"/>
      <c r="C224" s="27" t="n"/>
      <c r="D224" s="27" t="n"/>
      <c r="E224" s="27" t="n"/>
      <c r="F224" s="27" t="n"/>
      <c r="G224" s="27" t="n"/>
      <c r="H224" s="27" t="n"/>
      <c r="I224" s="27" t="n"/>
      <c r="J224" s="25" t="n"/>
      <c r="K224" s="25" t="n"/>
      <c r="L224" s="25" t="n"/>
      <c r="M224" s="25" t="n"/>
      <c r="N224" s="33">
        <f>IF(AND(L224="",M224=""),"",(N(L224)*60+N(M224))/86400)</f>
        <v/>
      </c>
      <c r="O224" s="27" t="n"/>
      <c r="P224" s="27" t="n"/>
      <c r="Q224" s="27" t="n"/>
      <c r="R224" s="27" t="n"/>
      <c r="S224" s="27" t="n"/>
      <c r="T224" s="27" t="n"/>
      <c r="U224" s="28" t="n"/>
      <c r="V224" s="28" t="n"/>
      <c r="W224" s="32">
        <f>IF(LEN(R224)=0,"",IF(ISNUMBER(V224),"Closed",IF(AND(ISNUMBER(U224),U224&lt;TODAY()),"Overdue","Open")))</f>
        <v/>
      </c>
      <c r="X224" s="27" t="n"/>
      <c r="Y224" s="27" t="n"/>
    </row>
    <row r="225">
      <c r="A225" s="28" t="n"/>
      <c r="B225" s="29" t="n"/>
      <c r="C225" s="27" t="n"/>
      <c r="D225" s="27" t="n"/>
      <c r="E225" s="27" t="n"/>
      <c r="F225" s="27" t="n"/>
      <c r="G225" s="27" t="n"/>
      <c r="H225" s="27" t="n"/>
      <c r="I225" s="27" t="n"/>
      <c r="J225" s="25" t="n"/>
      <c r="K225" s="25" t="n"/>
      <c r="L225" s="25" t="n"/>
      <c r="M225" s="25" t="n"/>
      <c r="N225" s="33">
        <f>IF(AND(L225="",M225=""),"",(N(L225)*60+N(M225))/86400)</f>
        <v/>
      </c>
      <c r="O225" s="27" t="n"/>
      <c r="P225" s="27" t="n"/>
      <c r="Q225" s="27" t="n"/>
      <c r="R225" s="27" t="n"/>
      <c r="S225" s="27" t="n"/>
      <c r="T225" s="27" t="n"/>
      <c r="U225" s="28" t="n"/>
      <c r="V225" s="28" t="n"/>
      <c r="W225" s="32">
        <f>IF(LEN(R225)=0,"",IF(ISNUMBER(V225),"Closed",IF(AND(ISNUMBER(U225),U225&lt;TODAY()),"Overdue","Open")))</f>
        <v/>
      </c>
      <c r="X225" s="27" t="n"/>
      <c r="Y225" s="27" t="n"/>
    </row>
    <row r="226">
      <c r="A226" s="28" t="n"/>
      <c r="B226" s="29" t="n"/>
      <c r="C226" s="27" t="n"/>
      <c r="D226" s="27" t="n"/>
      <c r="E226" s="27" t="n"/>
      <c r="F226" s="27" t="n"/>
      <c r="G226" s="27" t="n"/>
      <c r="H226" s="27" t="n"/>
      <c r="I226" s="27" t="n"/>
      <c r="J226" s="25" t="n"/>
      <c r="K226" s="25" t="n"/>
      <c r="L226" s="25" t="n"/>
      <c r="M226" s="25" t="n"/>
      <c r="N226" s="33">
        <f>IF(AND(L226="",M226=""),"",(N(L226)*60+N(M226))/86400)</f>
        <v/>
      </c>
      <c r="O226" s="27" t="n"/>
      <c r="P226" s="27" t="n"/>
      <c r="Q226" s="27" t="n"/>
      <c r="R226" s="27" t="n"/>
      <c r="S226" s="27" t="n"/>
      <c r="T226" s="27" t="n"/>
      <c r="U226" s="28" t="n"/>
      <c r="V226" s="28" t="n"/>
      <c r="W226" s="32">
        <f>IF(LEN(R226)=0,"",IF(ISNUMBER(V226),"Closed",IF(AND(ISNUMBER(U226),U226&lt;TODAY()),"Overdue","Open")))</f>
        <v/>
      </c>
      <c r="X226" s="27" t="n"/>
      <c r="Y226" s="27" t="n"/>
    </row>
    <row r="227">
      <c r="A227" s="28" t="n"/>
      <c r="B227" s="29" t="n"/>
      <c r="C227" s="27" t="n"/>
      <c r="D227" s="27" t="n"/>
      <c r="E227" s="27" t="n"/>
      <c r="F227" s="27" t="n"/>
      <c r="G227" s="27" t="n"/>
      <c r="H227" s="27" t="n"/>
      <c r="I227" s="27" t="n"/>
      <c r="J227" s="25" t="n"/>
      <c r="K227" s="25" t="n"/>
      <c r="L227" s="25" t="n"/>
      <c r="M227" s="25" t="n"/>
      <c r="N227" s="33">
        <f>IF(AND(L227="",M227=""),"",(N(L227)*60+N(M227))/86400)</f>
        <v/>
      </c>
      <c r="O227" s="27" t="n"/>
      <c r="P227" s="27" t="n"/>
      <c r="Q227" s="27" t="n"/>
      <c r="R227" s="27" t="n"/>
      <c r="S227" s="27" t="n"/>
      <c r="T227" s="27" t="n"/>
      <c r="U227" s="28" t="n"/>
      <c r="V227" s="28" t="n"/>
      <c r="W227" s="32">
        <f>IF(LEN(R227)=0,"",IF(ISNUMBER(V227),"Closed",IF(AND(ISNUMBER(U227),U227&lt;TODAY()),"Overdue","Open")))</f>
        <v/>
      </c>
      <c r="X227" s="27" t="n"/>
      <c r="Y227" s="27" t="n"/>
    </row>
    <row r="228">
      <c r="A228" s="28" t="n"/>
      <c r="B228" s="29" t="n"/>
      <c r="C228" s="27" t="n"/>
      <c r="D228" s="27" t="n"/>
      <c r="E228" s="27" t="n"/>
      <c r="F228" s="27" t="n"/>
      <c r="G228" s="27" t="n"/>
      <c r="H228" s="27" t="n"/>
      <c r="I228" s="27" t="n"/>
      <c r="J228" s="25" t="n"/>
      <c r="K228" s="25" t="n"/>
      <c r="L228" s="25" t="n"/>
      <c r="M228" s="25" t="n"/>
      <c r="N228" s="33">
        <f>IF(AND(L228="",M228=""),"",(N(L228)*60+N(M228))/86400)</f>
        <v/>
      </c>
      <c r="O228" s="27" t="n"/>
      <c r="P228" s="27" t="n"/>
      <c r="Q228" s="27" t="n"/>
      <c r="R228" s="27" t="n"/>
      <c r="S228" s="27" t="n"/>
      <c r="T228" s="27" t="n"/>
      <c r="U228" s="28" t="n"/>
      <c r="V228" s="28" t="n"/>
      <c r="W228" s="32">
        <f>IF(LEN(R228)=0,"",IF(ISNUMBER(V228),"Closed",IF(AND(ISNUMBER(U228),U228&lt;TODAY()),"Overdue","Open")))</f>
        <v/>
      </c>
      <c r="X228" s="27" t="n"/>
      <c r="Y228" s="27" t="n"/>
    </row>
    <row r="229">
      <c r="A229" s="28" t="n"/>
      <c r="B229" s="29" t="n"/>
      <c r="C229" s="27" t="n"/>
      <c r="D229" s="27" t="n"/>
      <c r="E229" s="27" t="n"/>
      <c r="F229" s="27" t="n"/>
      <c r="G229" s="27" t="n"/>
      <c r="H229" s="27" t="n"/>
      <c r="I229" s="27" t="n"/>
      <c r="J229" s="25" t="n"/>
      <c r="K229" s="25" t="n"/>
      <c r="L229" s="25" t="n"/>
      <c r="M229" s="25" t="n"/>
      <c r="N229" s="33">
        <f>IF(AND(L229="",M229=""),"",(N(L229)*60+N(M229))/86400)</f>
        <v/>
      </c>
      <c r="O229" s="27" t="n"/>
      <c r="P229" s="27" t="n"/>
      <c r="Q229" s="27" t="n"/>
      <c r="R229" s="27" t="n"/>
      <c r="S229" s="27" t="n"/>
      <c r="T229" s="27" t="n"/>
      <c r="U229" s="28" t="n"/>
      <c r="V229" s="28" t="n"/>
      <c r="W229" s="32">
        <f>IF(LEN(R229)=0,"",IF(ISNUMBER(V229),"Closed",IF(AND(ISNUMBER(U229),U229&lt;TODAY()),"Overdue","Open")))</f>
        <v/>
      </c>
      <c r="X229" s="27" t="n"/>
      <c r="Y229" s="27" t="n"/>
    </row>
    <row r="230">
      <c r="A230" s="28" t="n"/>
      <c r="B230" s="29" t="n"/>
      <c r="C230" s="27" t="n"/>
      <c r="D230" s="27" t="n"/>
      <c r="E230" s="27" t="n"/>
      <c r="F230" s="27" t="n"/>
      <c r="G230" s="27" t="n"/>
      <c r="H230" s="27" t="n"/>
      <c r="I230" s="27" t="n"/>
      <c r="J230" s="25" t="n"/>
      <c r="K230" s="25" t="n"/>
      <c r="L230" s="25" t="n"/>
      <c r="M230" s="25" t="n"/>
      <c r="N230" s="33">
        <f>IF(AND(L230="",M230=""),"",(N(L230)*60+N(M230))/86400)</f>
        <v/>
      </c>
      <c r="O230" s="27" t="n"/>
      <c r="P230" s="27" t="n"/>
      <c r="Q230" s="27" t="n"/>
      <c r="R230" s="27" t="n"/>
      <c r="S230" s="27" t="n"/>
      <c r="T230" s="27" t="n"/>
      <c r="U230" s="28" t="n"/>
      <c r="V230" s="28" t="n"/>
      <c r="W230" s="32">
        <f>IF(LEN(R230)=0,"",IF(ISNUMBER(V230),"Closed",IF(AND(ISNUMBER(U230),U230&lt;TODAY()),"Overdue","Open")))</f>
        <v/>
      </c>
      <c r="X230" s="27" t="n"/>
      <c r="Y230" s="27" t="n"/>
    </row>
    <row r="231">
      <c r="A231" s="28" t="n"/>
      <c r="B231" s="29" t="n"/>
      <c r="C231" s="27" t="n"/>
      <c r="D231" s="27" t="n"/>
      <c r="E231" s="27" t="n"/>
      <c r="F231" s="27" t="n"/>
      <c r="G231" s="27" t="n"/>
      <c r="H231" s="27" t="n"/>
      <c r="I231" s="27" t="n"/>
      <c r="J231" s="25" t="n"/>
      <c r="K231" s="25" t="n"/>
      <c r="L231" s="25" t="n"/>
      <c r="M231" s="25" t="n"/>
      <c r="N231" s="33">
        <f>IF(AND(L231="",M231=""),"",(N(L231)*60+N(M231))/86400)</f>
        <v/>
      </c>
      <c r="O231" s="27" t="n"/>
      <c r="P231" s="27" t="n"/>
      <c r="Q231" s="27" t="n"/>
      <c r="R231" s="27" t="n"/>
      <c r="S231" s="27" t="n"/>
      <c r="T231" s="27" t="n"/>
      <c r="U231" s="28" t="n"/>
      <c r="V231" s="28" t="n"/>
      <c r="W231" s="32">
        <f>IF(LEN(R231)=0,"",IF(ISNUMBER(V231),"Closed",IF(AND(ISNUMBER(U231),U231&lt;TODAY()),"Overdue","Open")))</f>
        <v/>
      </c>
      <c r="X231" s="27" t="n"/>
      <c r="Y231" s="27" t="n"/>
    </row>
    <row r="232">
      <c r="A232" s="28" t="n"/>
      <c r="B232" s="29" t="n"/>
      <c r="C232" s="27" t="n"/>
      <c r="D232" s="27" t="n"/>
      <c r="E232" s="27" t="n"/>
      <c r="F232" s="27" t="n"/>
      <c r="G232" s="27" t="n"/>
      <c r="H232" s="27" t="n"/>
      <c r="I232" s="27" t="n"/>
      <c r="J232" s="25" t="n"/>
      <c r="K232" s="25" t="n"/>
      <c r="L232" s="25" t="n"/>
      <c r="M232" s="25" t="n"/>
      <c r="N232" s="33">
        <f>IF(AND(L232="",M232=""),"",(N(L232)*60+N(M232))/86400)</f>
        <v/>
      </c>
      <c r="O232" s="27" t="n"/>
      <c r="P232" s="27" t="n"/>
      <c r="Q232" s="27" t="n"/>
      <c r="R232" s="27" t="n"/>
      <c r="S232" s="27" t="n"/>
      <c r="T232" s="27" t="n"/>
      <c r="U232" s="28" t="n"/>
      <c r="V232" s="28" t="n"/>
      <c r="W232" s="32">
        <f>IF(LEN(R232)=0,"",IF(ISNUMBER(V232),"Closed",IF(AND(ISNUMBER(U232),U232&lt;TODAY()),"Overdue","Open")))</f>
        <v/>
      </c>
      <c r="X232" s="27" t="n"/>
      <c r="Y232" s="27" t="n"/>
    </row>
    <row r="233">
      <c r="A233" s="28" t="n"/>
      <c r="B233" s="29" t="n"/>
      <c r="C233" s="27" t="n"/>
      <c r="D233" s="27" t="n"/>
      <c r="E233" s="27" t="n"/>
      <c r="F233" s="27" t="n"/>
      <c r="G233" s="27" t="n"/>
      <c r="H233" s="27" t="n"/>
      <c r="I233" s="27" t="n"/>
      <c r="J233" s="25" t="n"/>
      <c r="K233" s="25" t="n"/>
      <c r="L233" s="25" t="n"/>
      <c r="M233" s="25" t="n"/>
      <c r="N233" s="33">
        <f>IF(AND(L233="",M233=""),"",(N(L233)*60+N(M233))/86400)</f>
        <v/>
      </c>
      <c r="O233" s="27" t="n"/>
      <c r="P233" s="27" t="n"/>
      <c r="Q233" s="27" t="n"/>
      <c r="R233" s="27" t="n"/>
      <c r="S233" s="27" t="n"/>
      <c r="T233" s="27" t="n"/>
      <c r="U233" s="28" t="n"/>
      <c r="V233" s="28" t="n"/>
      <c r="W233" s="32">
        <f>IF(LEN(R233)=0,"",IF(ISNUMBER(V233),"Closed",IF(AND(ISNUMBER(U233),U233&lt;TODAY()),"Overdue","Open")))</f>
        <v/>
      </c>
      <c r="X233" s="27" t="n"/>
      <c r="Y233" s="27" t="n"/>
    </row>
    <row r="234">
      <c r="A234" s="28" t="n"/>
      <c r="B234" s="29" t="n"/>
      <c r="C234" s="27" t="n"/>
      <c r="D234" s="27" t="n"/>
      <c r="E234" s="27" t="n"/>
      <c r="F234" s="27" t="n"/>
      <c r="G234" s="27" t="n"/>
      <c r="H234" s="27" t="n"/>
      <c r="I234" s="27" t="n"/>
      <c r="J234" s="25" t="n"/>
      <c r="K234" s="25" t="n"/>
      <c r="L234" s="25" t="n"/>
      <c r="M234" s="25" t="n"/>
      <c r="N234" s="33">
        <f>IF(AND(L234="",M234=""),"",(N(L234)*60+N(M234))/86400)</f>
        <v/>
      </c>
      <c r="O234" s="27" t="n"/>
      <c r="P234" s="27" t="n"/>
      <c r="Q234" s="27" t="n"/>
      <c r="R234" s="27" t="n"/>
      <c r="S234" s="27" t="n"/>
      <c r="T234" s="27" t="n"/>
      <c r="U234" s="28" t="n"/>
      <c r="V234" s="28" t="n"/>
      <c r="W234" s="32">
        <f>IF(LEN(R234)=0,"",IF(ISNUMBER(V234),"Closed",IF(AND(ISNUMBER(U234),U234&lt;TODAY()),"Overdue","Open")))</f>
        <v/>
      </c>
      <c r="X234" s="27" t="n"/>
      <c r="Y234" s="27" t="n"/>
    </row>
    <row r="235">
      <c r="A235" s="28" t="n"/>
      <c r="B235" s="29" t="n"/>
      <c r="C235" s="27" t="n"/>
      <c r="D235" s="27" t="n"/>
      <c r="E235" s="27" t="n"/>
      <c r="F235" s="27" t="n"/>
      <c r="G235" s="27" t="n"/>
      <c r="H235" s="27" t="n"/>
      <c r="I235" s="27" t="n"/>
      <c r="J235" s="25" t="n"/>
      <c r="K235" s="25" t="n"/>
      <c r="L235" s="25" t="n"/>
      <c r="M235" s="25" t="n"/>
      <c r="N235" s="33">
        <f>IF(AND(L235="",M235=""),"",(N(L235)*60+N(M235))/86400)</f>
        <v/>
      </c>
      <c r="O235" s="27" t="n"/>
      <c r="P235" s="27" t="n"/>
      <c r="Q235" s="27" t="n"/>
      <c r="R235" s="27" t="n"/>
      <c r="S235" s="27" t="n"/>
      <c r="T235" s="27" t="n"/>
      <c r="U235" s="28" t="n"/>
      <c r="V235" s="28" t="n"/>
      <c r="W235" s="32">
        <f>IF(LEN(R235)=0,"",IF(ISNUMBER(V235),"Closed",IF(AND(ISNUMBER(U235),U235&lt;TODAY()),"Overdue","Open")))</f>
        <v/>
      </c>
      <c r="X235" s="27" t="n"/>
      <c r="Y235" s="27" t="n"/>
    </row>
    <row r="236">
      <c r="A236" s="28" t="n"/>
      <c r="B236" s="29" t="n"/>
      <c r="C236" s="27" t="n"/>
      <c r="D236" s="27" t="n"/>
      <c r="E236" s="27" t="n"/>
      <c r="F236" s="27" t="n"/>
      <c r="G236" s="27" t="n"/>
      <c r="H236" s="27" t="n"/>
      <c r="I236" s="27" t="n"/>
      <c r="J236" s="25" t="n"/>
      <c r="K236" s="25" t="n"/>
      <c r="L236" s="25" t="n"/>
      <c r="M236" s="25" t="n"/>
      <c r="N236" s="33">
        <f>IF(AND(L236="",M236=""),"",(N(L236)*60+N(M236))/86400)</f>
        <v/>
      </c>
      <c r="O236" s="27" t="n"/>
      <c r="P236" s="27" t="n"/>
      <c r="Q236" s="27" t="n"/>
      <c r="R236" s="27" t="n"/>
      <c r="S236" s="27" t="n"/>
      <c r="T236" s="27" t="n"/>
      <c r="U236" s="28" t="n"/>
      <c r="V236" s="28" t="n"/>
      <c r="W236" s="32">
        <f>IF(LEN(R236)=0,"",IF(ISNUMBER(V236),"Closed",IF(AND(ISNUMBER(U236),U236&lt;TODAY()),"Overdue","Open")))</f>
        <v/>
      </c>
      <c r="X236" s="27" t="n"/>
      <c r="Y236" s="27" t="n"/>
    </row>
    <row r="237">
      <c r="A237" s="28" t="n"/>
      <c r="B237" s="29" t="n"/>
      <c r="C237" s="27" t="n"/>
      <c r="D237" s="27" t="n"/>
      <c r="E237" s="27" t="n"/>
      <c r="F237" s="27" t="n"/>
      <c r="G237" s="27" t="n"/>
      <c r="H237" s="27" t="n"/>
      <c r="I237" s="27" t="n"/>
      <c r="J237" s="25" t="n"/>
      <c r="K237" s="25" t="n"/>
      <c r="L237" s="25" t="n"/>
      <c r="M237" s="25" t="n"/>
      <c r="N237" s="33">
        <f>IF(AND(L237="",M237=""),"",(N(L237)*60+N(M237))/86400)</f>
        <v/>
      </c>
      <c r="O237" s="27" t="n"/>
      <c r="P237" s="27" t="n"/>
      <c r="Q237" s="27" t="n"/>
      <c r="R237" s="27" t="n"/>
      <c r="S237" s="27" t="n"/>
      <c r="T237" s="27" t="n"/>
      <c r="U237" s="28" t="n"/>
      <c r="V237" s="28" t="n"/>
      <c r="W237" s="32">
        <f>IF(LEN(R237)=0,"",IF(ISNUMBER(V237),"Closed",IF(AND(ISNUMBER(U237),U237&lt;TODAY()),"Overdue","Open")))</f>
        <v/>
      </c>
      <c r="X237" s="27" t="n"/>
      <c r="Y237" s="27" t="n"/>
    </row>
    <row r="238">
      <c r="A238" s="28" t="n"/>
      <c r="B238" s="29" t="n"/>
      <c r="C238" s="27" t="n"/>
      <c r="D238" s="27" t="n"/>
      <c r="E238" s="27" t="n"/>
      <c r="F238" s="27" t="n"/>
      <c r="G238" s="27" t="n"/>
      <c r="H238" s="27" t="n"/>
      <c r="I238" s="27" t="n"/>
      <c r="J238" s="25" t="n"/>
      <c r="K238" s="25" t="n"/>
      <c r="L238" s="25" t="n"/>
      <c r="M238" s="25" t="n"/>
      <c r="N238" s="33">
        <f>IF(AND(L238="",M238=""),"",(N(L238)*60+N(M238))/86400)</f>
        <v/>
      </c>
      <c r="O238" s="27" t="n"/>
      <c r="P238" s="27" t="n"/>
      <c r="Q238" s="27" t="n"/>
      <c r="R238" s="27" t="n"/>
      <c r="S238" s="27" t="n"/>
      <c r="T238" s="27" t="n"/>
      <c r="U238" s="28" t="n"/>
      <c r="V238" s="28" t="n"/>
      <c r="W238" s="32">
        <f>IF(LEN(R238)=0,"",IF(ISNUMBER(V238),"Closed",IF(AND(ISNUMBER(U238),U238&lt;TODAY()),"Overdue","Open")))</f>
        <v/>
      </c>
      <c r="X238" s="27" t="n"/>
      <c r="Y238" s="27" t="n"/>
    </row>
    <row r="239">
      <c r="A239" s="28" t="n"/>
      <c r="B239" s="29" t="n"/>
      <c r="C239" s="27" t="n"/>
      <c r="D239" s="27" t="n"/>
      <c r="E239" s="27" t="n"/>
      <c r="F239" s="27" t="n"/>
      <c r="G239" s="27" t="n"/>
      <c r="H239" s="27" t="n"/>
      <c r="I239" s="27" t="n"/>
      <c r="J239" s="25" t="n"/>
      <c r="K239" s="25" t="n"/>
      <c r="L239" s="25" t="n"/>
      <c r="M239" s="25" t="n"/>
      <c r="N239" s="33">
        <f>IF(AND(L239="",M239=""),"",(N(L239)*60+N(M239))/86400)</f>
        <v/>
      </c>
      <c r="O239" s="27" t="n"/>
      <c r="P239" s="27" t="n"/>
      <c r="Q239" s="27" t="n"/>
      <c r="R239" s="27" t="n"/>
      <c r="S239" s="27" t="n"/>
      <c r="T239" s="27" t="n"/>
      <c r="U239" s="28" t="n"/>
      <c r="V239" s="28" t="n"/>
      <c r="W239" s="32">
        <f>IF(LEN(R239)=0,"",IF(ISNUMBER(V239),"Closed",IF(AND(ISNUMBER(U239),U239&lt;TODAY()),"Overdue","Open")))</f>
        <v/>
      </c>
      <c r="X239" s="27" t="n"/>
      <c r="Y239" s="27" t="n"/>
    </row>
    <row r="240">
      <c r="A240" s="28" t="n"/>
      <c r="B240" s="29" t="n"/>
      <c r="C240" s="27" t="n"/>
      <c r="D240" s="27" t="n"/>
      <c r="E240" s="27" t="n"/>
      <c r="F240" s="27" t="n"/>
      <c r="G240" s="27" t="n"/>
      <c r="H240" s="27" t="n"/>
      <c r="I240" s="27" t="n"/>
      <c r="J240" s="25" t="n"/>
      <c r="K240" s="25" t="n"/>
      <c r="L240" s="25" t="n"/>
      <c r="M240" s="25" t="n"/>
      <c r="N240" s="33">
        <f>IF(AND(L240="",M240=""),"",(N(L240)*60+N(M240))/86400)</f>
        <v/>
      </c>
      <c r="O240" s="27" t="n"/>
      <c r="P240" s="27" t="n"/>
      <c r="Q240" s="27" t="n"/>
      <c r="R240" s="27" t="n"/>
      <c r="S240" s="27" t="n"/>
      <c r="T240" s="27" t="n"/>
      <c r="U240" s="28" t="n"/>
      <c r="V240" s="28" t="n"/>
      <c r="W240" s="32">
        <f>IF(LEN(R240)=0,"",IF(ISNUMBER(V240),"Closed",IF(AND(ISNUMBER(U240),U240&lt;TODAY()),"Overdue","Open")))</f>
        <v/>
      </c>
      <c r="X240" s="27" t="n"/>
      <c r="Y240" s="27" t="n"/>
    </row>
    <row r="241">
      <c r="A241" s="28" t="n"/>
      <c r="B241" s="29" t="n"/>
      <c r="C241" s="27" t="n"/>
      <c r="D241" s="27" t="n"/>
      <c r="E241" s="27" t="n"/>
      <c r="F241" s="27" t="n"/>
      <c r="G241" s="27" t="n"/>
      <c r="H241" s="27" t="n"/>
      <c r="I241" s="27" t="n"/>
      <c r="J241" s="25" t="n"/>
      <c r="K241" s="25" t="n"/>
      <c r="L241" s="25" t="n"/>
      <c r="M241" s="25" t="n"/>
      <c r="N241" s="33">
        <f>IF(AND(L241="",M241=""),"",(N(L241)*60+N(M241))/86400)</f>
        <v/>
      </c>
      <c r="O241" s="27" t="n"/>
      <c r="P241" s="27" t="n"/>
      <c r="Q241" s="27" t="n"/>
      <c r="R241" s="27" t="n"/>
      <c r="S241" s="27" t="n"/>
      <c r="T241" s="27" t="n"/>
      <c r="U241" s="28" t="n"/>
      <c r="V241" s="28" t="n"/>
      <c r="W241" s="32">
        <f>IF(LEN(R241)=0,"",IF(ISNUMBER(V241),"Closed",IF(AND(ISNUMBER(U241),U241&lt;TODAY()),"Overdue","Open")))</f>
        <v/>
      </c>
      <c r="X241" s="27" t="n"/>
      <c r="Y241" s="27" t="n"/>
    </row>
    <row r="242">
      <c r="A242" s="28" t="n"/>
      <c r="B242" s="29" t="n"/>
      <c r="C242" s="27" t="n"/>
      <c r="D242" s="27" t="n"/>
      <c r="E242" s="27" t="n"/>
      <c r="F242" s="27" t="n"/>
      <c r="G242" s="27" t="n"/>
      <c r="H242" s="27" t="n"/>
      <c r="I242" s="27" t="n"/>
      <c r="J242" s="25" t="n"/>
      <c r="K242" s="25" t="n"/>
      <c r="L242" s="25" t="n"/>
      <c r="M242" s="25" t="n"/>
      <c r="N242" s="33">
        <f>IF(AND(L242="",M242=""),"",(N(L242)*60+N(M242))/86400)</f>
        <v/>
      </c>
      <c r="O242" s="27" t="n"/>
      <c r="P242" s="27" t="n"/>
      <c r="Q242" s="27" t="n"/>
      <c r="R242" s="27" t="n"/>
      <c r="S242" s="27" t="n"/>
      <c r="T242" s="27" t="n"/>
      <c r="U242" s="28" t="n"/>
      <c r="V242" s="28" t="n"/>
      <c r="W242" s="32">
        <f>IF(LEN(R242)=0,"",IF(ISNUMBER(V242),"Closed",IF(AND(ISNUMBER(U242),U242&lt;TODAY()),"Overdue","Open")))</f>
        <v/>
      </c>
      <c r="X242" s="27" t="n"/>
      <c r="Y242" s="27" t="n"/>
    </row>
    <row r="243">
      <c r="A243" s="28" t="n"/>
      <c r="B243" s="29" t="n"/>
      <c r="C243" s="27" t="n"/>
      <c r="D243" s="27" t="n"/>
      <c r="E243" s="27" t="n"/>
      <c r="F243" s="27" t="n"/>
      <c r="G243" s="27" t="n"/>
      <c r="H243" s="27" t="n"/>
      <c r="I243" s="27" t="n"/>
      <c r="J243" s="25" t="n"/>
      <c r="K243" s="25" t="n"/>
      <c r="L243" s="25" t="n"/>
      <c r="M243" s="25" t="n"/>
      <c r="N243" s="33">
        <f>IF(AND(L243="",M243=""),"",(N(L243)*60+N(M243))/86400)</f>
        <v/>
      </c>
      <c r="O243" s="27" t="n"/>
      <c r="P243" s="27" t="n"/>
      <c r="Q243" s="27" t="n"/>
      <c r="R243" s="27" t="n"/>
      <c r="S243" s="27" t="n"/>
      <c r="T243" s="27" t="n"/>
      <c r="U243" s="28" t="n"/>
      <c r="V243" s="28" t="n"/>
      <c r="W243" s="32">
        <f>IF(LEN(R243)=0,"",IF(ISNUMBER(V243),"Closed",IF(AND(ISNUMBER(U243),U243&lt;TODAY()),"Overdue","Open")))</f>
        <v/>
      </c>
      <c r="X243" s="27" t="n"/>
      <c r="Y243" s="27" t="n"/>
    </row>
    <row r="244">
      <c r="A244" s="28" t="n"/>
      <c r="B244" s="29" t="n"/>
      <c r="C244" s="27" t="n"/>
      <c r="D244" s="27" t="n"/>
      <c r="E244" s="27" t="n"/>
      <c r="F244" s="27" t="n"/>
      <c r="G244" s="27" t="n"/>
      <c r="H244" s="27" t="n"/>
      <c r="I244" s="27" t="n"/>
      <c r="J244" s="25" t="n"/>
      <c r="K244" s="25" t="n"/>
      <c r="L244" s="25" t="n"/>
      <c r="M244" s="25" t="n"/>
      <c r="N244" s="33">
        <f>IF(AND(L244="",M244=""),"",(N(L244)*60+N(M244))/86400)</f>
        <v/>
      </c>
      <c r="O244" s="27" t="n"/>
      <c r="P244" s="27" t="n"/>
      <c r="Q244" s="27" t="n"/>
      <c r="R244" s="27" t="n"/>
      <c r="S244" s="27" t="n"/>
      <c r="T244" s="27" t="n"/>
      <c r="U244" s="28" t="n"/>
      <c r="V244" s="28" t="n"/>
      <c r="W244" s="32">
        <f>IF(LEN(R244)=0,"",IF(ISNUMBER(V244),"Closed",IF(AND(ISNUMBER(U244),U244&lt;TODAY()),"Overdue","Open")))</f>
        <v/>
      </c>
      <c r="X244" s="27" t="n"/>
      <c r="Y244" s="27" t="n"/>
    </row>
    <row r="245">
      <c r="A245" s="28" t="n"/>
      <c r="B245" s="29" t="n"/>
      <c r="C245" s="27" t="n"/>
      <c r="D245" s="27" t="n"/>
      <c r="E245" s="27" t="n"/>
      <c r="F245" s="27" t="n"/>
      <c r="G245" s="27" t="n"/>
      <c r="H245" s="27" t="n"/>
      <c r="I245" s="27" t="n"/>
      <c r="J245" s="25" t="n"/>
      <c r="K245" s="25" t="n"/>
      <c r="L245" s="25" t="n"/>
      <c r="M245" s="25" t="n"/>
      <c r="N245" s="33">
        <f>IF(AND(L245="",M245=""),"",(N(L245)*60+N(M245))/86400)</f>
        <v/>
      </c>
      <c r="O245" s="27" t="n"/>
      <c r="P245" s="27" t="n"/>
      <c r="Q245" s="27" t="n"/>
      <c r="R245" s="27" t="n"/>
      <c r="S245" s="27" t="n"/>
      <c r="T245" s="27" t="n"/>
      <c r="U245" s="28" t="n"/>
      <c r="V245" s="28" t="n"/>
      <c r="W245" s="32">
        <f>IF(LEN(R245)=0,"",IF(ISNUMBER(V245),"Closed",IF(AND(ISNUMBER(U245),U245&lt;TODAY()),"Overdue","Open")))</f>
        <v/>
      </c>
      <c r="X245" s="27" t="n"/>
      <c r="Y245" s="27" t="n"/>
    </row>
    <row r="246">
      <c r="A246" s="28" t="n"/>
      <c r="B246" s="29" t="n"/>
      <c r="C246" s="27" t="n"/>
      <c r="D246" s="27" t="n"/>
      <c r="E246" s="27" t="n"/>
      <c r="F246" s="27" t="n"/>
      <c r="G246" s="27" t="n"/>
      <c r="H246" s="27" t="n"/>
      <c r="I246" s="27" t="n"/>
      <c r="J246" s="25" t="n"/>
      <c r="K246" s="25" t="n"/>
      <c r="L246" s="25" t="n"/>
      <c r="M246" s="25" t="n"/>
      <c r="N246" s="33">
        <f>IF(AND(L246="",M246=""),"",(N(L246)*60+N(M246))/86400)</f>
        <v/>
      </c>
      <c r="O246" s="27" t="n"/>
      <c r="P246" s="27" t="n"/>
      <c r="Q246" s="27" t="n"/>
      <c r="R246" s="27" t="n"/>
      <c r="S246" s="27" t="n"/>
      <c r="T246" s="27" t="n"/>
      <c r="U246" s="28" t="n"/>
      <c r="V246" s="28" t="n"/>
      <c r="W246" s="32">
        <f>IF(LEN(R246)=0,"",IF(ISNUMBER(V246),"Closed",IF(AND(ISNUMBER(U246),U246&lt;TODAY()),"Overdue","Open")))</f>
        <v/>
      </c>
      <c r="X246" s="27" t="n"/>
      <c r="Y246" s="27" t="n"/>
    </row>
    <row r="247">
      <c r="A247" s="28" t="n"/>
      <c r="B247" s="29" t="n"/>
      <c r="C247" s="27" t="n"/>
      <c r="D247" s="27" t="n"/>
      <c r="E247" s="27" t="n"/>
      <c r="F247" s="27" t="n"/>
      <c r="G247" s="27" t="n"/>
      <c r="H247" s="27" t="n"/>
      <c r="I247" s="27" t="n"/>
      <c r="J247" s="25" t="n"/>
      <c r="K247" s="25" t="n"/>
      <c r="L247" s="25" t="n"/>
      <c r="M247" s="25" t="n"/>
      <c r="N247" s="33">
        <f>IF(AND(L247="",M247=""),"",(N(L247)*60+N(M247))/86400)</f>
        <v/>
      </c>
      <c r="O247" s="27" t="n"/>
      <c r="P247" s="27" t="n"/>
      <c r="Q247" s="27" t="n"/>
      <c r="R247" s="27" t="n"/>
      <c r="S247" s="27" t="n"/>
      <c r="T247" s="27" t="n"/>
      <c r="U247" s="28" t="n"/>
      <c r="V247" s="28" t="n"/>
      <c r="W247" s="32">
        <f>IF(LEN(R247)=0,"",IF(ISNUMBER(V247),"Closed",IF(AND(ISNUMBER(U247),U247&lt;TODAY()),"Overdue","Open")))</f>
        <v/>
      </c>
      <c r="X247" s="27" t="n"/>
      <c r="Y247" s="27" t="n"/>
    </row>
    <row r="248">
      <c r="A248" s="28" t="n"/>
      <c r="B248" s="29" t="n"/>
      <c r="C248" s="27" t="n"/>
      <c r="D248" s="27" t="n"/>
      <c r="E248" s="27" t="n"/>
      <c r="F248" s="27" t="n"/>
      <c r="G248" s="27" t="n"/>
      <c r="H248" s="27" t="n"/>
      <c r="I248" s="27" t="n"/>
      <c r="J248" s="25" t="n"/>
      <c r="K248" s="25" t="n"/>
      <c r="L248" s="25" t="n"/>
      <c r="M248" s="25" t="n"/>
      <c r="N248" s="33">
        <f>IF(AND(L248="",M248=""),"",(N(L248)*60+N(M248))/86400)</f>
        <v/>
      </c>
      <c r="O248" s="27" t="n"/>
      <c r="P248" s="27" t="n"/>
      <c r="Q248" s="27" t="n"/>
      <c r="R248" s="27" t="n"/>
      <c r="S248" s="27" t="n"/>
      <c r="T248" s="27" t="n"/>
      <c r="U248" s="28" t="n"/>
      <c r="V248" s="28" t="n"/>
      <c r="W248" s="32">
        <f>IF(LEN(R248)=0,"",IF(ISNUMBER(V248),"Closed",IF(AND(ISNUMBER(U248),U248&lt;TODAY()),"Overdue","Open")))</f>
        <v/>
      </c>
      <c r="X248" s="27" t="n"/>
      <c r="Y248" s="27" t="n"/>
    </row>
    <row r="249">
      <c r="A249" s="28" t="n"/>
      <c r="B249" s="29" t="n"/>
      <c r="C249" s="27" t="n"/>
      <c r="D249" s="27" t="n"/>
      <c r="E249" s="27" t="n"/>
      <c r="F249" s="27" t="n"/>
      <c r="G249" s="27" t="n"/>
      <c r="H249" s="27" t="n"/>
      <c r="I249" s="27" t="n"/>
      <c r="J249" s="25" t="n"/>
      <c r="K249" s="25" t="n"/>
      <c r="L249" s="25" t="n"/>
      <c r="M249" s="25" t="n"/>
      <c r="N249" s="33">
        <f>IF(AND(L249="",M249=""),"",(N(L249)*60+N(M249))/86400)</f>
        <v/>
      </c>
      <c r="O249" s="27" t="n"/>
      <c r="P249" s="27" t="n"/>
      <c r="Q249" s="27" t="n"/>
      <c r="R249" s="27" t="n"/>
      <c r="S249" s="27" t="n"/>
      <c r="T249" s="27" t="n"/>
      <c r="U249" s="28" t="n"/>
      <c r="V249" s="28" t="n"/>
      <c r="W249" s="32">
        <f>IF(LEN(R249)=0,"",IF(ISNUMBER(V249),"Closed",IF(AND(ISNUMBER(U249),U249&lt;TODAY()),"Overdue","Open")))</f>
        <v/>
      </c>
      <c r="X249" s="27" t="n"/>
      <c r="Y249" s="27" t="n"/>
    </row>
    <row r="250">
      <c r="A250" s="28" t="n"/>
      <c r="B250" s="29" t="n"/>
      <c r="C250" s="27" t="n"/>
      <c r="D250" s="27" t="n"/>
      <c r="E250" s="27" t="n"/>
      <c r="F250" s="27" t="n"/>
      <c r="G250" s="27" t="n"/>
      <c r="H250" s="27" t="n"/>
      <c r="I250" s="27" t="n"/>
      <c r="J250" s="25" t="n"/>
      <c r="K250" s="25" t="n"/>
      <c r="L250" s="25" t="n"/>
      <c r="M250" s="25" t="n"/>
      <c r="N250" s="33">
        <f>IF(AND(L250="",M250=""),"",(N(L250)*60+N(M250))/86400)</f>
        <v/>
      </c>
      <c r="O250" s="27" t="n"/>
      <c r="P250" s="27" t="n"/>
      <c r="Q250" s="27" t="n"/>
      <c r="R250" s="27" t="n"/>
      <c r="S250" s="27" t="n"/>
      <c r="T250" s="27" t="n"/>
      <c r="U250" s="28" t="n"/>
      <c r="V250" s="28" t="n"/>
      <c r="W250" s="32">
        <f>IF(LEN(R250)=0,"",IF(ISNUMBER(V250),"Closed",IF(AND(ISNUMBER(U250),U250&lt;TODAY()),"Overdue","Open")))</f>
        <v/>
      </c>
      <c r="X250" s="27" t="n"/>
      <c r="Y250" s="27" t="n"/>
    </row>
    <row r="251">
      <c r="A251" s="28" t="n"/>
      <c r="B251" s="29" t="n"/>
      <c r="C251" s="27" t="n"/>
      <c r="D251" s="27" t="n"/>
      <c r="E251" s="27" t="n"/>
      <c r="F251" s="27" t="n"/>
      <c r="G251" s="27" t="n"/>
      <c r="H251" s="27" t="n"/>
      <c r="I251" s="27" t="n"/>
      <c r="J251" s="25" t="n"/>
      <c r="K251" s="25" t="n"/>
      <c r="L251" s="25" t="n"/>
      <c r="M251" s="25" t="n"/>
      <c r="N251" s="33">
        <f>IF(AND(L251="",M251=""),"",(N(L251)*60+N(M251))/86400)</f>
        <v/>
      </c>
      <c r="O251" s="27" t="n"/>
      <c r="P251" s="27" t="n"/>
      <c r="Q251" s="27" t="n"/>
      <c r="R251" s="27" t="n"/>
      <c r="S251" s="27" t="n"/>
      <c r="T251" s="27" t="n"/>
      <c r="U251" s="28" t="n"/>
      <c r="V251" s="28" t="n"/>
      <c r="W251" s="32">
        <f>IF(LEN(R251)=0,"",IF(ISNUMBER(V251),"Closed",IF(AND(ISNUMBER(U251),U251&lt;TODAY()),"Overdue","Open")))</f>
        <v/>
      </c>
      <c r="X251" s="27" t="n"/>
      <c r="Y251" s="27" t="n"/>
    </row>
    <row r="252">
      <c r="A252" s="28" t="n"/>
      <c r="B252" s="29" t="n"/>
      <c r="C252" s="27" t="n"/>
      <c r="D252" s="27" t="n"/>
      <c r="E252" s="27" t="n"/>
      <c r="F252" s="27" t="n"/>
      <c r="G252" s="27" t="n"/>
      <c r="H252" s="27" t="n"/>
      <c r="I252" s="27" t="n"/>
      <c r="J252" s="25" t="n"/>
      <c r="K252" s="25" t="n"/>
      <c r="L252" s="25" t="n"/>
      <c r="M252" s="25" t="n"/>
      <c r="N252" s="33">
        <f>IF(AND(L252="",M252=""),"",(N(L252)*60+N(M252))/86400)</f>
        <v/>
      </c>
      <c r="O252" s="27" t="n"/>
      <c r="P252" s="27" t="n"/>
      <c r="Q252" s="27" t="n"/>
      <c r="R252" s="27" t="n"/>
      <c r="S252" s="27" t="n"/>
      <c r="T252" s="27" t="n"/>
      <c r="U252" s="28" t="n"/>
      <c r="V252" s="28" t="n"/>
      <c r="W252" s="32">
        <f>IF(LEN(R252)=0,"",IF(ISNUMBER(V252),"Closed",IF(AND(ISNUMBER(U252),U252&lt;TODAY()),"Overdue","Open")))</f>
        <v/>
      </c>
      <c r="X252" s="27" t="n"/>
      <c r="Y252" s="27" t="n"/>
    </row>
    <row r="253">
      <c r="A253" s="28" t="n"/>
      <c r="B253" s="29" t="n"/>
      <c r="C253" s="27" t="n"/>
      <c r="D253" s="27" t="n"/>
      <c r="E253" s="27" t="n"/>
      <c r="F253" s="27" t="n"/>
      <c r="G253" s="27" t="n"/>
      <c r="H253" s="27" t="n"/>
      <c r="I253" s="27" t="n"/>
      <c r="J253" s="25" t="n"/>
      <c r="K253" s="25" t="n"/>
      <c r="L253" s="25" t="n"/>
      <c r="M253" s="25" t="n"/>
      <c r="N253" s="33">
        <f>IF(AND(L253="",M253=""),"",(N(L253)*60+N(M253))/86400)</f>
        <v/>
      </c>
      <c r="O253" s="27" t="n"/>
      <c r="P253" s="27" t="n"/>
      <c r="Q253" s="27" t="n"/>
      <c r="R253" s="27" t="n"/>
      <c r="S253" s="27" t="n"/>
      <c r="T253" s="27" t="n"/>
      <c r="U253" s="28" t="n"/>
      <c r="V253" s="28" t="n"/>
      <c r="W253" s="32">
        <f>IF(LEN(R253)=0,"",IF(ISNUMBER(V253),"Closed",IF(AND(ISNUMBER(U253),U253&lt;TODAY()),"Overdue","Open")))</f>
        <v/>
      </c>
      <c r="X253" s="27" t="n"/>
      <c r="Y253" s="27" t="n"/>
    </row>
    <row r="254">
      <c r="A254" s="28" t="n"/>
      <c r="B254" s="29" t="n"/>
      <c r="C254" s="27" t="n"/>
      <c r="D254" s="27" t="n"/>
      <c r="E254" s="27" t="n"/>
      <c r="F254" s="27" t="n"/>
      <c r="G254" s="27" t="n"/>
      <c r="H254" s="27" t="n"/>
      <c r="I254" s="27" t="n"/>
      <c r="J254" s="25" t="n"/>
      <c r="K254" s="25" t="n"/>
      <c r="L254" s="25" t="n"/>
      <c r="M254" s="25" t="n"/>
      <c r="N254" s="33">
        <f>IF(AND(L254="",M254=""),"",(N(L254)*60+N(M254))/86400)</f>
        <v/>
      </c>
      <c r="O254" s="27" t="n"/>
      <c r="P254" s="27" t="n"/>
      <c r="Q254" s="27" t="n"/>
      <c r="R254" s="27" t="n"/>
      <c r="S254" s="27" t="n"/>
      <c r="T254" s="27" t="n"/>
      <c r="U254" s="28" t="n"/>
      <c r="V254" s="28" t="n"/>
      <c r="W254" s="32">
        <f>IF(LEN(R254)=0,"",IF(ISNUMBER(V254),"Closed",IF(AND(ISNUMBER(U254),U254&lt;TODAY()),"Overdue","Open")))</f>
        <v/>
      </c>
      <c r="X254" s="27" t="n"/>
      <c r="Y254" s="27" t="n"/>
    </row>
    <row r="255">
      <c r="A255" s="28" t="n"/>
      <c r="B255" s="29" t="n"/>
      <c r="C255" s="27" t="n"/>
      <c r="D255" s="27" t="n"/>
      <c r="E255" s="27" t="n"/>
      <c r="F255" s="27" t="n"/>
      <c r="G255" s="27" t="n"/>
      <c r="H255" s="27" t="n"/>
      <c r="I255" s="27" t="n"/>
      <c r="J255" s="25" t="n"/>
      <c r="K255" s="25" t="n"/>
      <c r="L255" s="25" t="n"/>
      <c r="M255" s="25" t="n"/>
      <c r="N255" s="33">
        <f>IF(AND(L255="",M255=""),"",(N(L255)*60+N(M255))/86400)</f>
        <v/>
      </c>
      <c r="O255" s="27" t="n"/>
      <c r="P255" s="27" t="n"/>
      <c r="Q255" s="27" t="n"/>
      <c r="R255" s="27" t="n"/>
      <c r="S255" s="27" t="n"/>
      <c r="T255" s="27" t="n"/>
      <c r="U255" s="28" t="n"/>
      <c r="V255" s="28" t="n"/>
      <c r="W255" s="32">
        <f>IF(LEN(R255)=0,"",IF(ISNUMBER(V255),"Closed",IF(AND(ISNUMBER(U255),U255&lt;TODAY()),"Overdue","Open")))</f>
        <v/>
      </c>
      <c r="X255" s="27" t="n"/>
      <c r="Y255" s="27" t="n"/>
    </row>
    <row r="256">
      <c r="A256" s="28" t="n"/>
      <c r="B256" s="29" t="n"/>
      <c r="C256" s="27" t="n"/>
      <c r="D256" s="27" t="n"/>
      <c r="E256" s="27" t="n"/>
      <c r="F256" s="27" t="n"/>
      <c r="G256" s="27" t="n"/>
      <c r="H256" s="27" t="n"/>
      <c r="I256" s="27" t="n"/>
      <c r="J256" s="25" t="n"/>
      <c r="K256" s="25" t="n"/>
      <c r="L256" s="25" t="n"/>
      <c r="M256" s="25" t="n"/>
      <c r="N256" s="33">
        <f>IF(AND(L256="",M256=""),"",(N(L256)*60+N(M256))/86400)</f>
        <v/>
      </c>
      <c r="O256" s="27" t="n"/>
      <c r="P256" s="27" t="n"/>
      <c r="Q256" s="27" t="n"/>
      <c r="R256" s="27" t="n"/>
      <c r="S256" s="27" t="n"/>
      <c r="T256" s="27" t="n"/>
      <c r="U256" s="28" t="n"/>
      <c r="V256" s="28" t="n"/>
      <c r="W256" s="32">
        <f>IF(LEN(R256)=0,"",IF(ISNUMBER(V256),"Closed",IF(AND(ISNUMBER(U256),U256&lt;TODAY()),"Overdue","Open")))</f>
        <v/>
      </c>
      <c r="X256" s="27" t="n"/>
      <c r="Y256" s="27" t="n"/>
    </row>
    <row r="257">
      <c r="A257" s="28" t="n"/>
      <c r="B257" s="29" t="n"/>
      <c r="C257" s="27" t="n"/>
      <c r="D257" s="27" t="n"/>
      <c r="E257" s="27" t="n"/>
      <c r="F257" s="27" t="n"/>
      <c r="G257" s="27" t="n"/>
      <c r="H257" s="27" t="n"/>
      <c r="I257" s="27" t="n"/>
      <c r="J257" s="25" t="n"/>
      <c r="K257" s="25" t="n"/>
      <c r="L257" s="25" t="n"/>
      <c r="M257" s="25" t="n"/>
      <c r="N257" s="33">
        <f>IF(AND(L257="",M257=""),"",(N(L257)*60+N(M257))/86400)</f>
        <v/>
      </c>
      <c r="O257" s="27" t="n"/>
      <c r="P257" s="27" t="n"/>
      <c r="Q257" s="27" t="n"/>
      <c r="R257" s="27" t="n"/>
      <c r="S257" s="27" t="n"/>
      <c r="T257" s="27" t="n"/>
      <c r="U257" s="28" t="n"/>
      <c r="V257" s="28" t="n"/>
      <c r="W257" s="32">
        <f>IF(LEN(R257)=0,"",IF(ISNUMBER(V257),"Closed",IF(AND(ISNUMBER(U257),U257&lt;TODAY()),"Overdue","Open")))</f>
        <v/>
      </c>
      <c r="X257" s="27" t="n"/>
      <c r="Y257" s="27" t="n"/>
    </row>
    <row r="258">
      <c r="A258" s="28" t="n"/>
      <c r="B258" s="29" t="n"/>
      <c r="C258" s="27" t="n"/>
      <c r="D258" s="27" t="n"/>
      <c r="E258" s="27" t="n"/>
      <c r="F258" s="27" t="n"/>
      <c r="G258" s="27" t="n"/>
      <c r="H258" s="27" t="n"/>
      <c r="I258" s="27" t="n"/>
      <c r="J258" s="25" t="n"/>
      <c r="K258" s="25" t="n"/>
      <c r="L258" s="25" t="n"/>
      <c r="M258" s="25" t="n"/>
      <c r="N258" s="33">
        <f>IF(AND(L258="",M258=""),"",(N(L258)*60+N(M258))/86400)</f>
        <v/>
      </c>
      <c r="O258" s="27" t="n"/>
      <c r="P258" s="27" t="n"/>
      <c r="Q258" s="27" t="n"/>
      <c r="R258" s="27" t="n"/>
      <c r="S258" s="27" t="n"/>
      <c r="T258" s="27" t="n"/>
      <c r="U258" s="28" t="n"/>
      <c r="V258" s="28" t="n"/>
      <c r="W258" s="32">
        <f>IF(LEN(R258)=0,"",IF(ISNUMBER(V258),"Closed",IF(AND(ISNUMBER(U258),U258&lt;TODAY()),"Overdue","Open")))</f>
        <v/>
      </c>
      <c r="X258" s="27" t="n"/>
      <c r="Y258" s="27" t="n"/>
    </row>
    <row r="259">
      <c r="A259" s="28" t="n"/>
      <c r="B259" s="29" t="n"/>
      <c r="C259" s="27" t="n"/>
      <c r="D259" s="27" t="n"/>
      <c r="E259" s="27" t="n"/>
      <c r="F259" s="27" t="n"/>
      <c r="G259" s="27" t="n"/>
      <c r="H259" s="27" t="n"/>
      <c r="I259" s="27" t="n"/>
      <c r="J259" s="25" t="n"/>
      <c r="K259" s="25" t="n"/>
      <c r="L259" s="25" t="n"/>
      <c r="M259" s="25" t="n"/>
      <c r="N259" s="33">
        <f>IF(AND(L259="",M259=""),"",(N(L259)*60+N(M259))/86400)</f>
        <v/>
      </c>
      <c r="O259" s="27" t="n"/>
      <c r="P259" s="27" t="n"/>
      <c r="Q259" s="27" t="n"/>
      <c r="R259" s="27" t="n"/>
      <c r="S259" s="27" t="n"/>
      <c r="T259" s="27" t="n"/>
      <c r="U259" s="28" t="n"/>
      <c r="V259" s="28" t="n"/>
      <c r="W259" s="32">
        <f>IF(LEN(R259)=0,"",IF(ISNUMBER(V259),"Closed",IF(AND(ISNUMBER(U259),U259&lt;TODAY()),"Overdue","Open")))</f>
        <v/>
      </c>
      <c r="X259" s="27" t="n"/>
      <c r="Y259" s="27" t="n"/>
    </row>
    <row r="260">
      <c r="A260" s="28" t="n"/>
      <c r="B260" s="29" t="n"/>
      <c r="C260" s="27" t="n"/>
      <c r="D260" s="27" t="n"/>
      <c r="E260" s="27" t="n"/>
      <c r="F260" s="27" t="n"/>
      <c r="G260" s="27" t="n"/>
      <c r="H260" s="27" t="n"/>
      <c r="I260" s="27" t="n"/>
      <c r="J260" s="25" t="n"/>
      <c r="K260" s="25" t="n"/>
      <c r="L260" s="25" t="n"/>
      <c r="M260" s="25" t="n"/>
      <c r="N260" s="33">
        <f>IF(AND(L260="",M260=""),"",(N(L260)*60+N(M260))/86400)</f>
        <v/>
      </c>
      <c r="O260" s="27" t="n"/>
      <c r="P260" s="27" t="n"/>
      <c r="Q260" s="27" t="n"/>
      <c r="R260" s="27" t="n"/>
      <c r="S260" s="27" t="n"/>
      <c r="T260" s="27" t="n"/>
      <c r="U260" s="28" t="n"/>
      <c r="V260" s="28" t="n"/>
      <c r="W260" s="32">
        <f>IF(LEN(R260)=0,"",IF(ISNUMBER(V260),"Closed",IF(AND(ISNUMBER(U260),U260&lt;TODAY()),"Overdue","Open")))</f>
        <v/>
      </c>
      <c r="X260" s="27" t="n"/>
      <c r="Y260" s="27" t="n"/>
    </row>
    <row r="261">
      <c r="A261" s="28" t="n"/>
      <c r="B261" s="29" t="n"/>
      <c r="C261" s="27" t="n"/>
      <c r="D261" s="27" t="n"/>
      <c r="E261" s="27" t="n"/>
      <c r="F261" s="27" t="n"/>
      <c r="G261" s="27" t="n"/>
      <c r="H261" s="27" t="n"/>
      <c r="I261" s="27" t="n"/>
      <c r="J261" s="25" t="n"/>
      <c r="K261" s="25" t="n"/>
      <c r="L261" s="25" t="n"/>
      <c r="M261" s="25" t="n"/>
      <c r="N261" s="33">
        <f>IF(AND(L261="",M261=""),"",(N(L261)*60+N(M261))/86400)</f>
        <v/>
      </c>
      <c r="O261" s="27" t="n"/>
      <c r="P261" s="27" t="n"/>
      <c r="Q261" s="27" t="n"/>
      <c r="R261" s="27" t="n"/>
      <c r="S261" s="27" t="n"/>
      <c r="T261" s="27" t="n"/>
      <c r="U261" s="28" t="n"/>
      <c r="V261" s="28" t="n"/>
      <c r="W261" s="32">
        <f>IF(LEN(R261)=0,"",IF(ISNUMBER(V261),"Closed",IF(AND(ISNUMBER(U261),U261&lt;TODAY()),"Overdue","Open")))</f>
        <v/>
      </c>
      <c r="X261" s="27" t="n"/>
      <c r="Y261" s="27" t="n"/>
    </row>
    <row r="262">
      <c r="A262" s="28" t="n"/>
      <c r="B262" s="29" t="n"/>
      <c r="C262" s="27" t="n"/>
      <c r="D262" s="27" t="n"/>
      <c r="E262" s="27" t="n"/>
      <c r="F262" s="27" t="n"/>
      <c r="G262" s="27" t="n"/>
      <c r="H262" s="27" t="n"/>
      <c r="I262" s="27" t="n"/>
      <c r="J262" s="25" t="n"/>
      <c r="K262" s="25" t="n"/>
      <c r="L262" s="25" t="n"/>
      <c r="M262" s="25" t="n"/>
      <c r="N262" s="33">
        <f>IF(AND(L262="",M262=""),"",(N(L262)*60+N(M262))/86400)</f>
        <v/>
      </c>
      <c r="O262" s="27" t="n"/>
      <c r="P262" s="27" t="n"/>
      <c r="Q262" s="27" t="n"/>
      <c r="R262" s="27" t="n"/>
      <c r="S262" s="27" t="n"/>
      <c r="T262" s="27" t="n"/>
      <c r="U262" s="28" t="n"/>
      <c r="V262" s="28" t="n"/>
      <c r="W262" s="32">
        <f>IF(LEN(R262)=0,"",IF(ISNUMBER(V262),"Closed",IF(AND(ISNUMBER(U262),U262&lt;TODAY()),"Overdue","Open")))</f>
        <v/>
      </c>
      <c r="X262" s="27" t="n"/>
      <c r="Y262" s="27" t="n"/>
    </row>
    <row r="263">
      <c r="A263" s="28" t="n"/>
      <c r="B263" s="29" t="n"/>
      <c r="C263" s="27" t="n"/>
      <c r="D263" s="27" t="n"/>
      <c r="E263" s="27" t="n"/>
      <c r="F263" s="27" t="n"/>
      <c r="G263" s="27" t="n"/>
      <c r="H263" s="27" t="n"/>
      <c r="I263" s="27" t="n"/>
      <c r="J263" s="25" t="n"/>
      <c r="K263" s="25" t="n"/>
      <c r="L263" s="25" t="n"/>
      <c r="M263" s="25" t="n"/>
      <c r="N263" s="33">
        <f>IF(AND(L263="",M263=""),"",(N(L263)*60+N(M263))/86400)</f>
        <v/>
      </c>
      <c r="O263" s="27" t="n"/>
      <c r="P263" s="27" t="n"/>
      <c r="Q263" s="27" t="n"/>
      <c r="R263" s="27" t="n"/>
      <c r="S263" s="27" t="n"/>
      <c r="T263" s="27" t="n"/>
      <c r="U263" s="28" t="n"/>
      <c r="V263" s="28" t="n"/>
      <c r="W263" s="32">
        <f>IF(LEN(R263)=0,"",IF(ISNUMBER(V263),"Closed",IF(AND(ISNUMBER(U263),U263&lt;TODAY()),"Overdue","Open")))</f>
        <v/>
      </c>
      <c r="X263" s="27" t="n"/>
      <c r="Y263" s="27" t="n"/>
    </row>
    <row r="264">
      <c r="A264" s="28" t="n"/>
      <c r="B264" s="29" t="n"/>
      <c r="C264" s="27" t="n"/>
      <c r="D264" s="27" t="n"/>
      <c r="E264" s="27" t="n"/>
      <c r="F264" s="27" t="n"/>
      <c r="G264" s="27" t="n"/>
      <c r="H264" s="27" t="n"/>
      <c r="I264" s="27" t="n"/>
      <c r="J264" s="25" t="n"/>
      <c r="K264" s="25" t="n"/>
      <c r="L264" s="25" t="n"/>
      <c r="M264" s="25" t="n"/>
      <c r="N264" s="33">
        <f>IF(AND(L264="",M264=""),"",(N(L264)*60+N(M264))/86400)</f>
        <v/>
      </c>
      <c r="O264" s="27" t="n"/>
      <c r="P264" s="27" t="n"/>
      <c r="Q264" s="27" t="n"/>
      <c r="R264" s="27" t="n"/>
      <c r="S264" s="27" t="n"/>
      <c r="T264" s="27" t="n"/>
      <c r="U264" s="28" t="n"/>
      <c r="V264" s="28" t="n"/>
      <c r="W264" s="32">
        <f>IF(LEN(R264)=0,"",IF(ISNUMBER(V264),"Closed",IF(AND(ISNUMBER(U264),U264&lt;TODAY()),"Overdue","Open")))</f>
        <v/>
      </c>
      <c r="X264" s="27" t="n"/>
      <c r="Y264" s="27" t="n"/>
    </row>
    <row r="265">
      <c r="A265" s="28" t="n"/>
      <c r="B265" s="29" t="n"/>
      <c r="C265" s="27" t="n"/>
      <c r="D265" s="27" t="n"/>
      <c r="E265" s="27" t="n"/>
      <c r="F265" s="27" t="n"/>
      <c r="G265" s="27" t="n"/>
      <c r="H265" s="27" t="n"/>
      <c r="I265" s="27" t="n"/>
      <c r="J265" s="25" t="n"/>
      <c r="K265" s="25" t="n"/>
      <c r="L265" s="25" t="n"/>
      <c r="M265" s="25" t="n"/>
      <c r="N265" s="33">
        <f>IF(AND(L265="",M265=""),"",(N(L265)*60+N(M265))/86400)</f>
        <v/>
      </c>
      <c r="O265" s="27" t="n"/>
      <c r="P265" s="27" t="n"/>
      <c r="Q265" s="27" t="n"/>
      <c r="R265" s="27" t="n"/>
      <c r="S265" s="27" t="n"/>
      <c r="T265" s="27" t="n"/>
      <c r="U265" s="28" t="n"/>
      <c r="V265" s="28" t="n"/>
      <c r="W265" s="32">
        <f>IF(LEN(R265)=0,"",IF(ISNUMBER(V265),"Closed",IF(AND(ISNUMBER(U265),U265&lt;TODAY()),"Overdue","Open")))</f>
        <v/>
      </c>
      <c r="X265" s="27" t="n"/>
      <c r="Y265" s="27" t="n"/>
    </row>
    <row r="266">
      <c r="A266" s="28" t="n"/>
      <c r="B266" s="29" t="n"/>
      <c r="C266" s="27" t="n"/>
      <c r="D266" s="27" t="n"/>
      <c r="E266" s="27" t="n"/>
      <c r="F266" s="27" t="n"/>
      <c r="G266" s="27" t="n"/>
      <c r="H266" s="27" t="n"/>
      <c r="I266" s="27" t="n"/>
      <c r="J266" s="25" t="n"/>
      <c r="K266" s="25" t="n"/>
      <c r="L266" s="25" t="n"/>
      <c r="M266" s="25" t="n"/>
      <c r="N266" s="33">
        <f>IF(AND(L266="",M266=""),"",(N(L266)*60+N(M266))/86400)</f>
        <v/>
      </c>
      <c r="O266" s="27" t="n"/>
      <c r="P266" s="27" t="n"/>
      <c r="Q266" s="27" t="n"/>
      <c r="R266" s="27" t="n"/>
      <c r="S266" s="27" t="n"/>
      <c r="T266" s="27" t="n"/>
      <c r="U266" s="28" t="n"/>
      <c r="V266" s="28" t="n"/>
      <c r="W266" s="32">
        <f>IF(LEN(R266)=0,"",IF(ISNUMBER(V266),"Closed",IF(AND(ISNUMBER(U266),U266&lt;TODAY()),"Overdue","Open")))</f>
        <v/>
      </c>
      <c r="X266" s="27" t="n"/>
      <c r="Y266" s="27" t="n"/>
    </row>
    <row r="267">
      <c r="A267" s="28" t="n"/>
      <c r="B267" s="29" t="n"/>
      <c r="C267" s="27" t="n"/>
      <c r="D267" s="27" t="n"/>
      <c r="E267" s="27" t="n"/>
      <c r="F267" s="27" t="n"/>
      <c r="G267" s="27" t="n"/>
      <c r="H267" s="27" t="n"/>
      <c r="I267" s="27" t="n"/>
      <c r="J267" s="25" t="n"/>
      <c r="K267" s="25" t="n"/>
      <c r="L267" s="25" t="n"/>
      <c r="M267" s="25" t="n"/>
      <c r="N267" s="33">
        <f>IF(AND(L267="",M267=""),"",(N(L267)*60+N(M267))/86400)</f>
        <v/>
      </c>
      <c r="O267" s="27" t="n"/>
      <c r="P267" s="27" t="n"/>
      <c r="Q267" s="27" t="n"/>
      <c r="R267" s="27" t="n"/>
      <c r="S267" s="27" t="n"/>
      <c r="T267" s="27" t="n"/>
      <c r="U267" s="28" t="n"/>
      <c r="V267" s="28" t="n"/>
      <c r="W267" s="32">
        <f>IF(LEN(R267)=0,"",IF(ISNUMBER(V267),"Closed",IF(AND(ISNUMBER(U267),U267&lt;TODAY()),"Overdue","Open")))</f>
        <v/>
      </c>
      <c r="X267" s="27" t="n"/>
      <c r="Y267" s="27" t="n"/>
    </row>
    <row r="268">
      <c r="A268" s="28" t="n"/>
      <c r="B268" s="29" t="n"/>
      <c r="C268" s="27" t="n"/>
      <c r="D268" s="27" t="n"/>
      <c r="E268" s="27" t="n"/>
      <c r="F268" s="27" t="n"/>
      <c r="G268" s="27" t="n"/>
      <c r="H268" s="27" t="n"/>
      <c r="I268" s="27" t="n"/>
      <c r="J268" s="25" t="n"/>
      <c r="K268" s="25" t="n"/>
      <c r="L268" s="25" t="n"/>
      <c r="M268" s="25" t="n"/>
      <c r="N268" s="33">
        <f>IF(AND(L268="",M268=""),"",(N(L268)*60+N(M268))/86400)</f>
        <v/>
      </c>
      <c r="O268" s="27" t="n"/>
      <c r="P268" s="27" t="n"/>
      <c r="Q268" s="27" t="n"/>
      <c r="R268" s="27" t="n"/>
      <c r="S268" s="27" t="n"/>
      <c r="T268" s="27" t="n"/>
      <c r="U268" s="28" t="n"/>
      <c r="V268" s="28" t="n"/>
      <c r="W268" s="32">
        <f>IF(LEN(R268)=0,"",IF(ISNUMBER(V268),"Closed",IF(AND(ISNUMBER(U268),U268&lt;TODAY()),"Overdue","Open")))</f>
        <v/>
      </c>
      <c r="X268" s="27" t="n"/>
      <c r="Y268" s="27" t="n"/>
    </row>
    <row r="269">
      <c r="A269" s="28" t="n"/>
      <c r="B269" s="29" t="n"/>
      <c r="C269" s="27" t="n"/>
      <c r="D269" s="27" t="n"/>
      <c r="E269" s="27" t="n"/>
      <c r="F269" s="27" t="n"/>
      <c r="G269" s="27" t="n"/>
      <c r="H269" s="27" t="n"/>
      <c r="I269" s="27" t="n"/>
      <c r="J269" s="25" t="n"/>
      <c r="K269" s="25" t="n"/>
      <c r="L269" s="25" t="n"/>
      <c r="M269" s="25" t="n"/>
      <c r="N269" s="33">
        <f>IF(AND(L269="",M269=""),"",(N(L269)*60+N(M269))/86400)</f>
        <v/>
      </c>
      <c r="O269" s="27" t="n"/>
      <c r="P269" s="27" t="n"/>
      <c r="Q269" s="27" t="n"/>
      <c r="R269" s="27" t="n"/>
      <c r="S269" s="27" t="n"/>
      <c r="T269" s="27" t="n"/>
      <c r="U269" s="28" t="n"/>
      <c r="V269" s="28" t="n"/>
      <c r="W269" s="32">
        <f>IF(LEN(R269)=0,"",IF(ISNUMBER(V269),"Closed",IF(AND(ISNUMBER(U269),U269&lt;TODAY()),"Overdue","Open")))</f>
        <v/>
      </c>
      <c r="X269" s="27" t="n"/>
      <c r="Y269" s="27" t="n"/>
    </row>
    <row r="270">
      <c r="A270" s="28" t="n"/>
      <c r="B270" s="29" t="n"/>
      <c r="C270" s="27" t="n"/>
      <c r="D270" s="27" t="n"/>
      <c r="E270" s="27" t="n"/>
      <c r="F270" s="27" t="n"/>
      <c r="G270" s="27" t="n"/>
      <c r="H270" s="27" t="n"/>
      <c r="I270" s="27" t="n"/>
      <c r="J270" s="25" t="n"/>
      <c r="K270" s="25" t="n"/>
      <c r="L270" s="25" t="n"/>
      <c r="M270" s="25" t="n"/>
      <c r="N270" s="33">
        <f>IF(AND(L270="",M270=""),"",(N(L270)*60+N(M270))/86400)</f>
        <v/>
      </c>
      <c r="O270" s="27" t="n"/>
      <c r="P270" s="27" t="n"/>
      <c r="Q270" s="27" t="n"/>
      <c r="R270" s="27" t="n"/>
      <c r="S270" s="27" t="n"/>
      <c r="T270" s="27" t="n"/>
      <c r="U270" s="28" t="n"/>
      <c r="V270" s="28" t="n"/>
      <c r="W270" s="32">
        <f>IF(LEN(R270)=0,"",IF(ISNUMBER(V270),"Closed",IF(AND(ISNUMBER(U270),U270&lt;TODAY()),"Overdue","Open")))</f>
        <v/>
      </c>
      <c r="X270" s="27" t="n"/>
      <c r="Y270" s="27" t="n"/>
    </row>
    <row r="271">
      <c r="A271" s="28" t="n"/>
      <c r="B271" s="29" t="n"/>
      <c r="C271" s="27" t="n"/>
      <c r="D271" s="27" t="n"/>
      <c r="E271" s="27" t="n"/>
      <c r="F271" s="27" t="n"/>
      <c r="G271" s="27" t="n"/>
      <c r="H271" s="27" t="n"/>
      <c r="I271" s="27" t="n"/>
      <c r="J271" s="25" t="n"/>
      <c r="K271" s="25" t="n"/>
      <c r="L271" s="25" t="n"/>
      <c r="M271" s="25" t="n"/>
      <c r="N271" s="33">
        <f>IF(AND(L271="",M271=""),"",(N(L271)*60+N(M271))/86400)</f>
        <v/>
      </c>
      <c r="O271" s="27" t="n"/>
      <c r="P271" s="27" t="n"/>
      <c r="Q271" s="27" t="n"/>
      <c r="R271" s="27" t="n"/>
      <c r="S271" s="27" t="n"/>
      <c r="T271" s="27" t="n"/>
      <c r="U271" s="28" t="n"/>
      <c r="V271" s="28" t="n"/>
      <c r="W271" s="32">
        <f>IF(LEN(R271)=0,"",IF(ISNUMBER(V271),"Closed",IF(AND(ISNUMBER(U271),U271&lt;TODAY()),"Overdue","Open")))</f>
        <v/>
      </c>
      <c r="X271" s="27" t="n"/>
      <c r="Y271" s="27" t="n"/>
    </row>
    <row r="272">
      <c r="A272" s="28" t="n"/>
      <c r="B272" s="29" t="n"/>
      <c r="C272" s="27" t="n"/>
      <c r="D272" s="27" t="n"/>
      <c r="E272" s="27" t="n"/>
      <c r="F272" s="27" t="n"/>
      <c r="G272" s="27" t="n"/>
      <c r="H272" s="27" t="n"/>
      <c r="I272" s="27" t="n"/>
      <c r="J272" s="25" t="n"/>
      <c r="K272" s="25" t="n"/>
      <c r="L272" s="25" t="n"/>
      <c r="M272" s="25" t="n"/>
      <c r="N272" s="33">
        <f>IF(AND(L272="",M272=""),"",(N(L272)*60+N(M272))/86400)</f>
        <v/>
      </c>
      <c r="O272" s="27" t="n"/>
      <c r="P272" s="27" t="n"/>
      <c r="Q272" s="27" t="n"/>
      <c r="R272" s="27" t="n"/>
      <c r="S272" s="27" t="n"/>
      <c r="T272" s="27" t="n"/>
      <c r="U272" s="28" t="n"/>
      <c r="V272" s="28" t="n"/>
      <c r="W272" s="32">
        <f>IF(LEN(R272)=0,"",IF(ISNUMBER(V272),"Closed",IF(AND(ISNUMBER(U272),U272&lt;TODAY()),"Overdue","Open")))</f>
        <v/>
      </c>
      <c r="X272" s="27" t="n"/>
      <c r="Y272" s="27" t="n"/>
    </row>
    <row r="273">
      <c r="A273" s="28" t="n"/>
      <c r="B273" s="29" t="n"/>
      <c r="C273" s="27" t="n"/>
      <c r="D273" s="27" t="n"/>
      <c r="E273" s="27" t="n"/>
      <c r="F273" s="27" t="n"/>
      <c r="G273" s="27" t="n"/>
      <c r="H273" s="27" t="n"/>
      <c r="I273" s="27" t="n"/>
      <c r="J273" s="25" t="n"/>
      <c r="K273" s="25" t="n"/>
      <c r="L273" s="25" t="n"/>
      <c r="M273" s="25" t="n"/>
      <c r="N273" s="33">
        <f>IF(AND(L273="",M273=""),"",(N(L273)*60+N(M273))/86400)</f>
        <v/>
      </c>
      <c r="O273" s="27" t="n"/>
      <c r="P273" s="27" t="n"/>
      <c r="Q273" s="27" t="n"/>
      <c r="R273" s="27" t="n"/>
      <c r="S273" s="27" t="n"/>
      <c r="T273" s="27" t="n"/>
      <c r="U273" s="28" t="n"/>
      <c r="V273" s="28" t="n"/>
      <c r="W273" s="32">
        <f>IF(LEN(R273)=0,"",IF(ISNUMBER(V273),"Closed",IF(AND(ISNUMBER(U273),U273&lt;TODAY()),"Overdue","Open")))</f>
        <v/>
      </c>
      <c r="X273" s="27" t="n"/>
      <c r="Y273" s="27" t="n"/>
    </row>
    <row r="274">
      <c r="A274" s="28" t="n"/>
      <c r="B274" s="29" t="n"/>
      <c r="C274" s="27" t="n"/>
      <c r="D274" s="27" t="n"/>
      <c r="E274" s="27" t="n"/>
      <c r="F274" s="27" t="n"/>
      <c r="G274" s="27" t="n"/>
      <c r="H274" s="27" t="n"/>
      <c r="I274" s="27" t="n"/>
      <c r="J274" s="25" t="n"/>
      <c r="K274" s="25" t="n"/>
      <c r="L274" s="25" t="n"/>
      <c r="M274" s="25" t="n"/>
      <c r="N274" s="33">
        <f>IF(AND(L274="",M274=""),"",(N(L274)*60+N(M274))/86400)</f>
        <v/>
      </c>
      <c r="O274" s="27" t="n"/>
      <c r="P274" s="27" t="n"/>
      <c r="Q274" s="27" t="n"/>
      <c r="R274" s="27" t="n"/>
      <c r="S274" s="27" t="n"/>
      <c r="T274" s="27" t="n"/>
      <c r="U274" s="28" t="n"/>
      <c r="V274" s="28" t="n"/>
      <c r="W274" s="32">
        <f>IF(LEN(R274)=0,"",IF(ISNUMBER(V274),"Closed",IF(AND(ISNUMBER(U274),U274&lt;TODAY()),"Overdue","Open")))</f>
        <v/>
      </c>
      <c r="X274" s="27" t="n"/>
      <c r="Y274" s="27" t="n"/>
    </row>
    <row r="275">
      <c r="A275" s="28" t="n"/>
      <c r="B275" s="29" t="n"/>
      <c r="C275" s="27" t="n"/>
      <c r="D275" s="27" t="n"/>
      <c r="E275" s="27" t="n"/>
      <c r="F275" s="27" t="n"/>
      <c r="G275" s="27" t="n"/>
      <c r="H275" s="27" t="n"/>
      <c r="I275" s="27" t="n"/>
      <c r="J275" s="25" t="n"/>
      <c r="K275" s="25" t="n"/>
      <c r="L275" s="25" t="n"/>
      <c r="M275" s="25" t="n"/>
      <c r="N275" s="33">
        <f>IF(AND(L275="",M275=""),"",(N(L275)*60+N(M275))/86400)</f>
        <v/>
      </c>
      <c r="O275" s="27" t="n"/>
      <c r="P275" s="27" t="n"/>
      <c r="Q275" s="27" t="n"/>
      <c r="R275" s="27" t="n"/>
      <c r="S275" s="27" t="n"/>
      <c r="T275" s="27" t="n"/>
      <c r="U275" s="28" t="n"/>
      <c r="V275" s="28" t="n"/>
      <c r="W275" s="32">
        <f>IF(LEN(R275)=0,"",IF(ISNUMBER(V275),"Closed",IF(AND(ISNUMBER(U275),U275&lt;TODAY()),"Overdue","Open")))</f>
        <v/>
      </c>
      <c r="X275" s="27" t="n"/>
      <c r="Y275" s="27" t="n"/>
    </row>
    <row r="276">
      <c r="A276" s="28" t="n"/>
      <c r="B276" s="29" t="n"/>
      <c r="C276" s="27" t="n"/>
      <c r="D276" s="27" t="n"/>
      <c r="E276" s="27" t="n"/>
      <c r="F276" s="27" t="n"/>
      <c r="G276" s="27" t="n"/>
      <c r="H276" s="27" t="n"/>
      <c r="I276" s="27" t="n"/>
      <c r="J276" s="25" t="n"/>
      <c r="K276" s="25" t="n"/>
      <c r="L276" s="25" t="n"/>
      <c r="M276" s="25" t="n"/>
      <c r="N276" s="33">
        <f>IF(AND(L276="",M276=""),"",(N(L276)*60+N(M276))/86400)</f>
        <v/>
      </c>
      <c r="O276" s="27" t="n"/>
      <c r="P276" s="27" t="n"/>
      <c r="Q276" s="27" t="n"/>
      <c r="R276" s="27" t="n"/>
      <c r="S276" s="27" t="n"/>
      <c r="T276" s="27" t="n"/>
      <c r="U276" s="28" t="n"/>
      <c r="V276" s="28" t="n"/>
      <c r="W276" s="32">
        <f>IF(LEN(R276)=0,"",IF(ISNUMBER(V276),"Closed",IF(AND(ISNUMBER(U276),U276&lt;TODAY()),"Overdue","Open")))</f>
        <v/>
      </c>
      <c r="X276" s="27" t="n"/>
      <c r="Y276" s="27" t="n"/>
    </row>
    <row r="277">
      <c r="A277" s="28" t="n"/>
      <c r="B277" s="29" t="n"/>
      <c r="C277" s="27" t="n"/>
      <c r="D277" s="27" t="n"/>
      <c r="E277" s="27" t="n"/>
      <c r="F277" s="27" t="n"/>
      <c r="G277" s="27" t="n"/>
      <c r="H277" s="27" t="n"/>
      <c r="I277" s="27" t="n"/>
      <c r="J277" s="25" t="n"/>
      <c r="K277" s="25" t="n"/>
      <c r="L277" s="25" t="n"/>
      <c r="M277" s="25" t="n"/>
      <c r="N277" s="33">
        <f>IF(AND(L277="",M277=""),"",(N(L277)*60+N(M277))/86400)</f>
        <v/>
      </c>
      <c r="O277" s="27" t="n"/>
      <c r="P277" s="27" t="n"/>
      <c r="Q277" s="27" t="n"/>
      <c r="R277" s="27" t="n"/>
      <c r="S277" s="27" t="n"/>
      <c r="T277" s="27" t="n"/>
      <c r="U277" s="28" t="n"/>
      <c r="V277" s="28" t="n"/>
      <c r="W277" s="32">
        <f>IF(LEN(R277)=0,"",IF(ISNUMBER(V277),"Closed",IF(AND(ISNUMBER(U277),U277&lt;TODAY()),"Overdue","Open")))</f>
        <v/>
      </c>
      <c r="X277" s="27" t="n"/>
      <c r="Y277" s="27" t="n"/>
    </row>
    <row r="278">
      <c r="A278" s="28" t="n"/>
      <c r="B278" s="29" t="n"/>
      <c r="C278" s="27" t="n"/>
      <c r="D278" s="27" t="n"/>
      <c r="E278" s="27" t="n"/>
      <c r="F278" s="27" t="n"/>
      <c r="G278" s="27" t="n"/>
      <c r="H278" s="27" t="n"/>
      <c r="I278" s="27" t="n"/>
      <c r="J278" s="25" t="n"/>
      <c r="K278" s="25" t="n"/>
      <c r="L278" s="25" t="n"/>
      <c r="M278" s="25" t="n"/>
      <c r="N278" s="33">
        <f>IF(AND(L278="",M278=""),"",(N(L278)*60+N(M278))/86400)</f>
        <v/>
      </c>
      <c r="O278" s="27" t="n"/>
      <c r="P278" s="27" t="n"/>
      <c r="Q278" s="27" t="n"/>
      <c r="R278" s="27" t="n"/>
      <c r="S278" s="27" t="n"/>
      <c r="T278" s="27" t="n"/>
      <c r="U278" s="28" t="n"/>
      <c r="V278" s="28" t="n"/>
      <c r="W278" s="32">
        <f>IF(LEN(R278)=0,"",IF(ISNUMBER(V278),"Closed",IF(AND(ISNUMBER(U278),U278&lt;TODAY()),"Overdue","Open")))</f>
        <v/>
      </c>
      <c r="X278" s="27" t="n"/>
      <c r="Y278" s="27" t="n"/>
    </row>
    <row r="279">
      <c r="A279" s="28" t="n"/>
      <c r="B279" s="29" t="n"/>
      <c r="C279" s="27" t="n"/>
      <c r="D279" s="27" t="n"/>
      <c r="E279" s="27" t="n"/>
      <c r="F279" s="27" t="n"/>
      <c r="G279" s="27" t="n"/>
      <c r="H279" s="27" t="n"/>
      <c r="I279" s="27" t="n"/>
      <c r="J279" s="25" t="n"/>
      <c r="K279" s="25" t="n"/>
      <c r="L279" s="25" t="n"/>
      <c r="M279" s="25" t="n"/>
      <c r="N279" s="33">
        <f>IF(AND(L279="",M279=""),"",(N(L279)*60+N(M279))/86400)</f>
        <v/>
      </c>
      <c r="O279" s="27" t="n"/>
      <c r="P279" s="27" t="n"/>
      <c r="Q279" s="27" t="n"/>
      <c r="R279" s="27" t="n"/>
      <c r="S279" s="27" t="n"/>
      <c r="T279" s="27" t="n"/>
      <c r="U279" s="28" t="n"/>
      <c r="V279" s="28" t="n"/>
      <c r="W279" s="32">
        <f>IF(LEN(R279)=0,"",IF(ISNUMBER(V279),"Closed",IF(AND(ISNUMBER(U279),U279&lt;TODAY()),"Overdue","Open")))</f>
        <v/>
      </c>
      <c r="X279" s="27" t="n"/>
      <c r="Y279" s="27" t="n"/>
    </row>
    <row r="280">
      <c r="A280" s="28" t="n"/>
      <c r="B280" s="29" t="n"/>
      <c r="C280" s="27" t="n"/>
      <c r="D280" s="27" t="n"/>
      <c r="E280" s="27" t="n"/>
      <c r="F280" s="27" t="n"/>
      <c r="G280" s="27" t="n"/>
      <c r="H280" s="27" t="n"/>
      <c r="I280" s="27" t="n"/>
      <c r="J280" s="25" t="n"/>
      <c r="K280" s="25" t="n"/>
      <c r="L280" s="25" t="n"/>
      <c r="M280" s="25" t="n"/>
      <c r="N280" s="33">
        <f>IF(AND(L280="",M280=""),"",(N(L280)*60+N(M280))/86400)</f>
        <v/>
      </c>
      <c r="O280" s="27" t="n"/>
      <c r="P280" s="27" t="n"/>
      <c r="Q280" s="27" t="n"/>
      <c r="R280" s="27" t="n"/>
      <c r="S280" s="27" t="n"/>
      <c r="T280" s="27" t="n"/>
      <c r="U280" s="28" t="n"/>
      <c r="V280" s="28" t="n"/>
      <c r="W280" s="32">
        <f>IF(LEN(R280)=0,"",IF(ISNUMBER(V280),"Closed",IF(AND(ISNUMBER(U280),U280&lt;TODAY()),"Overdue","Open")))</f>
        <v/>
      </c>
      <c r="X280" s="27" t="n"/>
      <c r="Y280" s="27" t="n"/>
    </row>
    <row r="281">
      <c r="A281" s="28" t="n"/>
      <c r="B281" s="29" t="n"/>
      <c r="C281" s="27" t="n"/>
      <c r="D281" s="27" t="n"/>
      <c r="E281" s="27" t="n"/>
      <c r="F281" s="27" t="n"/>
      <c r="G281" s="27" t="n"/>
      <c r="H281" s="27" t="n"/>
      <c r="I281" s="27" t="n"/>
      <c r="J281" s="25" t="n"/>
      <c r="K281" s="25" t="n"/>
      <c r="L281" s="25" t="n"/>
      <c r="M281" s="25" t="n"/>
      <c r="N281" s="33">
        <f>IF(AND(L281="",M281=""),"",(N(L281)*60+N(M281))/86400)</f>
        <v/>
      </c>
      <c r="O281" s="27" t="n"/>
      <c r="P281" s="27" t="n"/>
      <c r="Q281" s="27" t="n"/>
      <c r="R281" s="27" t="n"/>
      <c r="S281" s="27" t="n"/>
      <c r="T281" s="27" t="n"/>
      <c r="U281" s="28" t="n"/>
      <c r="V281" s="28" t="n"/>
      <c r="W281" s="32">
        <f>IF(LEN(R281)=0,"",IF(ISNUMBER(V281),"Closed",IF(AND(ISNUMBER(U281),U281&lt;TODAY()),"Overdue","Open")))</f>
        <v/>
      </c>
      <c r="X281" s="27" t="n"/>
      <c r="Y281" s="27" t="n"/>
    </row>
    <row r="282">
      <c r="A282" s="28" t="n"/>
      <c r="B282" s="29" t="n"/>
      <c r="C282" s="27" t="n"/>
      <c r="D282" s="27" t="n"/>
      <c r="E282" s="27" t="n"/>
      <c r="F282" s="27" t="n"/>
      <c r="G282" s="27" t="n"/>
      <c r="H282" s="27" t="n"/>
      <c r="I282" s="27" t="n"/>
      <c r="J282" s="25" t="n"/>
      <c r="K282" s="25" t="n"/>
      <c r="L282" s="25" t="n"/>
      <c r="M282" s="25" t="n"/>
      <c r="N282" s="33">
        <f>IF(AND(L282="",M282=""),"",(N(L282)*60+N(M282))/86400)</f>
        <v/>
      </c>
      <c r="O282" s="27" t="n"/>
      <c r="P282" s="27" t="n"/>
      <c r="Q282" s="27" t="n"/>
      <c r="R282" s="27" t="n"/>
      <c r="S282" s="27" t="n"/>
      <c r="T282" s="27" t="n"/>
      <c r="U282" s="28" t="n"/>
      <c r="V282" s="28" t="n"/>
      <c r="W282" s="32">
        <f>IF(LEN(R282)=0,"",IF(ISNUMBER(V282),"Closed",IF(AND(ISNUMBER(U282),U282&lt;TODAY()),"Overdue","Open")))</f>
        <v/>
      </c>
      <c r="X282" s="27" t="n"/>
      <c r="Y282" s="27" t="n"/>
    </row>
    <row r="283">
      <c r="A283" s="28" t="n"/>
      <c r="B283" s="29" t="n"/>
      <c r="C283" s="27" t="n"/>
      <c r="D283" s="27" t="n"/>
      <c r="E283" s="27" t="n"/>
      <c r="F283" s="27" t="n"/>
      <c r="G283" s="27" t="n"/>
      <c r="H283" s="27" t="n"/>
      <c r="I283" s="27" t="n"/>
      <c r="J283" s="25" t="n"/>
      <c r="K283" s="25" t="n"/>
      <c r="L283" s="25" t="n"/>
      <c r="M283" s="25" t="n"/>
      <c r="N283" s="33">
        <f>IF(AND(L283="",M283=""),"",(N(L283)*60+N(M283))/86400)</f>
        <v/>
      </c>
      <c r="O283" s="27" t="n"/>
      <c r="P283" s="27" t="n"/>
      <c r="Q283" s="27" t="n"/>
      <c r="R283" s="27" t="n"/>
      <c r="S283" s="27" t="n"/>
      <c r="T283" s="27" t="n"/>
      <c r="U283" s="28" t="n"/>
      <c r="V283" s="28" t="n"/>
      <c r="W283" s="32">
        <f>IF(LEN(R283)=0,"",IF(ISNUMBER(V283),"Closed",IF(AND(ISNUMBER(U283),U283&lt;TODAY()),"Overdue","Open")))</f>
        <v/>
      </c>
      <c r="X283" s="27" t="n"/>
      <c r="Y283" s="27" t="n"/>
    </row>
    <row r="284">
      <c r="A284" s="28" t="n"/>
      <c r="B284" s="29" t="n"/>
      <c r="C284" s="27" t="n"/>
      <c r="D284" s="27" t="n"/>
      <c r="E284" s="27" t="n"/>
      <c r="F284" s="27" t="n"/>
      <c r="G284" s="27" t="n"/>
      <c r="H284" s="27" t="n"/>
      <c r="I284" s="27" t="n"/>
      <c r="J284" s="25" t="n"/>
      <c r="K284" s="25" t="n"/>
      <c r="L284" s="25" t="n"/>
      <c r="M284" s="25" t="n"/>
      <c r="N284" s="33">
        <f>IF(AND(L284="",M284=""),"",(N(L284)*60+N(M284))/86400)</f>
        <v/>
      </c>
      <c r="O284" s="27" t="n"/>
      <c r="P284" s="27" t="n"/>
      <c r="Q284" s="27" t="n"/>
      <c r="R284" s="27" t="n"/>
      <c r="S284" s="27" t="n"/>
      <c r="T284" s="27" t="n"/>
      <c r="U284" s="28" t="n"/>
      <c r="V284" s="28" t="n"/>
      <c r="W284" s="32">
        <f>IF(LEN(R284)=0,"",IF(ISNUMBER(V284),"Closed",IF(AND(ISNUMBER(U284),U284&lt;TODAY()),"Overdue","Open")))</f>
        <v/>
      </c>
      <c r="X284" s="27" t="n"/>
      <c r="Y284" s="27" t="n"/>
    </row>
    <row r="285">
      <c r="A285" s="28" t="n"/>
      <c r="B285" s="29" t="n"/>
      <c r="C285" s="27" t="n"/>
      <c r="D285" s="27" t="n"/>
      <c r="E285" s="27" t="n"/>
      <c r="F285" s="27" t="n"/>
      <c r="G285" s="27" t="n"/>
      <c r="H285" s="27" t="n"/>
      <c r="I285" s="27" t="n"/>
      <c r="J285" s="25" t="n"/>
      <c r="K285" s="25" t="n"/>
      <c r="L285" s="25" t="n"/>
      <c r="M285" s="25" t="n"/>
      <c r="N285" s="33">
        <f>IF(AND(L285="",M285=""),"",(N(L285)*60+N(M285))/86400)</f>
        <v/>
      </c>
      <c r="O285" s="27" t="n"/>
      <c r="P285" s="27" t="n"/>
      <c r="Q285" s="27" t="n"/>
      <c r="R285" s="27" t="n"/>
      <c r="S285" s="27" t="n"/>
      <c r="T285" s="27" t="n"/>
      <c r="U285" s="28" t="n"/>
      <c r="V285" s="28" t="n"/>
      <c r="W285" s="32">
        <f>IF(LEN(R285)=0,"",IF(ISNUMBER(V285),"Closed",IF(AND(ISNUMBER(U285),U285&lt;TODAY()),"Overdue","Open")))</f>
        <v/>
      </c>
      <c r="X285" s="27" t="n"/>
      <c r="Y285" s="27" t="n"/>
    </row>
    <row r="286">
      <c r="A286" s="28" t="n"/>
      <c r="B286" s="29" t="n"/>
      <c r="C286" s="27" t="n"/>
      <c r="D286" s="27" t="n"/>
      <c r="E286" s="27" t="n"/>
      <c r="F286" s="27" t="n"/>
      <c r="G286" s="27" t="n"/>
      <c r="H286" s="27" t="n"/>
      <c r="I286" s="27" t="n"/>
      <c r="J286" s="25" t="n"/>
      <c r="K286" s="25" t="n"/>
      <c r="L286" s="25" t="n"/>
      <c r="M286" s="25" t="n"/>
      <c r="N286" s="33">
        <f>IF(AND(L286="",M286=""),"",(N(L286)*60+N(M286))/86400)</f>
        <v/>
      </c>
      <c r="O286" s="27" t="n"/>
      <c r="P286" s="27" t="n"/>
      <c r="Q286" s="27" t="n"/>
      <c r="R286" s="27" t="n"/>
      <c r="S286" s="27" t="n"/>
      <c r="T286" s="27" t="n"/>
      <c r="U286" s="28" t="n"/>
      <c r="V286" s="28" t="n"/>
      <c r="W286" s="32">
        <f>IF(LEN(R286)=0,"",IF(ISNUMBER(V286),"Closed",IF(AND(ISNUMBER(U286),U286&lt;TODAY()),"Overdue","Open")))</f>
        <v/>
      </c>
      <c r="X286" s="27" t="n"/>
      <c r="Y286" s="27" t="n"/>
    </row>
    <row r="287">
      <c r="A287" s="28" t="n"/>
      <c r="B287" s="29" t="n"/>
      <c r="C287" s="27" t="n"/>
      <c r="D287" s="27" t="n"/>
      <c r="E287" s="27" t="n"/>
      <c r="F287" s="27" t="n"/>
      <c r="G287" s="27" t="n"/>
      <c r="H287" s="27" t="n"/>
      <c r="I287" s="27" t="n"/>
      <c r="J287" s="25" t="n"/>
      <c r="K287" s="25" t="n"/>
      <c r="L287" s="25" t="n"/>
      <c r="M287" s="25" t="n"/>
      <c r="N287" s="33">
        <f>IF(AND(L287="",M287=""),"",(N(L287)*60+N(M287))/86400)</f>
        <v/>
      </c>
      <c r="O287" s="27" t="n"/>
      <c r="P287" s="27" t="n"/>
      <c r="Q287" s="27" t="n"/>
      <c r="R287" s="27" t="n"/>
      <c r="S287" s="27" t="n"/>
      <c r="T287" s="27" t="n"/>
      <c r="U287" s="28" t="n"/>
      <c r="V287" s="28" t="n"/>
      <c r="W287" s="32">
        <f>IF(LEN(R287)=0,"",IF(ISNUMBER(V287),"Closed",IF(AND(ISNUMBER(U287),U287&lt;TODAY()),"Overdue","Open")))</f>
        <v/>
      </c>
      <c r="X287" s="27" t="n"/>
      <c r="Y287" s="27" t="n"/>
    </row>
    <row r="288">
      <c r="A288" s="28" t="n"/>
      <c r="B288" s="29" t="n"/>
      <c r="C288" s="27" t="n"/>
      <c r="D288" s="27" t="n"/>
      <c r="E288" s="27" t="n"/>
      <c r="F288" s="27" t="n"/>
      <c r="G288" s="27" t="n"/>
      <c r="H288" s="27" t="n"/>
      <c r="I288" s="27" t="n"/>
      <c r="J288" s="25" t="n"/>
      <c r="K288" s="25" t="n"/>
      <c r="L288" s="25" t="n"/>
      <c r="M288" s="25" t="n"/>
      <c r="N288" s="33">
        <f>IF(AND(L288="",M288=""),"",(N(L288)*60+N(M288))/86400)</f>
        <v/>
      </c>
      <c r="O288" s="27" t="n"/>
      <c r="P288" s="27" t="n"/>
      <c r="Q288" s="27" t="n"/>
      <c r="R288" s="27" t="n"/>
      <c r="S288" s="27" t="n"/>
      <c r="T288" s="27" t="n"/>
      <c r="U288" s="28" t="n"/>
      <c r="V288" s="28" t="n"/>
      <c r="W288" s="32">
        <f>IF(LEN(R288)=0,"",IF(ISNUMBER(V288),"Closed",IF(AND(ISNUMBER(U288),U288&lt;TODAY()),"Overdue","Open")))</f>
        <v/>
      </c>
      <c r="X288" s="27" t="n"/>
      <c r="Y288" s="27" t="n"/>
    </row>
    <row r="289">
      <c r="A289" s="28" t="n"/>
      <c r="B289" s="29" t="n"/>
      <c r="C289" s="27" t="n"/>
      <c r="D289" s="27" t="n"/>
      <c r="E289" s="27" t="n"/>
      <c r="F289" s="27" t="n"/>
      <c r="G289" s="27" t="n"/>
      <c r="H289" s="27" t="n"/>
      <c r="I289" s="27" t="n"/>
      <c r="J289" s="25" t="n"/>
      <c r="K289" s="25" t="n"/>
      <c r="L289" s="25" t="n"/>
      <c r="M289" s="25" t="n"/>
      <c r="N289" s="33">
        <f>IF(AND(L289="",M289=""),"",(N(L289)*60+N(M289))/86400)</f>
        <v/>
      </c>
      <c r="O289" s="27" t="n"/>
      <c r="P289" s="27" t="n"/>
      <c r="Q289" s="27" t="n"/>
      <c r="R289" s="27" t="n"/>
      <c r="S289" s="27" t="n"/>
      <c r="T289" s="27" t="n"/>
      <c r="U289" s="28" t="n"/>
      <c r="V289" s="28" t="n"/>
      <c r="W289" s="32">
        <f>IF(LEN(R289)=0,"",IF(ISNUMBER(V289),"Closed",IF(AND(ISNUMBER(U289),U289&lt;TODAY()),"Overdue","Open")))</f>
        <v/>
      </c>
      <c r="X289" s="27" t="n"/>
      <c r="Y289" s="27" t="n"/>
    </row>
    <row r="290">
      <c r="A290" s="28" t="n"/>
      <c r="B290" s="29" t="n"/>
      <c r="C290" s="27" t="n"/>
      <c r="D290" s="27" t="n"/>
      <c r="E290" s="27" t="n"/>
      <c r="F290" s="27" t="n"/>
      <c r="G290" s="27" t="n"/>
      <c r="H290" s="27" t="n"/>
      <c r="I290" s="27" t="n"/>
      <c r="J290" s="25" t="n"/>
      <c r="K290" s="25" t="n"/>
      <c r="L290" s="25" t="n"/>
      <c r="M290" s="25" t="n"/>
      <c r="N290" s="33">
        <f>IF(AND(L290="",M290=""),"",(N(L290)*60+N(M290))/86400)</f>
        <v/>
      </c>
      <c r="O290" s="27" t="n"/>
      <c r="P290" s="27" t="n"/>
      <c r="Q290" s="27" t="n"/>
      <c r="R290" s="27" t="n"/>
      <c r="S290" s="27" t="n"/>
      <c r="T290" s="27" t="n"/>
      <c r="U290" s="28" t="n"/>
      <c r="V290" s="28" t="n"/>
      <c r="W290" s="32">
        <f>IF(LEN(R290)=0,"",IF(ISNUMBER(V290),"Closed",IF(AND(ISNUMBER(U290),U290&lt;TODAY()),"Overdue","Open")))</f>
        <v/>
      </c>
      <c r="X290" s="27" t="n"/>
      <c r="Y290" s="27" t="n"/>
    </row>
    <row r="291">
      <c r="A291" s="28" t="n"/>
      <c r="B291" s="29" t="n"/>
      <c r="C291" s="27" t="n"/>
      <c r="D291" s="27" t="n"/>
      <c r="E291" s="27" t="n"/>
      <c r="F291" s="27" t="n"/>
      <c r="G291" s="27" t="n"/>
      <c r="H291" s="27" t="n"/>
      <c r="I291" s="27" t="n"/>
      <c r="J291" s="25" t="n"/>
      <c r="K291" s="25" t="n"/>
      <c r="L291" s="25" t="n"/>
      <c r="M291" s="25" t="n"/>
      <c r="N291" s="33">
        <f>IF(AND(L291="",M291=""),"",(N(L291)*60+N(M291))/86400)</f>
        <v/>
      </c>
      <c r="O291" s="27" t="n"/>
      <c r="P291" s="27" t="n"/>
      <c r="Q291" s="27" t="n"/>
      <c r="R291" s="27" t="n"/>
      <c r="S291" s="27" t="n"/>
      <c r="T291" s="27" t="n"/>
      <c r="U291" s="28" t="n"/>
      <c r="V291" s="28" t="n"/>
      <c r="W291" s="32">
        <f>IF(LEN(R291)=0,"",IF(ISNUMBER(V291),"Closed",IF(AND(ISNUMBER(U291),U291&lt;TODAY()),"Overdue","Open")))</f>
        <v/>
      </c>
      <c r="X291" s="27" t="n"/>
      <c r="Y291" s="27" t="n"/>
    </row>
    <row r="292">
      <c r="A292" s="28" t="n"/>
      <c r="B292" s="29" t="n"/>
      <c r="C292" s="27" t="n"/>
      <c r="D292" s="27" t="n"/>
      <c r="E292" s="27" t="n"/>
      <c r="F292" s="27" t="n"/>
      <c r="G292" s="27" t="n"/>
      <c r="H292" s="27" t="n"/>
      <c r="I292" s="27" t="n"/>
      <c r="J292" s="25" t="n"/>
      <c r="K292" s="25" t="n"/>
      <c r="L292" s="25" t="n"/>
      <c r="M292" s="25" t="n"/>
      <c r="N292" s="33">
        <f>IF(AND(L292="",M292=""),"",(N(L292)*60+N(M292))/86400)</f>
        <v/>
      </c>
      <c r="O292" s="27" t="n"/>
      <c r="P292" s="27" t="n"/>
      <c r="Q292" s="27" t="n"/>
      <c r="R292" s="27" t="n"/>
      <c r="S292" s="27" t="n"/>
      <c r="T292" s="27" t="n"/>
      <c r="U292" s="28" t="n"/>
      <c r="V292" s="28" t="n"/>
      <c r="W292" s="32">
        <f>IF(LEN(R292)=0,"",IF(ISNUMBER(V292),"Closed",IF(AND(ISNUMBER(U292),U292&lt;TODAY()),"Overdue","Open")))</f>
        <v/>
      </c>
      <c r="X292" s="27" t="n"/>
      <c r="Y292" s="27" t="n"/>
    </row>
    <row r="293">
      <c r="A293" s="28" t="n"/>
      <c r="B293" s="29" t="n"/>
      <c r="C293" s="27" t="n"/>
      <c r="D293" s="27" t="n"/>
      <c r="E293" s="27" t="n"/>
      <c r="F293" s="27" t="n"/>
      <c r="G293" s="27" t="n"/>
      <c r="H293" s="27" t="n"/>
      <c r="I293" s="27" t="n"/>
      <c r="J293" s="25" t="n"/>
      <c r="K293" s="25" t="n"/>
      <c r="L293" s="25" t="n"/>
      <c r="M293" s="25" t="n"/>
      <c r="N293" s="33">
        <f>IF(AND(L293="",M293=""),"",(N(L293)*60+N(M293))/86400)</f>
        <v/>
      </c>
      <c r="O293" s="27" t="n"/>
      <c r="P293" s="27" t="n"/>
      <c r="Q293" s="27" t="n"/>
      <c r="R293" s="27" t="n"/>
      <c r="S293" s="27" t="n"/>
      <c r="T293" s="27" t="n"/>
      <c r="U293" s="28" t="n"/>
      <c r="V293" s="28" t="n"/>
      <c r="W293" s="32">
        <f>IF(LEN(R293)=0,"",IF(ISNUMBER(V293),"Closed",IF(AND(ISNUMBER(U293),U293&lt;TODAY()),"Overdue","Open")))</f>
        <v/>
      </c>
      <c r="X293" s="27" t="n"/>
      <c r="Y293" s="27" t="n"/>
    </row>
    <row r="294">
      <c r="A294" s="28" t="n"/>
      <c r="B294" s="29" t="n"/>
      <c r="C294" s="27" t="n"/>
      <c r="D294" s="27" t="n"/>
      <c r="E294" s="27" t="n"/>
      <c r="F294" s="27" t="n"/>
      <c r="G294" s="27" t="n"/>
      <c r="H294" s="27" t="n"/>
      <c r="I294" s="27" t="n"/>
      <c r="J294" s="25" t="n"/>
      <c r="K294" s="25" t="n"/>
      <c r="L294" s="25" t="n"/>
      <c r="M294" s="25" t="n"/>
      <c r="N294" s="33">
        <f>IF(AND(L294="",M294=""),"",(N(L294)*60+N(M294))/86400)</f>
        <v/>
      </c>
      <c r="O294" s="27" t="n"/>
      <c r="P294" s="27" t="n"/>
      <c r="Q294" s="27" t="n"/>
      <c r="R294" s="27" t="n"/>
      <c r="S294" s="27" t="n"/>
      <c r="T294" s="27" t="n"/>
      <c r="U294" s="28" t="n"/>
      <c r="V294" s="28" t="n"/>
      <c r="W294" s="32">
        <f>IF(LEN(R294)=0,"",IF(ISNUMBER(V294),"Closed",IF(AND(ISNUMBER(U294),U294&lt;TODAY()),"Overdue","Open")))</f>
        <v/>
      </c>
      <c r="X294" s="27" t="n"/>
      <c r="Y294" s="27" t="n"/>
    </row>
    <row r="295">
      <c r="A295" s="28" t="n"/>
      <c r="B295" s="29" t="n"/>
      <c r="C295" s="27" t="n"/>
      <c r="D295" s="27" t="n"/>
      <c r="E295" s="27" t="n"/>
      <c r="F295" s="27" t="n"/>
      <c r="G295" s="27" t="n"/>
      <c r="H295" s="27" t="n"/>
      <c r="I295" s="27" t="n"/>
      <c r="J295" s="25" t="n"/>
      <c r="K295" s="25" t="n"/>
      <c r="L295" s="25" t="n"/>
      <c r="M295" s="25" t="n"/>
      <c r="N295" s="33">
        <f>IF(AND(L295="",M295=""),"",(N(L295)*60+N(M295))/86400)</f>
        <v/>
      </c>
      <c r="O295" s="27" t="n"/>
      <c r="P295" s="27" t="n"/>
      <c r="Q295" s="27" t="n"/>
      <c r="R295" s="27" t="n"/>
      <c r="S295" s="27" t="n"/>
      <c r="T295" s="27" t="n"/>
      <c r="U295" s="28" t="n"/>
      <c r="V295" s="28" t="n"/>
      <c r="W295" s="32">
        <f>IF(LEN(R295)=0,"",IF(ISNUMBER(V295),"Closed",IF(AND(ISNUMBER(U295),U295&lt;TODAY()),"Overdue","Open")))</f>
        <v/>
      </c>
      <c r="X295" s="27" t="n"/>
      <c r="Y295" s="27" t="n"/>
    </row>
    <row r="296">
      <c r="A296" s="28" t="n"/>
      <c r="B296" s="29" t="n"/>
      <c r="C296" s="27" t="n"/>
      <c r="D296" s="27" t="n"/>
      <c r="E296" s="27" t="n"/>
      <c r="F296" s="27" t="n"/>
      <c r="G296" s="27" t="n"/>
      <c r="H296" s="27" t="n"/>
      <c r="I296" s="27" t="n"/>
      <c r="J296" s="25" t="n"/>
      <c r="K296" s="25" t="n"/>
      <c r="L296" s="25" t="n"/>
      <c r="M296" s="25" t="n"/>
      <c r="N296" s="33">
        <f>IF(AND(L296="",M296=""),"",(N(L296)*60+N(M296))/86400)</f>
        <v/>
      </c>
      <c r="O296" s="27" t="n"/>
      <c r="P296" s="27" t="n"/>
      <c r="Q296" s="27" t="n"/>
      <c r="R296" s="27" t="n"/>
      <c r="S296" s="27" t="n"/>
      <c r="T296" s="27" t="n"/>
      <c r="U296" s="28" t="n"/>
      <c r="V296" s="28" t="n"/>
      <c r="W296" s="32">
        <f>IF(LEN(R296)=0,"",IF(ISNUMBER(V296),"Closed",IF(AND(ISNUMBER(U296),U296&lt;TODAY()),"Overdue","Open")))</f>
        <v/>
      </c>
      <c r="X296" s="27" t="n"/>
      <c r="Y296" s="27" t="n"/>
    </row>
    <row r="297">
      <c r="A297" s="28" t="n"/>
      <c r="B297" s="29" t="n"/>
      <c r="C297" s="27" t="n"/>
      <c r="D297" s="27" t="n"/>
      <c r="E297" s="27" t="n"/>
      <c r="F297" s="27" t="n"/>
      <c r="G297" s="27" t="n"/>
      <c r="H297" s="27" t="n"/>
      <c r="I297" s="27" t="n"/>
      <c r="J297" s="25" t="n"/>
      <c r="K297" s="25" t="n"/>
      <c r="L297" s="25" t="n"/>
      <c r="M297" s="25" t="n"/>
      <c r="N297" s="33">
        <f>IF(AND(L297="",M297=""),"",(N(L297)*60+N(M297))/86400)</f>
        <v/>
      </c>
      <c r="O297" s="27" t="n"/>
      <c r="P297" s="27" t="n"/>
      <c r="Q297" s="27" t="n"/>
      <c r="R297" s="27" t="n"/>
      <c r="S297" s="27" t="n"/>
      <c r="T297" s="27" t="n"/>
      <c r="U297" s="28" t="n"/>
      <c r="V297" s="28" t="n"/>
      <c r="W297" s="32">
        <f>IF(LEN(R297)=0,"",IF(ISNUMBER(V297),"Closed",IF(AND(ISNUMBER(U297),U297&lt;TODAY()),"Overdue","Open")))</f>
        <v/>
      </c>
      <c r="X297" s="27" t="n"/>
      <c r="Y297" s="27" t="n"/>
    </row>
    <row r="298">
      <c r="A298" s="28" t="n"/>
      <c r="B298" s="29" t="n"/>
      <c r="C298" s="27" t="n"/>
      <c r="D298" s="27" t="n"/>
      <c r="E298" s="27" t="n"/>
      <c r="F298" s="27" t="n"/>
      <c r="G298" s="27" t="n"/>
      <c r="H298" s="27" t="n"/>
      <c r="I298" s="27" t="n"/>
      <c r="J298" s="25" t="n"/>
      <c r="K298" s="25" t="n"/>
      <c r="L298" s="25" t="n"/>
      <c r="M298" s="25" t="n"/>
      <c r="N298" s="33">
        <f>IF(AND(L298="",M298=""),"",(N(L298)*60+N(M298))/86400)</f>
        <v/>
      </c>
      <c r="O298" s="27" t="n"/>
      <c r="P298" s="27" t="n"/>
      <c r="Q298" s="27" t="n"/>
      <c r="R298" s="27" t="n"/>
      <c r="S298" s="27" t="n"/>
      <c r="T298" s="27" t="n"/>
      <c r="U298" s="28" t="n"/>
      <c r="V298" s="28" t="n"/>
      <c r="W298" s="32">
        <f>IF(LEN(R298)=0,"",IF(ISNUMBER(V298),"Closed",IF(AND(ISNUMBER(U298),U298&lt;TODAY()),"Overdue","Open")))</f>
        <v/>
      </c>
      <c r="X298" s="27" t="n"/>
      <c r="Y298" s="27" t="n"/>
    </row>
    <row r="299">
      <c r="A299" s="28" t="n"/>
      <c r="B299" s="29" t="n"/>
      <c r="C299" s="27" t="n"/>
      <c r="D299" s="27" t="n"/>
      <c r="E299" s="27" t="n"/>
      <c r="F299" s="27" t="n"/>
      <c r="G299" s="27" t="n"/>
      <c r="H299" s="27" t="n"/>
      <c r="I299" s="27" t="n"/>
      <c r="J299" s="25" t="n"/>
      <c r="K299" s="25" t="n"/>
      <c r="L299" s="25" t="n"/>
      <c r="M299" s="25" t="n"/>
      <c r="N299" s="33">
        <f>IF(AND(L299="",M299=""),"",(N(L299)*60+N(M299))/86400)</f>
        <v/>
      </c>
      <c r="O299" s="27" t="n"/>
      <c r="P299" s="27" t="n"/>
      <c r="Q299" s="27" t="n"/>
      <c r="R299" s="27" t="n"/>
      <c r="S299" s="27" t="n"/>
      <c r="T299" s="27" t="n"/>
      <c r="U299" s="28" t="n"/>
      <c r="V299" s="28" t="n"/>
      <c r="W299" s="32">
        <f>IF(LEN(R299)=0,"",IF(ISNUMBER(V299),"Closed",IF(AND(ISNUMBER(U299),U299&lt;TODAY()),"Overdue","Open")))</f>
        <v/>
      </c>
      <c r="X299" s="27" t="n"/>
      <c r="Y299" s="27" t="n"/>
    </row>
    <row r="300">
      <c r="A300" s="28" t="n"/>
      <c r="B300" s="29" t="n"/>
      <c r="C300" s="27" t="n"/>
      <c r="D300" s="27" t="n"/>
      <c r="E300" s="27" t="n"/>
      <c r="F300" s="27" t="n"/>
      <c r="G300" s="27" t="n"/>
      <c r="H300" s="27" t="n"/>
      <c r="I300" s="27" t="n"/>
      <c r="J300" s="25" t="n"/>
      <c r="K300" s="25" t="n"/>
      <c r="L300" s="25" t="n"/>
      <c r="M300" s="25" t="n"/>
      <c r="N300" s="33">
        <f>IF(AND(L300="",M300=""),"",(N(L300)*60+N(M300))/86400)</f>
        <v/>
      </c>
      <c r="O300" s="27" t="n"/>
      <c r="P300" s="27" t="n"/>
      <c r="Q300" s="27" t="n"/>
      <c r="R300" s="27" t="n"/>
      <c r="S300" s="27" t="n"/>
      <c r="T300" s="27" t="n"/>
      <c r="U300" s="28" t="n"/>
      <c r="V300" s="28" t="n"/>
      <c r="W300" s="32">
        <f>IF(LEN(R300)=0,"",IF(ISNUMBER(V300),"Closed",IF(AND(ISNUMBER(U300),U300&lt;TODAY()),"Overdue","Open")))</f>
        <v/>
      </c>
      <c r="X300" s="27" t="n"/>
      <c r="Y300" s="27" t="n"/>
    </row>
    <row r="301">
      <c r="A301" s="28" t="n"/>
      <c r="B301" s="29" t="n"/>
      <c r="C301" s="27" t="n"/>
      <c r="D301" s="27" t="n"/>
      <c r="E301" s="27" t="n"/>
      <c r="F301" s="27" t="n"/>
      <c r="G301" s="27" t="n"/>
      <c r="H301" s="27" t="n"/>
      <c r="I301" s="27" t="n"/>
      <c r="J301" s="25" t="n"/>
      <c r="K301" s="25" t="n"/>
      <c r="L301" s="25" t="n"/>
      <c r="M301" s="25" t="n"/>
      <c r="N301" s="33">
        <f>IF(AND(L301="",M301=""),"",(N(L301)*60+N(M301))/86400)</f>
        <v/>
      </c>
      <c r="O301" s="27" t="n"/>
      <c r="P301" s="27" t="n"/>
      <c r="Q301" s="27" t="n"/>
      <c r="R301" s="27" t="n"/>
      <c r="S301" s="27" t="n"/>
      <c r="T301" s="27" t="n"/>
      <c r="U301" s="28" t="n"/>
      <c r="V301" s="28" t="n"/>
      <c r="W301" s="32">
        <f>IF(LEN(R301)=0,"",IF(ISNUMBER(V301),"Closed",IF(AND(ISNUMBER(U301),U301&lt;TODAY()),"Overdue","Open")))</f>
        <v/>
      </c>
      <c r="X301" s="27" t="n"/>
      <c r="Y301" s="27" t="n"/>
    </row>
    <row r="302">
      <c r="A302" s="28" t="n"/>
      <c r="B302" s="29" t="n"/>
      <c r="C302" s="27" t="n"/>
      <c r="D302" s="27" t="n"/>
      <c r="E302" s="27" t="n"/>
      <c r="F302" s="27" t="n"/>
      <c r="G302" s="27" t="n"/>
      <c r="H302" s="27" t="n"/>
      <c r="I302" s="27" t="n"/>
      <c r="J302" s="25" t="n"/>
      <c r="K302" s="25" t="n"/>
      <c r="L302" s="25" t="n"/>
      <c r="M302" s="25" t="n"/>
      <c r="N302" s="33">
        <f>IF(AND(L302="",M302=""),"",(N(L302)*60+N(M302))/86400)</f>
        <v/>
      </c>
      <c r="O302" s="27" t="n"/>
      <c r="P302" s="27" t="n"/>
      <c r="Q302" s="27" t="n"/>
      <c r="R302" s="27" t="n"/>
      <c r="S302" s="27" t="n"/>
      <c r="T302" s="27" t="n"/>
      <c r="U302" s="28" t="n"/>
      <c r="V302" s="28" t="n"/>
      <c r="W302" s="32">
        <f>IF(LEN(R302)=0,"",IF(ISNUMBER(V302),"Closed",IF(AND(ISNUMBER(U302),U302&lt;TODAY()),"Overdue","Open")))</f>
        <v/>
      </c>
      <c r="X302" s="27" t="n"/>
      <c r="Y302" s="27" t="n"/>
    </row>
    <row r="303">
      <c r="A303" s="28" t="n"/>
      <c r="B303" s="29" t="n"/>
      <c r="C303" s="27" t="n"/>
      <c r="D303" s="27" t="n"/>
      <c r="E303" s="27" t="n"/>
      <c r="F303" s="27" t="n"/>
      <c r="G303" s="27" t="n"/>
      <c r="H303" s="27" t="n"/>
      <c r="I303" s="27" t="n"/>
      <c r="J303" s="25" t="n"/>
      <c r="K303" s="25" t="n"/>
      <c r="L303" s="25" t="n"/>
      <c r="M303" s="25" t="n"/>
      <c r="N303" s="33">
        <f>IF(AND(L303="",M303=""),"",(N(L303)*60+N(M303))/86400)</f>
        <v/>
      </c>
      <c r="O303" s="27" t="n"/>
      <c r="P303" s="27" t="n"/>
      <c r="Q303" s="27" t="n"/>
      <c r="R303" s="27" t="n"/>
      <c r="S303" s="27" t="n"/>
      <c r="T303" s="27" t="n"/>
      <c r="U303" s="28" t="n"/>
      <c r="V303" s="28" t="n"/>
      <c r="W303" s="32">
        <f>IF(LEN(R303)=0,"",IF(ISNUMBER(V303),"Closed",IF(AND(ISNUMBER(U303),U303&lt;TODAY()),"Overdue","Open")))</f>
        <v/>
      </c>
      <c r="X303" s="27" t="n"/>
      <c r="Y303" s="27" t="n"/>
    </row>
    <row r="304">
      <c r="A304" s="28" t="n"/>
      <c r="B304" s="29" t="n"/>
      <c r="C304" s="27" t="n"/>
      <c r="D304" s="27" t="n"/>
      <c r="E304" s="27" t="n"/>
      <c r="F304" s="27" t="n"/>
      <c r="G304" s="27" t="n"/>
      <c r="H304" s="27" t="n"/>
      <c r="I304" s="27" t="n"/>
      <c r="J304" s="25" t="n"/>
      <c r="K304" s="25" t="n"/>
      <c r="L304" s="25" t="n"/>
      <c r="M304" s="25" t="n"/>
      <c r="N304" s="33">
        <f>IF(AND(L304="",M304=""),"",(N(L304)*60+N(M304))/86400)</f>
        <v/>
      </c>
      <c r="O304" s="27" t="n"/>
      <c r="P304" s="27" t="n"/>
      <c r="Q304" s="27" t="n"/>
      <c r="R304" s="27" t="n"/>
      <c r="S304" s="27" t="n"/>
      <c r="T304" s="27" t="n"/>
      <c r="U304" s="28" t="n"/>
      <c r="V304" s="28" t="n"/>
      <c r="W304" s="32">
        <f>IF(LEN(R304)=0,"",IF(ISNUMBER(V304),"Closed",IF(AND(ISNUMBER(U304),U304&lt;TODAY()),"Overdue","Open")))</f>
        <v/>
      </c>
      <c r="X304" s="27" t="n"/>
      <c r="Y304" s="27" t="n"/>
    </row>
    <row r="305">
      <c r="A305" s="28" t="n"/>
      <c r="B305" s="29" t="n"/>
      <c r="C305" s="27" t="n"/>
      <c r="D305" s="27" t="n"/>
      <c r="E305" s="27" t="n"/>
      <c r="F305" s="27" t="n"/>
      <c r="G305" s="27" t="n"/>
      <c r="H305" s="27" t="n"/>
      <c r="I305" s="27" t="n"/>
      <c r="J305" s="25" t="n"/>
      <c r="K305" s="25" t="n"/>
      <c r="L305" s="25" t="n"/>
      <c r="M305" s="25" t="n"/>
      <c r="N305" s="33">
        <f>IF(AND(L305="",M305=""),"",(N(L305)*60+N(M305))/86400)</f>
        <v/>
      </c>
      <c r="O305" s="27" t="n"/>
      <c r="P305" s="27" t="n"/>
      <c r="Q305" s="27" t="n"/>
      <c r="R305" s="27" t="n"/>
      <c r="S305" s="27" t="n"/>
      <c r="T305" s="27" t="n"/>
      <c r="U305" s="28" t="n"/>
      <c r="V305" s="28" t="n"/>
      <c r="W305" s="32">
        <f>IF(LEN(R305)=0,"",IF(ISNUMBER(V305),"Closed",IF(AND(ISNUMBER(U305),U305&lt;TODAY()),"Overdue","Open")))</f>
        <v/>
      </c>
      <c r="X305" s="27" t="n"/>
      <c r="Y305" s="27" t="n"/>
    </row>
    <row r="306">
      <c r="A306" s="28" t="n"/>
      <c r="B306" s="29" t="n"/>
      <c r="C306" s="27" t="n"/>
      <c r="D306" s="27" t="n"/>
      <c r="E306" s="27" t="n"/>
      <c r="F306" s="27" t="n"/>
      <c r="G306" s="27" t="n"/>
      <c r="H306" s="27" t="n"/>
      <c r="I306" s="27" t="n"/>
      <c r="J306" s="25" t="n"/>
      <c r="K306" s="25" t="n"/>
      <c r="L306" s="25" t="n"/>
      <c r="M306" s="25" t="n"/>
      <c r="N306" s="33">
        <f>IF(AND(L306="",M306=""),"",(N(L306)*60+N(M306))/86400)</f>
        <v/>
      </c>
      <c r="O306" s="27" t="n"/>
      <c r="P306" s="27" t="n"/>
      <c r="Q306" s="27" t="n"/>
      <c r="R306" s="27" t="n"/>
      <c r="S306" s="27" t="n"/>
      <c r="T306" s="27" t="n"/>
      <c r="U306" s="28" t="n"/>
      <c r="V306" s="28" t="n"/>
      <c r="W306" s="32">
        <f>IF(LEN(R306)=0,"",IF(ISNUMBER(V306),"Closed",IF(AND(ISNUMBER(U306),U306&lt;TODAY()),"Overdue","Open")))</f>
        <v/>
      </c>
      <c r="X306" s="27" t="n"/>
      <c r="Y306" s="27" t="n"/>
    </row>
    <row r="307">
      <c r="A307" s="28" t="n"/>
      <c r="B307" s="29" t="n"/>
      <c r="C307" s="27" t="n"/>
      <c r="D307" s="27" t="n"/>
      <c r="E307" s="27" t="n"/>
      <c r="F307" s="27" t="n"/>
      <c r="G307" s="27" t="n"/>
      <c r="H307" s="27" t="n"/>
      <c r="I307" s="27" t="n"/>
      <c r="J307" s="25" t="n"/>
      <c r="K307" s="25" t="n"/>
      <c r="L307" s="25" t="n"/>
      <c r="M307" s="25" t="n"/>
      <c r="N307" s="33">
        <f>IF(AND(L307="",M307=""),"",(N(L307)*60+N(M307))/86400)</f>
        <v/>
      </c>
      <c r="O307" s="27" t="n"/>
      <c r="P307" s="27" t="n"/>
      <c r="Q307" s="27" t="n"/>
      <c r="R307" s="27" t="n"/>
      <c r="S307" s="27" t="n"/>
      <c r="T307" s="27" t="n"/>
      <c r="U307" s="28" t="n"/>
      <c r="V307" s="28" t="n"/>
      <c r="W307" s="32">
        <f>IF(LEN(R307)=0,"",IF(ISNUMBER(V307),"Closed",IF(AND(ISNUMBER(U307),U307&lt;TODAY()),"Overdue","Open")))</f>
        <v/>
      </c>
      <c r="X307" s="27" t="n"/>
      <c r="Y307" s="27" t="n"/>
    </row>
    <row r="308">
      <c r="A308" s="28" t="n"/>
      <c r="B308" s="29" t="n"/>
      <c r="C308" s="27" t="n"/>
      <c r="D308" s="27" t="n"/>
      <c r="E308" s="27" t="n"/>
      <c r="F308" s="27" t="n"/>
      <c r="G308" s="27" t="n"/>
      <c r="H308" s="27" t="n"/>
      <c r="I308" s="27" t="n"/>
      <c r="J308" s="25" t="n"/>
      <c r="K308" s="25" t="n"/>
      <c r="L308" s="25" t="n"/>
      <c r="M308" s="25" t="n"/>
      <c r="N308" s="33">
        <f>IF(AND(L308="",M308=""),"",(N(L308)*60+N(M308))/86400)</f>
        <v/>
      </c>
      <c r="O308" s="27" t="n"/>
      <c r="P308" s="27" t="n"/>
      <c r="Q308" s="27" t="n"/>
      <c r="R308" s="27" t="n"/>
      <c r="S308" s="27" t="n"/>
      <c r="T308" s="27" t="n"/>
      <c r="U308" s="28" t="n"/>
      <c r="V308" s="28" t="n"/>
      <c r="W308" s="32">
        <f>IF(LEN(R308)=0,"",IF(ISNUMBER(V308),"Closed",IF(AND(ISNUMBER(U308),U308&lt;TODAY()),"Overdue","Open")))</f>
        <v/>
      </c>
      <c r="X308" s="27" t="n"/>
      <c r="Y308" s="27" t="n"/>
    </row>
    <row r="309">
      <c r="A309" s="28" t="n"/>
      <c r="B309" s="29" t="n"/>
      <c r="C309" s="27" t="n"/>
      <c r="D309" s="27" t="n"/>
      <c r="E309" s="27" t="n"/>
      <c r="F309" s="27" t="n"/>
      <c r="G309" s="27" t="n"/>
      <c r="H309" s="27" t="n"/>
      <c r="I309" s="27" t="n"/>
      <c r="J309" s="25" t="n"/>
      <c r="K309" s="25" t="n"/>
      <c r="L309" s="25" t="n"/>
      <c r="M309" s="25" t="n"/>
      <c r="N309" s="33">
        <f>IF(AND(L309="",M309=""),"",(N(L309)*60+N(M309))/86400)</f>
        <v/>
      </c>
      <c r="O309" s="27" t="n"/>
      <c r="P309" s="27" t="n"/>
      <c r="Q309" s="27" t="n"/>
      <c r="R309" s="27" t="n"/>
      <c r="S309" s="27" t="n"/>
      <c r="T309" s="27" t="n"/>
      <c r="U309" s="28" t="n"/>
      <c r="V309" s="28" t="n"/>
      <c r="W309" s="32">
        <f>IF(LEN(R309)=0,"",IF(ISNUMBER(V309),"Closed",IF(AND(ISNUMBER(U309),U309&lt;TODAY()),"Overdue","Open")))</f>
        <v/>
      </c>
      <c r="X309" s="27" t="n"/>
      <c r="Y309" s="27" t="n"/>
    </row>
    <row r="310">
      <c r="A310" s="28" t="n"/>
      <c r="B310" s="29" t="n"/>
      <c r="C310" s="27" t="n"/>
      <c r="D310" s="27" t="n"/>
      <c r="E310" s="27" t="n"/>
      <c r="F310" s="27" t="n"/>
      <c r="G310" s="27" t="n"/>
      <c r="H310" s="27" t="n"/>
      <c r="I310" s="27" t="n"/>
      <c r="J310" s="25" t="n"/>
      <c r="K310" s="25" t="n"/>
      <c r="L310" s="25" t="n"/>
      <c r="M310" s="25" t="n"/>
      <c r="N310" s="33">
        <f>IF(AND(L310="",M310=""),"",(N(L310)*60+N(M310))/86400)</f>
        <v/>
      </c>
      <c r="O310" s="27" t="n"/>
      <c r="P310" s="27" t="n"/>
      <c r="Q310" s="27" t="n"/>
      <c r="R310" s="27" t="n"/>
      <c r="S310" s="27" t="n"/>
      <c r="T310" s="27" t="n"/>
      <c r="U310" s="28" t="n"/>
      <c r="V310" s="28" t="n"/>
      <c r="W310" s="32">
        <f>IF(LEN(R310)=0,"",IF(ISNUMBER(V310),"Closed",IF(AND(ISNUMBER(U310),U310&lt;TODAY()),"Overdue","Open")))</f>
        <v/>
      </c>
      <c r="X310" s="27" t="n"/>
      <c r="Y310" s="27" t="n"/>
    </row>
    <row r="311">
      <c r="A311" s="28" t="n"/>
      <c r="B311" s="29" t="n"/>
      <c r="C311" s="27" t="n"/>
      <c r="D311" s="27" t="n"/>
      <c r="E311" s="27" t="n"/>
      <c r="F311" s="27" t="n"/>
      <c r="G311" s="27" t="n"/>
      <c r="H311" s="27" t="n"/>
      <c r="I311" s="27" t="n"/>
      <c r="J311" s="25" t="n"/>
      <c r="K311" s="25" t="n"/>
      <c r="L311" s="25" t="n"/>
      <c r="M311" s="25" t="n"/>
      <c r="N311" s="33">
        <f>IF(AND(L311="",M311=""),"",(N(L311)*60+N(M311))/86400)</f>
        <v/>
      </c>
      <c r="O311" s="27" t="n"/>
      <c r="P311" s="27" t="n"/>
      <c r="Q311" s="27" t="n"/>
      <c r="R311" s="27" t="n"/>
      <c r="S311" s="27" t="n"/>
      <c r="T311" s="27" t="n"/>
      <c r="U311" s="28" t="n"/>
      <c r="V311" s="28" t="n"/>
      <c r="W311" s="32">
        <f>IF(LEN(R311)=0,"",IF(ISNUMBER(V311),"Closed",IF(AND(ISNUMBER(U311),U311&lt;TODAY()),"Overdue","Open")))</f>
        <v/>
      </c>
      <c r="X311" s="27" t="n"/>
      <c r="Y311" s="27" t="n"/>
    </row>
    <row r="312">
      <c r="A312" s="28" t="n"/>
      <c r="B312" s="29" t="n"/>
      <c r="C312" s="27" t="n"/>
      <c r="D312" s="27" t="n"/>
      <c r="E312" s="27" t="n"/>
      <c r="F312" s="27" t="n"/>
      <c r="G312" s="27" t="n"/>
      <c r="H312" s="27" t="n"/>
      <c r="I312" s="27" t="n"/>
      <c r="J312" s="25" t="n"/>
      <c r="K312" s="25" t="n"/>
      <c r="L312" s="25" t="n"/>
      <c r="M312" s="25" t="n"/>
      <c r="N312" s="33">
        <f>IF(AND(L312="",M312=""),"",(N(L312)*60+N(M312))/86400)</f>
        <v/>
      </c>
      <c r="O312" s="27" t="n"/>
      <c r="P312" s="27" t="n"/>
      <c r="Q312" s="27" t="n"/>
      <c r="R312" s="27" t="n"/>
      <c r="S312" s="27" t="n"/>
      <c r="T312" s="27" t="n"/>
      <c r="U312" s="28" t="n"/>
      <c r="V312" s="28" t="n"/>
      <c r="W312" s="32">
        <f>IF(LEN(R312)=0,"",IF(ISNUMBER(V312),"Closed",IF(AND(ISNUMBER(U312),U312&lt;TODAY()),"Overdue","Open")))</f>
        <v/>
      </c>
      <c r="X312" s="27" t="n"/>
      <c r="Y312" s="27" t="n"/>
    </row>
    <row r="313">
      <c r="A313" s="28" t="n"/>
      <c r="B313" s="29" t="n"/>
      <c r="C313" s="27" t="n"/>
      <c r="D313" s="27" t="n"/>
      <c r="E313" s="27" t="n"/>
      <c r="F313" s="27" t="n"/>
      <c r="G313" s="27" t="n"/>
      <c r="H313" s="27" t="n"/>
      <c r="I313" s="27" t="n"/>
      <c r="J313" s="25" t="n"/>
      <c r="K313" s="25" t="n"/>
      <c r="L313" s="25" t="n"/>
      <c r="M313" s="25" t="n"/>
      <c r="N313" s="33">
        <f>IF(AND(L313="",M313=""),"",(N(L313)*60+N(M313))/86400)</f>
        <v/>
      </c>
      <c r="O313" s="27" t="n"/>
      <c r="P313" s="27" t="n"/>
      <c r="Q313" s="27" t="n"/>
      <c r="R313" s="27" t="n"/>
      <c r="S313" s="27" t="n"/>
      <c r="T313" s="27" t="n"/>
      <c r="U313" s="28" t="n"/>
      <c r="V313" s="28" t="n"/>
      <c r="W313" s="32">
        <f>IF(LEN(R313)=0,"",IF(ISNUMBER(V313),"Closed",IF(AND(ISNUMBER(U313),U313&lt;TODAY()),"Overdue","Open")))</f>
        <v/>
      </c>
      <c r="X313" s="27" t="n"/>
      <c r="Y313" s="27" t="n"/>
    </row>
    <row r="314">
      <c r="A314" s="28" t="n"/>
      <c r="B314" s="29" t="n"/>
      <c r="C314" s="27" t="n"/>
      <c r="D314" s="27" t="n"/>
      <c r="E314" s="27" t="n"/>
      <c r="F314" s="27" t="n"/>
      <c r="G314" s="27" t="n"/>
      <c r="H314" s="27" t="n"/>
      <c r="I314" s="27" t="n"/>
      <c r="J314" s="25" t="n"/>
      <c r="K314" s="25" t="n"/>
      <c r="L314" s="25" t="n"/>
      <c r="M314" s="25" t="n"/>
      <c r="N314" s="33">
        <f>IF(AND(L314="",M314=""),"",(N(L314)*60+N(M314))/86400)</f>
        <v/>
      </c>
      <c r="O314" s="27" t="n"/>
      <c r="P314" s="27" t="n"/>
      <c r="Q314" s="27" t="n"/>
      <c r="R314" s="27" t="n"/>
      <c r="S314" s="27" t="n"/>
      <c r="T314" s="27" t="n"/>
      <c r="U314" s="28" t="n"/>
      <c r="V314" s="28" t="n"/>
      <c r="W314" s="32">
        <f>IF(LEN(R314)=0,"",IF(ISNUMBER(V314),"Closed",IF(AND(ISNUMBER(U314),U314&lt;TODAY()),"Overdue","Open")))</f>
        <v/>
      </c>
      <c r="X314" s="27" t="n"/>
      <c r="Y314" s="27" t="n"/>
    </row>
    <row r="315">
      <c r="A315" s="28" t="n"/>
      <c r="B315" s="29" t="n"/>
      <c r="C315" s="27" t="n"/>
      <c r="D315" s="27" t="n"/>
      <c r="E315" s="27" t="n"/>
      <c r="F315" s="27" t="n"/>
      <c r="G315" s="27" t="n"/>
      <c r="H315" s="27" t="n"/>
      <c r="I315" s="27" t="n"/>
      <c r="J315" s="25" t="n"/>
      <c r="K315" s="25" t="n"/>
      <c r="L315" s="25" t="n"/>
      <c r="M315" s="25" t="n"/>
      <c r="N315" s="33">
        <f>IF(AND(L315="",M315=""),"",(N(L315)*60+N(M315))/86400)</f>
        <v/>
      </c>
      <c r="O315" s="27" t="n"/>
      <c r="P315" s="27" t="n"/>
      <c r="Q315" s="27" t="n"/>
      <c r="R315" s="27" t="n"/>
      <c r="S315" s="27" t="n"/>
      <c r="T315" s="27" t="n"/>
      <c r="U315" s="28" t="n"/>
      <c r="V315" s="28" t="n"/>
      <c r="W315" s="32">
        <f>IF(LEN(R315)=0,"",IF(ISNUMBER(V315),"Closed",IF(AND(ISNUMBER(U315),U315&lt;TODAY()),"Overdue","Open")))</f>
        <v/>
      </c>
      <c r="X315" s="27" t="n"/>
      <c r="Y315" s="27" t="n"/>
    </row>
    <row r="316">
      <c r="A316" s="28" t="n"/>
      <c r="B316" s="29" t="n"/>
      <c r="C316" s="27" t="n"/>
      <c r="D316" s="27" t="n"/>
      <c r="E316" s="27" t="n"/>
      <c r="F316" s="27" t="n"/>
      <c r="G316" s="27" t="n"/>
      <c r="H316" s="27" t="n"/>
      <c r="I316" s="27" t="n"/>
      <c r="J316" s="25" t="n"/>
      <c r="K316" s="25" t="n"/>
      <c r="L316" s="25" t="n"/>
      <c r="M316" s="25" t="n"/>
      <c r="N316" s="33">
        <f>IF(AND(L316="",M316=""),"",(N(L316)*60+N(M316))/86400)</f>
        <v/>
      </c>
      <c r="O316" s="27" t="n"/>
      <c r="P316" s="27" t="n"/>
      <c r="Q316" s="27" t="n"/>
      <c r="R316" s="27" t="n"/>
      <c r="S316" s="27" t="n"/>
      <c r="T316" s="27" t="n"/>
      <c r="U316" s="28" t="n"/>
      <c r="V316" s="28" t="n"/>
      <c r="W316" s="32">
        <f>IF(LEN(R316)=0,"",IF(ISNUMBER(V316),"Closed",IF(AND(ISNUMBER(U316),U316&lt;TODAY()),"Overdue","Open")))</f>
        <v/>
      </c>
      <c r="X316" s="27" t="n"/>
      <c r="Y316" s="27" t="n"/>
    </row>
    <row r="317">
      <c r="A317" s="28" t="n"/>
      <c r="B317" s="29" t="n"/>
      <c r="C317" s="27" t="n"/>
      <c r="D317" s="27" t="n"/>
      <c r="E317" s="27" t="n"/>
      <c r="F317" s="27" t="n"/>
      <c r="G317" s="27" t="n"/>
      <c r="H317" s="27" t="n"/>
      <c r="I317" s="27" t="n"/>
      <c r="J317" s="25" t="n"/>
      <c r="K317" s="25" t="n"/>
      <c r="L317" s="25" t="n"/>
      <c r="M317" s="25" t="n"/>
      <c r="N317" s="33">
        <f>IF(AND(L317="",M317=""),"",(N(L317)*60+N(M317))/86400)</f>
        <v/>
      </c>
      <c r="O317" s="27" t="n"/>
      <c r="P317" s="27" t="n"/>
      <c r="Q317" s="27" t="n"/>
      <c r="R317" s="27" t="n"/>
      <c r="S317" s="27" t="n"/>
      <c r="T317" s="27" t="n"/>
      <c r="U317" s="28" t="n"/>
      <c r="V317" s="28" t="n"/>
      <c r="W317" s="32">
        <f>IF(LEN(R317)=0,"",IF(ISNUMBER(V317),"Closed",IF(AND(ISNUMBER(U317),U317&lt;TODAY()),"Overdue","Open")))</f>
        <v/>
      </c>
      <c r="X317" s="27" t="n"/>
      <c r="Y317" s="27" t="n"/>
    </row>
    <row r="318">
      <c r="A318" s="28" t="n"/>
      <c r="B318" s="29" t="n"/>
      <c r="C318" s="27" t="n"/>
      <c r="D318" s="27" t="n"/>
      <c r="E318" s="27" t="n"/>
      <c r="F318" s="27" t="n"/>
      <c r="G318" s="27" t="n"/>
      <c r="H318" s="27" t="n"/>
      <c r="I318" s="27" t="n"/>
      <c r="J318" s="25" t="n"/>
      <c r="K318" s="25" t="n"/>
      <c r="L318" s="25" t="n"/>
      <c r="M318" s="25" t="n"/>
      <c r="N318" s="33">
        <f>IF(AND(L318="",M318=""),"",(N(L318)*60+N(M318))/86400)</f>
        <v/>
      </c>
      <c r="O318" s="27" t="n"/>
      <c r="P318" s="27" t="n"/>
      <c r="Q318" s="27" t="n"/>
      <c r="R318" s="27" t="n"/>
      <c r="S318" s="27" t="n"/>
      <c r="T318" s="27" t="n"/>
      <c r="U318" s="28" t="n"/>
      <c r="V318" s="28" t="n"/>
      <c r="W318" s="32">
        <f>IF(LEN(R318)=0,"",IF(ISNUMBER(V318),"Closed",IF(AND(ISNUMBER(U318),U318&lt;TODAY()),"Overdue","Open")))</f>
        <v/>
      </c>
      <c r="X318" s="27" t="n"/>
      <c r="Y318" s="27" t="n"/>
    </row>
    <row r="319">
      <c r="A319" s="28" t="n"/>
      <c r="B319" s="29" t="n"/>
      <c r="C319" s="27" t="n"/>
      <c r="D319" s="27" t="n"/>
      <c r="E319" s="27" t="n"/>
      <c r="F319" s="27" t="n"/>
      <c r="G319" s="27" t="n"/>
      <c r="H319" s="27" t="n"/>
      <c r="I319" s="27" t="n"/>
      <c r="J319" s="25" t="n"/>
      <c r="K319" s="25" t="n"/>
      <c r="L319" s="25" t="n"/>
      <c r="M319" s="25" t="n"/>
      <c r="N319" s="33">
        <f>IF(AND(L319="",M319=""),"",(N(L319)*60+N(M319))/86400)</f>
        <v/>
      </c>
      <c r="O319" s="27" t="n"/>
      <c r="P319" s="27" t="n"/>
      <c r="Q319" s="27" t="n"/>
      <c r="R319" s="27" t="n"/>
      <c r="S319" s="27" t="n"/>
      <c r="T319" s="27" t="n"/>
      <c r="U319" s="28" t="n"/>
      <c r="V319" s="28" t="n"/>
      <c r="W319" s="32">
        <f>IF(LEN(R319)=0,"",IF(ISNUMBER(V319),"Closed",IF(AND(ISNUMBER(U319),U319&lt;TODAY()),"Overdue","Open")))</f>
        <v/>
      </c>
      <c r="X319" s="27" t="n"/>
      <c r="Y319" s="27" t="n"/>
    </row>
    <row r="320">
      <c r="A320" s="28" t="n"/>
      <c r="B320" s="29" t="n"/>
      <c r="C320" s="27" t="n"/>
      <c r="D320" s="27" t="n"/>
      <c r="E320" s="27" t="n"/>
      <c r="F320" s="27" t="n"/>
      <c r="G320" s="27" t="n"/>
      <c r="H320" s="27" t="n"/>
      <c r="I320" s="27" t="n"/>
      <c r="J320" s="25" t="n"/>
      <c r="K320" s="25" t="n"/>
      <c r="L320" s="25" t="n"/>
      <c r="M320" s="25" t="n"/>
      <c r="N320" s="33">
        <f>IF(AND(L320="",M320=""),"",(N(L320)*60+N(M320))/86400)</f>
        <v/>
      </c>
      <c r="O320" s="27" t="n"/>
      <c r="P320" s="27" t="n"/>
      <c r="Q320" s="27" t="n"/>
      <c r="R320" s="27" t="n"/>
      <c r="S320" s="27" t="n"/>
      <c r="T320" s="27" t="n"/>
      <c r="U320" s="28" t="n"/>
      <c r="V320" s="28" t="n"/>
      <c r="W320" s="32">
        <f>IF(LEN(R320)=0,"",IF(ISNUMBER(V320),"Closed",IF(AND(ISNUMBER(U320),U320&lt;TODAY()),"Overdue","Open")))</f>
        <v/>
      </c>
      <c r="X320" s="27" t="n"/>
      <c r="Y320" s="27" t="n"/>
    </row>
    <row r="321">
      <c r="A321" s="28" t="n"/>
      <c r="B321" s="29" t="n"/>
      <c r="C321" s="27" t="n"/>
      <c r="D321" s="27" t="n"/>
      <c r="E321" s="27" t="n"/>
      <c r="F321" s="27" t="n"/>
      <c r="G321" s="27" t="n"/>
      <c r="H321" s="27" t="n"/>
      <c r="I321" s="27" t="n"/>
      <c r="J321" s="25" t="n"/>
      <c r="K321" s="25" t="n"/>
      <c r="L321" s="25" t="n"/>
      <c r="M321" s="25" t="n"/>
      <c r="N321" s="33">
        <f>IF(AND(L321="",M321=""),"",(N(L321)*60+N(M321))/86400)</f>
        <v/>
      </c>
      <c r="O321" s="27" t="n"/>
      <c r="P321" s="27" t="n"/>
      <c r="Q321" s="27" t="n"/>
      <c r="R321" s="27" t="n"/>
      <c r="S321" s="27" t="n"/>
      <c r="T321" s="27" t="n"/>
      <c r="U321" s="28" t="n"/>
      <c r="V321" s="28" t="n"/>
      <c r="W321" s="32">
        <f>IF(LEN(R321)=0,"",IF(ISNUMBER(V321),"Closed",IF(AND(ISNUMBER(U321),U321&lt;TODAY()),"Overdue","Open")))</f>
        <v/>
      </c>
      <c r="X321" s="27" t="n"/>
      <c r="Y321" s="27" t="n"/>
    </row>
    <row r="322">
      <c r="A322" s="28" t="n"/>
      <c r="B322" s="29" t="n"/>
      <c r="C322" s="27" t="n"/>
      <c r="D322" s="27" t="n"/>
      <c r="E322" s="27" t="n"/>
      <c r="F322" s="27" t="n"/>
      <c r="G322" s="27" t="n"/>
      <c r="H322" s="27" t="n"/>
      <c r="I322" s="27" t="n"/>
      <c r="J322" s="25" t="n"/>
      <c r="K322" s="25" t="n"/>
      <c r="L322" s="25" t="n"/>
      <c r="M322" s="25" t="n"/>
      <c r="N322" s="33">
        <f>IF(AND(L322="",M322=""),"",(N(L322)*60+N(M322))/86400)</f>
        <v/>
      </c>
      <c r="O322" s="27" t="n"/>
      <c r="P322" s="27" t="n"/>
      <c r="Q322" s="27" t="n"/>
      <c r="R322" s="27" t="n"/>
      <c r="S322" s="27" t="n"/>
      <c r="T322" s="27" t="n"/>
      <c r="U322" s="28" t="n"/>
      <c r="V322" s="28" t="n"/>
      <c r="W322" s="32">
        <f>IF(LEN(R322)=0,"",IF(ISNUMBER(V322),"Closed",IF(AND(ISNUMBER(U322),U322&lt;TODAY()),"Overdue","Open")))</f>
        <v/>
      </c>
      <c r="X322" s="27" t="n"/>
      <c r="Y322" s="27" t="n"/>
    </row>
    <row r="323">
      <c r="A323" s="28" t="n"/>
      <c r="B323" s="29" t="n"/>
      <c r="C323" s="27" t="n"/>
      <c r="D323" s="27" t="n"/>
      <c r="E323" s="27" t="n"/>
      <c r="F323" s="27" t="n"/>
      <c r="G323" s="27" t="n"/>
      <c r="H323" s="27" t="n"/>
      <c r="I323" s="27" t="n"/>
      <c r="J323" s="25" t="n"/>
      <c r="K323" s="25" t="n"/>
      <c r="L323" s="25" t="n"/>
      <c r="M323" s="25" t="n"/>
      <c r="N323" s="33">
        <f>IF(AND(L323="",M323=""),"",(N(L323)*60+N(M323))/86400)</f>
        <v/>
      </c>
      <c r="O323" s="27" t="n"/>
      <c r="P323" s="27" t="n"/>
      <c r="Q323" s="27" t="n"/>
      <c r="R323" s="27" t="n"/>
      <c r="S323" s="27" t="n"/>
      <c r="T323" s="27" t="n"/>
      <c r="U323" s="28" t="n"/>
      <c r="V323" s="28" t="n"/>
      <c r="W323" s="32">
        <f>IF(LEN(R323)=0,"",IF(ISNUMBER(V323),"Closed",IF(AND(ISNUMBER(U323),U323&lt;TODAY()),"Overdue","Open")))</f>
        <v/>
      </c>
      <c r="X323" s="27" t="n"/>
      <c r="Y323" s="27" t="n"/>
    </row>
    <row r="324">
      <c r="A324" s="28" t="n"/>
      <c r="B324" s="29" t="n"/>
      <c r="C324" s="27" t="n"/>
      <c r="D324" s="27" t="n"/>
      <c r="E324" s="27" t="n"/>
      <c r="F324" s="27" t="n"/>
      <c r="G324" s="27" t="n"/>
      <c r="H324" s="27" t="n"/>
      <c r="I324" s="27" t="n"/>
      <c r="J324" s="25" t="n"/>
      <c r="K324" s="25" t="n"/>
      <c r="L324" s="25" t="n"/>
      <c r="M324" s="25" t="n"/>
      <c r="N324" s="33">
        <f>IF(AND(L324="",M324=""),"",(N(L324)*60+N(M324))/86400)</f>
        <v/>
      </c>
      <c r="O324" s="27" t="n"/>
      <c r="P324" s="27" t="n"/>
      <c r="Q324" s="27" t="n"/>
      <c r="R324" s="27" t="n"/>
      <c r="S324" s="27" t="n"/>
      <c r="T324" s="27" t="n"/>
      <c r="U324" s="28" t="n"/>
      <c r="V324" s="28" t="n"/>
      <c r="W324" s="32">
        <f>IF(LEN(R324)=0,"",IF(ISNUMBER(V324),"Closed",IF(AND(ISNUMBER(U324),U324&lt;TODAY()),"Overdue","Open")))</f>
        <v/>
      </c>
      <c r="X324" s="27" t="n"/>
      <c r="Y324" s="27" t="n"/>
    </row>
    <row r="325">
      <c r="A325" s="28" t="n"/>
      <c r="B325" s="29" t="n"/>
      <c r="C325" s="27" t="n"/>
      <c r="D325" s="27" t="n"/>
      <c r="E325" s="27" t="n"/>
      <c r="F325" s="27" t="n"/>
      <c r="G325" s="27" t="n"/>
      <c r="H325" s="27" t="n"/>
      <c r="I325" s="27" t="n"/>
      <c r="J325" s="25" t="n"/>
      <c r="K325" s="25" t="n"/>
      <c r="L325" s="25" t="n"/>
      <c r="M325" s="25" t="n"/>
      <c r="N325" s="33">
        <f>IF(AND(L325="",M325=""),"",(N(L325)*60+N(M325))/86400)</f>
        <v/>
      </c>
      <c r="O325" s="27" t="n"/>
      <c r="P325" s="27" t="n"/>
      <c r="Q325" s="27" t="n"/>
      <c r="R325" s="27" t="n"/>
      <c r="S325" s="27" t="n"/>
      <c r="T325" s="27" t="n"/>
      <c r="U325" s="28" t="n"/>
      <c r="V325" s="28" t="n"/>
      <c r="W325" s="32">
        <f>IF(LEN(R325)=0,"",IF(ISNUMBER(V325),"Closed",IF(AND(ISNUMBER(U325),U325&lt;TODAY()),"Overdue","Open")))</f>
        <v/>
      </c>
      <c r="X325" s="27" t="n"/>
      <c r="Y325" s="27" t="n"/>
    </row>
    <row r="326">
      <c r="A326" s="28" t="n"/>
      <c r="B326" s="29" t="n"/>
      <c r="C326" s="27" t="n"/>
      <c r="D326" s="27" t="n"/>
      <c r="E326" s="27" t="n"/>
      <c r="F326" s="27" t="n"/>
      <c r="G326" s="27" t="n"/>
      <c r="H326" s="27" t="n"/>
      <c r="I326" s="27" t="n"/>
      <c r="J326" s="25" t="n"/>
      <c r="K326" s="25" t="n"/>
      <c r="L326" s="25" t="n"/>
      <c r="M326" s="25" t="n"/>
      <c r="N326" s="33">
        <f>IF(AND(L326="",M326=""),"",(N(L326)*60+N(M326))/86400)</f>
        <v/>
      </c>
      <c r="O326" s="27" t="n"/>
      <c r="P326" s="27" t="n"/>
      <c r="Q326" s="27" t="n"/>
      <c r="R326" s="27" t="n"/>
      <c r="S326" s="27" t="n"/>
      <c r="T326" s="27" t="n"/>
      <c r="U326" s="28" t="n"/>
      <c r="V326" s="28" t="n"/>
      <c r="W326" s="32">
        <f>IF(LEN(R326)=0,"",IF(ISNUMBER(V326),"Closed",IF(AND(ISNUMBER(U326),U326&lt;TODAY()),"Overdue","Open")))</f>
        <v/>
      </c>
      <c r="X326" s="27" t="n"/>
      <c r="Y326" s="27" t="n"/>
    </row>
    <row r="327">
      <c r="A327" s="28" t="n"/>
      <c r="B327" s="29" t="n"/>
      <c r="C327" s="27" t="n"/>
      <c r="D327" s="27" t="n"/>
      <c r="E327" s="27" t="n"/>
      <c r="F327" s="27" t="n"/>
      <c r="G327" s="27" t="n"/>
      <c r="H327" s="27" t="n"/>
      <c r="I327" s="27" t="n"/>
      <c r="J327" s="25" t="n"/>
      <c r="K327" s="25" t="n"/>
      <c r="L327" s="25" t="n"/>
      <c r="M327" s="25" t="n"/>
      <c r="N327" s="33">
        <f>IF(AND(L327="",M327=""),"",(N(L327)*60+N(M327))/86400)</f>
        <v/>
      </c>
      <c r="O327" s="27" t="n"/>
      <c r="P327" s="27" t="n"/>
      <c r="Q327" s="27" t="n"/>
      <c r="R327" s="27" t="n"/>
      <c r="S327" s="27" t="n"/>
      <c r="T327" s="27" t="n"/>
      <c r="U327" s="28" t="n"/>
      <c r="V327" s="28" t="n"/>
      <c r="W327" s="32">
        <f>IF(LEN(R327)=0,"",IF(ISNUMBER(V327),"Closed",IF(AND(ISNUMBER(U327),U327&lt;TODAY()),"Overdue","Open")))</f>
        <v/>
      </c>
      <c r="X327" s="27" t="n"/>
      <c r="Y327" s="27" t="n"/>
    </row>
    <row r="328">
      <c r="A328" s="28" t="n"/>
      <c r="B328" s="29" t="n"/>
      <c r="C328" s="27" t="n"/>
      <c r="D328" s="27" t="n"/>
      <c r="E328" s="27" t="n"/>
      <c r="F328" s="27" t="n"/>
      <c r="G328" s="27" t="n"/>
      <c r="H328" s="27" t="n"/>
      <c r="I328" s="27" t="n"/>
      <c r="J328" s="25" t="n"/>
      <c r="K328" s="25" t="n"/>
      <c r="L328" s="25" t="n"/>
      <c r="M328" s="25" t="n"/>
      <c r="N328" s="33">
        <f>IF(AND(L328="",M328=""),"",(N(L328)*60+N(M328))/86400)</f>
        <v/>
      </c>
      <c r="O328" s="27" t="n"/>
      <c r="P328" s="27" t="n"/>
      <c r="Q328" s="27" t="n"/>
      <c r="R328" s="27" t="n"/>
      <c r="S328" s="27" t="n"/>
      <c r="T328" s="27" t="n"/>
      <c r="U328" s="28" t="n"/>
      <c r="V328" s="28" t="n"/>
      <c r="W328" s="32">
        <f>IF(LEN(R328)=0,"",IF(ISNUMBER(V328),"Closed",IF(AND(ISNUMBER(U328),U328&lt;TODAY()),"Overdue","Open")))</f>
        <v/>
      </c>
      <c r="X328" s="27" t="n"/>
      <c r="Y328" s="27" t="n"/>
    </row>
    <row r="329">
      <c r="A329" s="28" t="n"/>
      <c r="B329" s="29" t="n"/>
      <c r="C329" s="27" t="n"/>
      <c r="D329" s="27" t="n"/>
      <c r="E329" s="27" t="n"/>
      <c r="F329" s="27" t="n"/>
      <c r="G329" s="27" t="n"/>
      <c r="H329" s="27" t="n"/>
      <c r="I329" s="27" t="n"/>
      <c r="J329" s="25" t="n"/>
      <c r="K329" s="25" t="n"/>
      <c r="L329" s="25" t="n"/>
      <c r="M329" s="25" t="n"/>
      <c r="N329" s="33">
        <f>IF(AND(L329="",M329=""),"",(N(L329)*60+N(M329))/86400)</f>
        <v/>
      </c>
      <c r="O329" s="27" t="n"/>
      <c r="P329" s="27" t="n"/>
      <c r="Q329" s="27" t="n"/>
      <c r="R329" s="27" t="n"/>
      <c r="S329" s="27" t="n"/>
      <c r="T329" s="27" t="n"/>
      <c r="U329" s="28" t="n"/>
      <c r="V329" s="28" t="n"/>
      <c r="W329" s="32">
        <f>IF(LEN(R329)=0,"",IF(ISNUMBER(V329),"Closed",IF(AND(ISNUMBER(U329),U329&lt;TODAY()),"Overdue","Open")))</f>
        <v/>
      </c>
      <c r="X329" s="27" t="n"/>
      <c r="Y329" s="27" t="n"/>
    </row>
    <row r="330">
      <c r="A330" s="28" t="n"/>
      <c r="B330" s="29" t="n"/>
      <c r="C330" s="27" t="n"/>
      <c r="D330" s="27" t="n"/>
      <c r="E330" s="27" t="n"/>
      <c r="F330" s="27" t="n"/>
      <c r="G330" s="27" t="n"/>
      <c r="H330" s="27" t="n"/>
      <c r="I330" s="27" t="n"/>
      <c r="J330" s="25" t="n"/>
      <c r="K330" s="25" t="n"/>
      <c r="L330" s="25" t="n"/>
      <c r="M330" s="25" t="n"/>
      <c r="N330" s="33">
        <f>IF(AND(L330="",M330=""),"",(N(L330)*60+N(M330))/86400)</f>
        <v/>
      </c>
      <c r="O330" s="27" t="n"/>
      <c r="P330" s="27" t="n"/>
      <c r="Q330" s="27" t="n"/>
      <c r="R330" s="27" t="n"/>
      <c r="S330" s="27" t="n"/>
      <c r="T330" s="27" t="n"/>
      <c r="U330" s="28" t="n"/>
      <c r="V330" s="28" t="n"/>
      <c r="W330" s="32">
        <f>IF(LEN(R330)=0,"",IF(ISNUMBER(V330),"Closed",IF(AND(ISNUMBER(U330),U330&lt;TODAY()),"Overdue","Open")))</f>
        <v/>
      </c>
      <c r="X330" s="27" t="n"/>
      <c r="Y330" s="27" t="n"/>
    </row>
    <row r="331">
      <c r="A331" s="28" t="n"/>
      <c r="B331" s="29" t="n"/>
      <c r="C331" s="27" t="n"/>
      <c r="D331" s="27" t="n"/>
      <c r="E331" s="27" t="n"/>
      <c r="F331" s="27" t="n"/>
      <c r="G331" s="27" t="n"/>
      <c r="H331" s="27" t="n"/>
      <c r="I331" s="27" t="n"/>
      <c r="J331" s="25" t="n"/>
      <c r="K331" s="25" t="n"/>
      <c r="L331" s="25" t="n"/>
      <c r="M331" s="25" t="n"/>
      <c r="N331" s="33">
        <f>IF(AND(L331="",M331=""),"",(N(L331)*60+N(M331))/86400)</f>
        <v/>
      </c>
      <c r="O331" s="27" t="n"/>
      <c r="P331" s="27" t="n"/>
      <c r="Q331" s="27" t="n"/>
      <c r="R331" s="27" t="n"/>
      <c r="S331" s="27" t="n"/>
      <c r="T331" s="27" t="n"/>
      <c r="U331" s="28" t="n"/>
      <c r="V331" s="28" t="n"/>
      <c r="W331" s="32">
        <f>IF(LEN(R331)=0,"",IF(ISNUMBER(V331),"Closed",IF(AND(ISNUMBER(U331),U331&lt;TODAY()),"Overdue","Open")))</f>
        <v/>
      </c>
      <c r="X331" s="27" t="n"/>
      <c r="Y331" s="27" t="n"/>
    </row>
    <row r="332">
      <c r="A332" s="28" t="n"/>
      <c r="B332" s="29" t="n"/>
      <c r="C332" s="27" t="n"/>
      <c r="D332" s="27" t="n"/>
      <c r="E332" s="27" t="n"/>
      <c r="F332" s="27" t="n"/>
      <c r="G332" s="27" t="n"/>
      <c r="H332" s="27" t="n"/>
      <c r="I332" s="27" t="n"/>
      <c r="J332" s="25" t="n"/>
      <c r="K332" s="25" t="n"/>
      <c r="L332" s="25" t="n"/>
      <c r="M332" s="25" t="n"/>
      <c r="N332" s="33">
        <f>IF(AND(L332="",M332=""),"",(N(L332)*60+N(M332))/86400)</f>
        <v/>
      </c>
      <c r="O332" s="27" t="n"/>
      <c r="P332" s="27" t="n"/>
      <c r="Q332" s="27" t="n"/>
      <c r="R332" s="27" t="n"/>
      <c r="S332" s="27" t="n"/>
      <c r="T332" s="27" t="n"/>
      <c r="U332" s="28" t="n"/>
      <c r="V332" s="28" t="n"/>
      <c r="W332" s="32">
        <f>IF(LEN(R332)=0,"",IF(ISNUMBER(V332),"Closed",IF(AND(ISNUMBER(U332),U332&lt;TODAY()),"Overdue","Open")))</f>
        <v/>
      </c>
      <c r="X332" s="27" t="n"/>
      <c r="Y332" s="27" t="n"/>
    </row>
    <row r="333">
      <c r="A333" s="28" t="n"/>
      <c r="B333" s="29" t="n"/>
      <c r="C333" s="27" t="n"/>
      <c r="D333" s="27" t="n"/>
      <c r="E333" s="27" t="n"/>
      <c r="F333" s="27" t="n"/>
      <c r="G333" s="27" t="n"/>
      <c r="H333" s="27" t="n"/>
      <c r="I333" s="27" t="n"/>
      <c r="J333" s="25" t="n"/>
      <c r="K333" s="25" t="n"/>
      <c r="L333" s="25" t="n"/>
      <c r="M333" s="25" t="n"/>
      <c r="N333" s="33">
        <f>IF(AND(L333="",M333=""),"",(N(L333)*60+N(M333))/86400)</f>
        <v/>
      </c>
      <c r="O333" s="27" t="n"/>
      <c r="P333" s="27" t="n"/>
      <c r="Q333" s="27" t="n"/>
      <c r="R333" s="27" t="n"/>
      <c r="S333" s="27" t="n"/>
      <c r="T333" s="27" t="n"/>
      <c r="U333" s="28" t="n"/>
      <c r="V333" s="28" t="n"/>
      <c r="W333" s="32">
        <f>IF(LEN(R333)=0,"",IF(ISNUMBER(V333),"Closed",IF(AND(ISNUMBER(U333),U333&lt;TODAY()),"Overdue","Open")))</f>
        <v/>
      </c>
      <c r="X333" s="27" t="n"/>
      <c r="Y333" s="27" t="n"/>
    </row>
    <row r="334">
      <c r="A334" s="28" t="n"/>
      <c r="B334" s="29" t="n"/>
      <c r="C334" s="27" t="n"/>
      <c r="D334" s="27" t="n"/>
      <c r="E334" s="27" t="n"/>
      <c r="F334" s="27" t="n"/>
      <c r="G334" s="27" t="n"/>
      <c r="H334" s="27" t="n"/>
      <c r="I334" s="27" t="n"/>
      <c r="J334" s="25" t="n"/>
      <c r="K334" s="25" t="n"/>
      <c r="L334" s="25" t="n"/>
      <c r="M334" s="25" t="n"/>
      <c r="N334" s="33">
        <f>IF(AND(L334="",M334=""),"",(N(L334)*60+N(M334))/86400)</f>
        <v/>
      </c>
      <c r="O334" s="27" t="n"/>
      <c r="P334" s="27" t="n"/>
      <c r="Q334" s="27" t="n"/>
      <c r="R334" s="27" t="n"/>
      <c r="S334" s="27" t="n"/>
      <c r="T334" s="27" t="n"/>
      <c r="U334" s="28" t="n"/>
      <c r="V334" s="28" t="n"/>
      <c r="W334" s="32">
        <f>IF(LEN(R334)=0,"",IF(ISNUMBER(V334),"Closed",IF(AND(ISNUMBER(U334),U334&lt;TODAY()),"Overdue","Open")))</f>
        <v/>
      </c>
      <c r="X334" s="27" t="n"/>
      <c r="Y334" s="27" t="n"/>
    </row>
    <row r="335">
      <c r="A335" s="28" t="n"/>
      <c r="B335" s="29" t="n"/>
      <c r="C335" s="27" t="n"/>
      <c r="D335" s="27" t="n"/>
      <c r="E335" s="27" t="n"/>
      <c r="F335" s="27" t="n"/>
      <c r="G335" s="27" t="n"/>
      <c r="H335" s="27" t="n"/>
      <c r="I335" s="27" t="n"/>
      <c r="J335" s="25" t="n"/>
      <c r="K335" s="25" t="n"/>
      <c r="L335" s="25" t="n"/>
      <c r="M335" s="25" t="n"/>
      <c r="N335" s="33">
        <f>IF(AND(L335="",M335=""),"",(N(L335)*60+N(M335))/86400)</f>
        <v/>
      </c>
      <c r="O335" s="27" t="n"/>
      <c r="P335" s="27" t="n"/>
      <c r="Q335" s="27" t="n"/>
      <c r="R335" s="27" t="n"/>
      <c r="S335" s="27" t="n"/>
      <c r="T335" s="27" t="n"/>
      <c r="U335" s="28" t="n"/>
      <c r="V335" s="28" t="n"/>
      <c r="W335" s="32">
        <f>IF(LEN(R335)=0,"",IF(ISNUMBER(V335),"Closed",IF(AND(ISNUMBER(U335),U335&lt;TODAY()),"Overdue","Open")))</f>
        <v/>
      </c>
      <c r="X335" s="27" t="n"/>
      <c r="Y335" s="27" t="n"/>
    </row>
    <row r="336">
      <c r="A336" s="28" t="n"/>
      <c r="B336" s="29" t="n"/>
      <c r="C336" s="27" t="n"/>
      <c r="D336" s="27" t="n"/>
      <c r="E336" s="27" t="n"/>
      <c r="F336" s="27" t="n"/>
      <c r="G336" s="27" t="n"/>
      <c r="H336" s="27" t="n"/>
      <c r="I336" s="27" t="n"/>
      <c r="J336" s="25" t="n"/>
      <c r="K336" s="25" t="n"/>
      <c r="L336" s="25" t="n"/>
      <c r="M336" s="25" t="n"/>
      <c r="N336" s="33">
        <f>IF(AND(L336="",M336=""),"",(N(L336)*60+N(M336))/86400)</f>
        <v/>
      </c>
      <c r="O336" s="27" t="n"/>
      <c r="P336" s="27" t="n"/>
      <c r="Q336" s="27" t="n"/>
      <c r="R336" s="27" t="n"/>
      <c r="S336" s="27" t="n"/>
      <c r="T336" s="27" t="n"/>
      <c r="U336" s="28" t="n"/>
      <c r="V336" s="28" t="n"/>
      <c r="W336" s="32">
        <f>IF(LEN(R336)=0,"",IF(ISNUMBER(V336),"Closed",IF(AND(ISNUMBER(U336),U336&lt;TODAY()),"Overdue","Open")))</f>
        <v/>
      </c>
      <c r="X336" s="27" t="n"/>
      <c r="Y336" s="27" t="n"/>
    </row>
    <row r="337">
      <c r="A337" s="28" t="n"/>
      <c r="B337" s="29" t="n"/>
      <c r="C337" s="27" t="n"/>
      <c r="D337" s="27" t="n"/>
      <c r="E337" s="27" t="n"/>
      <c r="F337" s="27" t="n"/>
      <c r="G337" s="27" t="n"/>
      <c r="H337" s="27" t="n"/>
      <c r="I337" s="27" t="n"/>
      <c r="J337" s="25" t="n"/>
      <c r="K337" s="25" t="n"/>
      <c r="L337" s="25" t="n"/>
      <c r="M337" s="25" t="n"/>
      <c r="N337" s="33">
        <f>IF(AND(L337="",M337=""),"",(N(L337)*60+N(M337))/86400)</f>
        <v/>
      </c>
      <c r="O337" s="27" t="n"/>
      <c r="P337" s="27" t="n"/>
      <c r="Q337" s="27" t="n"/>
      <c r="R337" s="27" t="n"/>
      <c r="S337" s="27" t="n"/>
      <c r="T337" s="27" t="n"/>
      <c r="U337" s="28" t="n"/>
      <c r="V337" s="28" t="n"/>
      <c r="W337" s="32">
        <f>IF(LEN(R337)=0,"",IF(ISNUMBER(V337),"Closed",IF(AND(ISNUMBER(U337),U337&lt;TODAY()),"Overdue","Open")))</f>
        <v/>
      </c>
      <c r="X337" s="27" t="n"/>
      <c r="Y337" s="27" t="n"/>
    </row>
    <row r="338">
      <c r="A338" s="28" t="n"/>
      <c r="B338" s="29" t="n"/>
      <c r="C338" s="27" t="n"/>
      <c r="D338" s="27" t="n"/>
      <c r="E338" s="27" t="n"/>
      <c r="F338" s="27" t="n"/>
      <c r="G338" s="27" t="n"/>
      <c r="H338" s="27" t="n"/>
      <c r="I338" s="27" t="n"/>
      <c r="J338" s="25" t="n"/>
      <c r="K338" s="25" t="n"/>
      <c r="L338" s="25" t="n"/>
      <c r="M338" s="25" t="n"/>
      <c r="N338" s="33">
        <f>IF(AND(L338="",M338=""),"",(N(L338)*60+N(M338))/86400)</f>
        <v/>
      </c>
      <c r="O338" s="27" t="n"/>
      <c r="P338" s="27" t="n"/>
      <c r="Q338" s="27" t="n"/>
      <c r="R338" s="27" t="n"/>
      <c r="S338" s="27" t="n"/>
      <c r="T338" s="27" t="n"/>
      <c r="U338" s="28" t="n"/>
      <c r="V338" s="28" t="n"/>
      <c r="W338" s="32">
        <f>IF(LEN(R338)=0,"",IF(ISNUMBER(V338),"Closed",IF(AND(ISNUMBER(U338),U338&lt;TODAY()),"Overdue","Open")))</f>
        <v/>
      </c>
      <c r="X338" s="27" t="n"/>
      <c r="Y338" s="27" t="n"/>
    </row>
    <row r="339">
      <c r="A339" s="28" t="n"/>
      <c r="B339" s="29" t="n"/>
      <c r="C339" s="27" t="n"/>
      <c r="D339" s="27" t="n"/>
      <c r="E339" s="27" t="n"/>
      <c r="F339" s="27" t="n"/>
      <c r="G339" s="27" t="n"/>
      <c r="H339" s="27" t="n"/>
      <c r="I339" s="27" t="n"/>
      <c r="J339" s="25" t="n"/>
      <c r="K339" s="25" t="n"/>
      <c r="L339" s="25" t="n"/>
      <c r="M339" s="25" t="n"/>
      <c r="N339" s="33">
        <f>IF(AND(L339="",M339=""),"",(N(L339)*60+N(M339))/86400)</f>
        <v/>
      </c>
      <c r="O339" s="27" t="n"/>
      <c r="P339" s="27" t="n"/>
      <c r="Q339" s="27" t="n"/>
      <c r="R339" s="27" t="n"/>
      <c r="S339" s="27" t="n"/>
      <c r="T339" s="27" t="n"/>
      <c r="U339" s="28" t="n"/>
      <c r="V339" s="28" t="n"/>
      <c r="W339" s="32">
        <f>IF(LEN(R339)=0,"",IF(ISNUMBER(V339),"Closed",IF(AND(ISNUMBER(U339),U339&lt;TODAY()),"Overdue","Open")))</f>
        <v/>
      </c>
      <c r="X339" s="27" t="n"/>
      <c r="Y339" s="27" t="n"/>
    </row>
    <row r="340">
      <c r="A340" s="28" t="n"/>
      <c r="B340" s="29" t="n"/>
      <c r="C340" s="27" t="n"/>
      <c r="D340" s="27" t="n"/>
      <c r="E340" s="27" t="n"/>
      <c r="F340" s="27" t="n"/>
      <c r="G340" s="27" t="n"/>
      <c r="H340" s="27" t="n"/>
      <c r="I340" s="27" t="n"/>
      <c r="J340" s="25" t="n"/>
      <c r="K340" s="25" t="n"/>
      <c r="L340" s="25" t="n"/>
      <c r="M340" s="25" t="n"/>
      <c r="N340" s="33">
        <f>IF(AND(L340="",M340=""),"",(N(L340)*60+N(M340))/86400)</f>
        <v/>
      </c>
      <c r="O340" s="27" t="n"/>
      <c r="P340" s="27" t="n"/>
      <c r="Q340" s="27" t="n"/>
      <c r="R340" s="27" t="n"/>
      <c r="S340" s="27" t="n"/>
      <c r="T340" s="27" t="n"/>
      <c r="U340" s="28" t="n"/>
      <c r="V340" s="28" t="n"/>
      <c r="W340" s="32">
        <f>IF(LEN(R340)=0,"",IF(ISNUMBER(V340),"Closed",IF(AND(ISNUMBER(U340),U340&lt;TODAY()),"Overdue","Open")))</f>
        <v/>
      </c>
      <c r="X340" s="27" t="n"/>
      <c r="Y340" s="27" t="n"/>
    </row>
    <row r="341">
      <c r="A341" s="28" t="n"/>
      <c r="B341" s="29" t="n"/>
      <c r="C341" s="27" t="n"/>
      <c r="D341" s="27" t="n"/>
      <c r="E341" s="27" t="n"/>
      <c r="F341" s="27" t="n"/>
      <c r="G341" s="27" t="n"/>
      <c r="H341" s="27" t="n"/>
      <c r="I341" s="27" t="n"/>
      <c r="J341" s="25" t="n"/>
      <c r="K341" s="25" t="n"/>
      <c r="L341" s="25" t="n"/>
      <c r="M341" s="25" t="n"/>
      <c r="N341" s="33">
        <f>IF(AND(L341="",M341=""),"",(N(L341)*60+N(M341))/86400)</f>
        <v/>
      </c>
      <c r="O341" s="27" t="n"/>
      <c r="P341" s="27" t="n"/>
      <c r="Q341" s="27" t="n"/>
      <c r="R341" s="27" t="n"/>
      <c r="S341" s="27" t="n"/>
      <c r="T341" s="27" t="n"/>
      <c r="U341" s="28" t="n"/>
      <c r="V341" s="28" t="n"/>
      <c r="W341" s="32">
        <f>IF(LEN(R341)=0,"",IF(ISNUMBER(V341),"Closed",IF(AND(ISNUMBER(U341),U341&lt;TODAY()),"Overdue","Open")))</f>
        <v/>
      </c>
      <c r="X341" s="27" t="n"/>
      <c r="Y341" s="27" t="n"/>
    </row>
    <row r="342">
      <c r="A342" s="28" t="n"/>
      <c r="B342" s="29" t="n"/>
      <c r="C342" s="27" t="n"/>
      <c r="D342" s="27" t="n"/>
      <c r="E342" s="27" t="n"/>
      <c r="F342" s="27" t="n"/>
      <c r="G342" s="27" t="n"/>
      <c r="H342" s="27" t="n"/>
      <c r="I342" s="27" t="n"/>
      <c r="J342" s="25" t="n"/>
      <c r="K342" s="25" t="n"/>
      <c r="L342" s="25" t="n"/>
      <c r="M342" s="25" t="n"/>
      <c r="N342" s="33">
        <f>IF(AND(L342="",M342=""),"",(N(L342)*60+N(M342))/86400)</f>
        <v/>
      </c>
      <c r="O342" s="27" t="n"/>
      <c r="P342" s="27" t="n"/>
      <c r="Q342" s="27" t="n"/>
      <c r="R342" s="27" t="n"/>
      <c r="S342" s="27" t="n"/>
      <c r="T342" s="27" t="n"/>
      <c r="U342" s="28" t="n"/>
      <c r="V342" s="28" t="n"/>
      <c r="W342" s="32">
        <f>IF(LEN(R342)=0,"",IF(ISNUMBER(V342),"Closed",IF(AND(ISNUMBER(U342),U342&lt;TODAY()),"Overdue","Open")))</f>
        <v/>
      </c>
      <c r="X342" s="27" t="n"/>
      <c r="Y342" s="27" t="n"/>
    </row>
    <row r="343">
      <c r="A343" s="28" t="n"/>
      <c r="B343" s="29" t="n"/>
      <c r="C343" s="27" t="n"/>
      <c r="D343" s="27" t="n"/>
      <c r="E343" s="27" t="n"/>
      <c r="F343" s="27" t="n"/>
      <c r="G343" s="27" t="n"/>
      <c r="H343" s="27" t="n"/>
      <c r="I343" s="27" t="n"/>
      <c r="J343" s="25" t="n"/>
      <c r="K343" s="25" t="n"/>
      <c r="L343" s="25" t="n"/>
      <c r="M343" s="25" t="n"/>
      <c r="N343" s="33">
        <f>IF(AND(L343="",M343=""),"",(N(L343)*60+N(M343))/86400)</f>
        <v/>
      </c>
      <c r="O343" s="27" t="n"/>
      <c r="P343" s="27" t="n"/>
      <c r="Q343" s="27" t="n"/>
      <c r="R343" s="27" t="n"/>
      <c r="S343" s="27" t="n"/>
      <c r="T343" s="27" t="n"/>
      <c r="U343" s="28" t="n"/>
      <c r="V343" s="28" t="n"/>
      <c r="W343" s="32">
        <f>IF(LEN(R343)=0,"",IF(ISNUMBER(V343),"Closed",IF(AND(ISNUMBER(U343),U343&lt;TODAY()),"Overdue","Open")))</f>
        <v/>
      </c>
      <c r="X343" s="27" t="n"/>
      <c r="Y343" s="27" t="n"/>
    </row>
    <row r="344">
      <c r="A344" s="28" t="n"/>
      <c r="B344" s="29" t="n"/>
      <c r="C344" s="27" t="n"/>
      <c r="D344" s="27" t="n"/>
      <c r="E344" s="27" t="n"/>
      <c r="F344" s="27" t="n"/>
      <c r="G344" s="27" t="n"/>
      <c r="H344" s="27" t="n"/>
      <c r="I344" s="27" t="n"/>
      <c r="J344" s="25" t="n"/>
      <c r="K344" s="25" t="n"/>
      <c r="L344" s="25" t="n"/>
      <c r="M344" s="25" t="n"/>
      <c r="N344" s="33">
        <f>IF(AND(L344="",M344=""),"",(N(L344)*60+N(M344))/86400)</f>
        <v/>
      </c>
      <c r="O344" s="27" t="n"/>
      <c r="P344" s="27" t="n"/>
      <c r="Q344" s="27" t="n"/>
      <c r="R344" s="27" t="n"/>
      <c r="S344" s="27" t="n"/>
      <c r="T344" s="27" t="n"/>
      <c r="U344" s="28" t="n"/>
      <c r="V344" s="28" t="n"/>
      <c r="W344" s="32">
        <f>IF(LEN(R344)=0,"",IF(ISNUMBER(V344),"Closed",IF(AND(ISNUMBER(U344),U344&lt;TODAY()),"Overdue","Open")))</f>
        <v/>
      </c>
      <c r="X344" s="27" t="n"/>
      <c r="Y344" s="27" t="n"/>
    </row>
    <row r="345">
      <c r="A345" s="28" t="n"/>
      <c r="B345" s="29" t="n"/>
      <c r="C345" s="27" t="n"/>
      <c r="D345" s="27" t="n"/>
      <c r="E345" s="27" t="n"/>
      <c r="F345" s="27" t="n"/>
      <c r="G345" s="27" t="n"/>
      <c r="H345" s="27" t="n"/>
      <c r="I345" s="27" t="n"/>
      <c r="J345" s="25" t="n"/>
      <c r="K345" s="25" t="n"/>
      <c r="L345" s="25" t="n"/>
      <c r="M345" s="25" t="n"/>
      <c r="N345" s="33">
        <f>IF(AND(L345="",M345=""),"",(N(L345)*60+N(M345))/86400)</f>
        <v/>
      </c>
      <c r="O345" s="27" t="n"/>
      <c r="P345" s="27" t="n"/>
      <c r="Q345" s="27" t="n"/>
      <c r="R345" s="27" t="n"/>
      <c r="S345" s="27" t="n"/>
      <c r="T345" s="27" t="n"/>
      <c r="U345" s="28" t="n"/>
      <c r="V345" s="28" t="n"/>
      <c r="W345" s="32">
        <f>IF(LEN(R345)=0,"",IF(ISNUMBER(V345),"Closed",IF(AND(ISNUMBER(U345),U345&lt;TODAY()),"Overdue","Open")))</f>
        <v/>
      </c>
      <c r="X345" s="27" t="n"/>
      <c r="Y345" s="27" t="n"/>
    </row>
    <row r="346">
      <c r="A346" s="28" t="n"/>
      <c r="B346" s="29" t="n"/>
      <c r="C346" s="27" t="n"/>
      <c r="D346" s="27" t="n"/>
      <c r="E346" s="27" t="n"/>
      <c r="F346" s="27" t="n"/>
      <c r="G346" s="27" t="n"/>
      <c r="H346" s="27" t="n"/>
      <c r="I346" s="27" t="n"/>
      <c r="J346" s="25" t="n"/>
      <c r="K346" s="25" t="n"/>
      <c r="L346" s="25" t="n"/>
      <c r="M346" s="25" t="n"/>
      <c r="N346" s="33">
        <f>IF(AND(L346="",M346=""),"",(N(L346)*60+N(M346))/86400)</f>
        <v/>
      </c>
      <c r="O346" s="27" t="n"/>
      <c r="P346" s="27" t="n"/>
      <c r="Q346" s="27" t="n"/>
      <c r="R346" s="27" t="n"/>
      <c r="S346" s="27" t="n"/>
      <c r="T346" s="27" t="n"/>
      <c r="U346" s="28" t="n"/>
      <c r="V346" s="28" t="n"/>
      <c r="W346" s="32">
        <f>IF(LEN(R346)=0,"",IF(ISNUMBER(V346),"Closed",IF(AND(ISNUMBER(U346),U346&lt;TODAY()),"Overdue","Open")))</f>
        <v/>
      </c>
      <c r="X346" s="27" t="n"/>
      <c r="Y346" s="27" t="n"/>
    </row>
    <row r="347">
      <c r="A347" s="28" t="n"/>
      <c r="B347" s="29" t="n"/>
      <c r="C347" s="27" t="n"/>
      <c r="D347" s="27" t="n"/>
      <c r="E347" s="27" t="n"/>
      <c r="F347" s="27" t="n"/>
      <c r="G347" s="27" t="n"/>
      <c r="H347" s="27" t="n"/>
      <c r="I347" s="27" t="n"/>
      <c r="J347" s="25" t="n"/>
      <c r="K347" s="25" t="n"/>
      <c r="L347" s="25" t="n"/>
      <c r="M347" s="25" t="n"/>
      <c r="N347" s="33">
        <f>IF(AND(L347="",M347=""),"",(N(L347)*60+N(M347))/86400)</f>
        <v/>
      </c>
      <c r="O347" s="27" t="n"/>
      <c r="P347" s="27" t="n"/>
      <c r="Q347" s="27" t="n"/>
      <c r="R347" s="27" t="n"/>
      <c r="S347" s="27" t="n"/>
      <c r="T347" s="27" t="n"/>
      <c r="U347" s="28" t="n"/>
      <c r="V347" s="28" t="n"/>
      <c r="W347" s="32">
        <f>IF(LEN(R347)=0,"",IF(ISNUMBER(V347),"Closed",IF(AND(ISNUMBER(U347),U347&lt;TODAY()),"Overdue","Open")))</f>
        <v/>
      </c>
      <c r="X347" s="27" t="n"/>
      <c r="Y347" s="27" t="n"/>
    </row>
    <row r="348">
      <c r="A348" s="28" t="n"/>
      <c r="B348" s="29" t="n"/>
      <c r="C348" s="27" t="n"/>
      <c r="D348" s="27" t="n"/>
      <c r="E348" s="27" t="n"/>
      <c r="F348" s="27" t="n"/>
      <c r="G348" s="27" t="n"/>
      <c r="H348" s="27" t="n"/>
      <c r="I348" s="27" t="n"/>
      <c r="J348" s="25" t="n"/>
      <c r="K348" s="25" t="n"/>
      <c r="L348" s="25" t="n"/>
      <c r="M348" s="25" t="n"/>
      <c r="N348" s="33">
        <f>IF(AND(L348="",M348=""),"",(N(L348)*60+N(M348))/86400)</f>
        <v/>
      </c>
      <c r="O348" s="27" t="n"/>
      <c r="P348" s="27" t="n"/>
      <c r="Q348" s="27" t="n"/>
      <c r="R348" s="27" t="n"/>
      <c r="S348" s="27" t="n"/>
      <c r="T348" s="27" t="n"/>
      <c r="U348" s="28" t="n"/>
      <c r="V348" s="28" t="n"/>
      <c r="W348" s="32">
        <f>IF(LEN(R348)=0,"",IF(ISNUMBER(V348),"Closed",IF(AND(ISNUMBER(U348),U348&lt;TODAY()),"Overdue","Open")))</f>
        <v/>
      </c>
      <c r="X348" s="27" t="n"/>
      <c r="Y348" s="27" t="n"/>
    </row>
    <row r="349">
      <c r="A349" s="28" t="n"/>
      <c r="B349" s="29" t="n"/>
      <c r="C349" s="27" t="n"/>
      <c r="D349" s="27" t="n"/>
      <c r="E349" s="27" t="n"/>
      <c r="F349" s="27" t="n"/>
      <c r="G349" s="27" t="n"/>
      <c r="H349" s="27" t="n"/>
      <c r="I349" s="27" t="n"/>
      <c r="J349" s="25" t="n"/>
      <c r="K349" s="25" t="n"/>
      <c r="L349" s="25" t="n"/>
      <c r="M349" s="25" t="n"/>
      <c r="N349" s="33">
        <f>IF(AND(L349="",M349=""),"",(N(L349)*60+N(M349))/86400)</f>
        <v/>
      </c>
      <c r="O349" s="27" t="n"/>
      <c r="P349" s="27" t="n"/>
      <c r="Q349" s="27" t="n"/>
      <c r="R349" s="27" t="n"/>
      <c r="S349" s="27" t="n"/>
      <c r="T349" s="27" t="n"/>
      <c r="U349" s="28" t="n"/>
      <c r="V349" s="28" t="n"/>
      <c r="W349" s="32">
        <f>IF(LEN(R349)=0,"",IF(ISNUMBER(V349),"Closed",IF(AND(ISNUMBER(U349),U349&lt;TODAY()),"Overdue","Open")))</f>
        <v/>
      </c>
      <c r="X349" s="27" t="n"/>
      <c r="Y349" s="27" t="n"/>
    </row>
    <row r="350">
      <c r="A350" s="28" t="n"/>
      <c r="B350" s="29" t="n"/>
      <c r="C350" s="27" t="n"/>
      <c r="D350" s="27" t="n"/>
      <c r="E350" s="27" t="n"/>
      <c r="F350" s="27" t="n"/>
      <c r="G350" s="27" t="n"/>
      <c r="H350" s="27" t="n"/>
      <c r="I350" s="27" t="n"/>
      <c r="J350" s="25" t="n"/>
      <c r="K350" s="25" t="n"/>
      <c r="L350" s="25" t="n"/>
      <c r="M350" s="25" t="n"/>
      <c r="N350" s="33">
        <f>IF(AND(L350="",M350=""),"",(N(L350)*60+N(M350))/86400)</f>
        <v/>
      </c>
      <c r="O350" s="27" t="n"/>
      <c r="P350" s="27" t="n"/>
      <c r="Q350" s="27" t="n"/>
      <c r="R350" s="27" t="n"/>
      <c r="S350" s="27" t="n"/>
      <c r="T350" s="27" t="n"/>
      <c r="U350" s="28" t="n"/>
      <c r="V350" s="28" t="n"/>
      <c r="W350" s="32">
        <f>IF(LEN(R350)=0,"",IF(ISNUMBER(V350),"Closed",IF(AND(ISNUMBER(U350),U350&lt;TODAY()),"Overdue","Open")))</f>
        <v/>
      </c>
      <c r="X350" s="27" t="n"/>
      <c r="Y350" s="27" t="n"/>
    </row>
    <row r="351">
      <c r="A351" s="28" t="n"/>
      <c r="B351" s="29" t="n"/>
      <c r="C351" s="27" t="n"/>
      <c r="D351" s="27" t="n"/>
      <c r="E351" s="27" t="n"/>
      <c r="F351" s="27" t="n"/>
      <c r="G351" s="27" t="n"/>
      <c r="H351" s="27" t="n"/>
      <c r="I351" s="27" t="n"/>
      <c r="J351" s="25" t="n"/>
      <c r="K351" s="25" t="n"/>
      <c r="L351" s="25" t="n"/>
      <c r="M351" s="25" t="n"/>
      <c r="N351" s="33">
        <f>IF(AND(L351="",M351=""),"",(N(L351)*60+N(M351))/86400)</f>
        <v/>
      </c>
      <c r="O351" s="27" t="n"/>
      <c r="P351" s="27" t="n"/>
      <c r="Q351" s="27" t="n"/>
      <c r="R351" s="27" t="n"/>
      <c r="S351" s="27" t="n"/>
      <c r="T351" s="27" t="n"/>
      <c r="U351" s="28" t="n"/>
      <c r="V351" s="28" t="n"/>
      <c r="W351" s="32">
        <f>IF(LEN(R351)=0,"",IF(ISNUMBER(V351),"Closed",IF(AND(ISNUMBER(U351),U351&lt;TODAY()),"Overdue","Open")))</f>
        <v/>
      </c>
      <c r="X351" s="27" t="n"/>
      <c r="Y351" s="27" t="n"/>
    </row>
    <row r="352">
      <c r="A352" s="28" t="n"/>
      <c r="B352" s="29" t="n"/>
      <c r="C352" s="27" t="n"/>
      <c r="D352" s="27" t="n"/>
      <c r="E352" s="27" t="n"/>
      <c r="F352" s="27" t="n"/>
      <c r="G352" s="27" t="n"/>
      <c r="H352" s="27" t="n"/>
      <c r="I352" s="27" t="n"/>
      <c r="J352" s="25" t="n"/>
      <c r="K352" s="25" t="n"/>
      <c r="L352" s="25" t="n"/>
      <c r="M352" s="25" t="n"/>
      <c r="N352" s="33">
        <f>IF(AND(L352="",M352=""),"",(N(L352)*60+N(M352))/86400)</f>
        <v/>
      </c>
      <c r="O352" s="27" t="n"/>
      <c r="P352" s="27" t="n"/>
      <c r="Q352" s="27" t="n"/>
      <c r="R352" s="27" t="n"/>
      <c r="S352" s="27" t="n"/>
      <c r="T352" s="27" t="n"/>
      <c r="U352" s="28" t="n"/>
      <c r="V352" s="28" t="n"/>
      <c r="W352" s="32">
        <f>IF(LEN(R352)=0,"",IF(ISNUMBER(V352),"Closed",IF(AND(ISNUMBER(U352),U352&lt;TODAY()),"Overdue","Open")))</f>
        <v/>
      </c>
      <c r="X352" s="27" t="n"/>
      <c r="Y352" s="27" t="n"/>
    </row>
    <row r="353">
      <c r="A353" s="28" t="n"/>
      <c r="B353" s="29" t="n"/>
      <c r="C353" s="27" t="n"/>
      <c r="D353" s="27" t="n"/>
      <c r="E353" s="27" t="n"/>
      <c r="F353" s="27" t="n"/>
      <c r="G353" s="27" t="n"/>
      <c r="H353" s="27" t="n"/>
      <c r="I353" s="27" t="n"/>
      <c r="J353" s="25" t="n"/>
      <c r="K353" s="25" t="n"/>
      <c r="L353" s="25" t="n"/>
      <c r="M353" s="25" t="n"/>
      <c r="N353" s="33">
        <f>IF(AND(L353="",M353=""),"",(N(L353)*60+N(M353))/86400)</f>
        <v/>
      </c>
      <c r="O353" s="27" t="n"/>
      <c r="P353" s="27" t="n"/>
      <c r="Q353" s="27" t="n"/>
      <c r="R353" s="27" t="n"/>
      <c r="S353" s="27" t="n"/>
      <c r="T353" s="27" t="n"/>
      <c r="U353" s="28" t="n"/>
      <c r="V353" s="28" t="n"/>
      <c r="W353" s="32">
        <f>IF(LEN(R353)=0,"",IF(ISNUMBER(V353),"Closed",IF(AND(ISNUMBER(U353),U353&lt;TODAY()),"Overdue","Open")))</f>
        <v/>
      </c>
      <c r="X353" s="27" t="n"/>
      <c r="Y353" s="27" t="n"/>
    </row>
    <row r="354">
      <c r="A354" s="28" t="n"/>
      <c r="B354" s="29" t="n"/>
      <c r="C354" s="27" t="n"/>
      <c r="D354" s="27" t="n"/>
      <c r="E354" s="27" t="n"/>
      <c r="F354" s="27" t="n"/>
      <c r="G354" s="27" t="n"/>
      <c r="H354" s="27" t="n"/>
      <c r="I354" s="27" t="n"/>
      <c r="J354" s="25" t="n"/>
      <c r="K354" s="25" t="n"/>
      <c r="L354" s="25" t="n"/>
      <c r="M354" s="25" t="n"/>
      <c r="N354" s="33">
        <f>IF(AND(L354="",M354=""),"",(N(L354)*60+N(M354))/86400)</f>
        <v/>
      </c>
      <c r="O354" s="27" t="n"/>
      <c r="P354" s="27" t="n"/>
      <c r="Q354" s="27" t="n"/>
      <c r="R354" s="27" t="n"/>
      <c r="S354" s="27" t="n"/>
      <c r="T354" s="27" t="n"/>
      <c r="U354" s="28" t="n"/>
      <c r="V354" s="28" t="n"/>
      <c r="W354" s="32">
        <f>IF(LEN(R354)=0,"",IF(ISNUMBER(V354),"Closed",IF(AND(ISNUMBER(U354),U354&lt;TODAY()),"Overdue","Open")))</f>
        <v/>
      </c>
      <c r="X354" s="27" t="n"/>
      <c r="Y354" s="27" t="n"/>
    </row>
    <row r="355">
      <c r="A355" s="28" t="n"/>
      <c r="B355" s="29" t="n"/>
      <c r="C355" s="27" t="n"/>
      <c r="D355" s="27" t="n"/>
      <c r="E355" s="27" t="n"/>
      <c r="F355" s="27" t="n"/>
      <c r="G355" s="27" t="n"/>
      <c r="H355" s="27" t="n"/>
      <c r="I355" s="27" t="n"/>
      <c r="J355" s="25" t="n"/>
      <c r="K355" s="25" t="n"/>
      <c r="L355" s="25" t="n"/>
      <c r="M355" s="25" t="n"/>
      <c r="N355" s="33">
        <f>IF(AND(L355="",M355=""),"",(N(L355)*60+N(M355))/86400)</f>
        <v/>
      </c>
      <c r="O355" s="27" t="n"/>
      <c r="P355" s="27" t="n"/>
      <c r="Q355" s="27" t="n"/>
      <c r="R355" s="27" t="n"/>
      <c r="S355" s="27" t="n"/>
      <c r="T355" s="27" t="n"/>
      <c r="U355" s="28" t="n"/>
      <c r="V355" s="28" t="n"/>
      <c r="W355" s="32">
        <f>IF(LEN(R355)=0,"",IF(ISNUMBER(V355),"Closed",IF(AND(ISNUMBER(U355),U355&lt;TODAY()),"Overdue","Open")))</f>
        <v/>
      </c>
      <c r="X355" s="27" t="n"/>
      <c r="Y355" s="27" t="n"/>
    </row>
    <row r="356">
      <c r="A356" s="28" t="n"/>
      <c r="B356" s="29" t="n"/>
      <c r="C356" s="27" t="n"/>
      <c r="D356" s="27" t="n"/>
      <c r="E356" s="27" t="n"/>
      <c r="F356" s="27" t="n"/>
      <c r="G356" s="27" t="n"/>
      <c r="H356" s="27" t="n"/>
      <c r="I356" s="27" t="n"/>
      <c r="J356" s="25" t="n"/>
      <c r="K356" s="25" t="n"/>
      <c r="L356" s="25" t="n"/>
      <c r="M356" s="25" t="n"/>
      <c r="N356" s="33">
        <f>IF(AND(L356="",M356=""),"",(N(L356)*60+N(M356))/86400)</f>
        <v/>
      </c>
      <c r="O356" s="27" t="n"/>
      <c r="P356" s="27" t="n"/>
      <c r="Q356" s="27" t="n"/>
      <c r="R356" s="27" t="n"/>
      <c r="S356" s="27" t="n"/>
      <c r="T356" s="27" t="n"/>
      <c r="U356" s="28" t="n"/>
      <c r="V356" s="28" t="n"/>
      <c r="W356" s="32">
        <f>IF(LEN(R356)=0,"",IF(ISNUMBER(V356),"Closed",IF(AND(ISNUMBER(U356),U356&lt;TODAY()),"Overdue","Open")))</f>
        <v/>
      </c>
      <c r="X356" s="27" t="n"/>
      <c r="Y356" s="27" t="n"/>
    </row>
    <row r="357">
      <c r="A357" s="28" t="n"/>
      <c r="B357" s="29" t="n"/>
      <c r="C357" s="27" t="n"/>
      <c r="D357" s="27" t="n"/>
      <c r="E357" s="27" t="n"/>
      <c r="F357" s="27" t="n"/>
      <c r="G357" s="27" t="n"/>
      <c r="H357" s="27" t="n"/>
      <c r="I357" s="27" t="n"/>
      <c r="J357" s="25" t="n"/>
      <c r="K357" s="25" t="n"/>
      <c r="L357" s="25" t="n"/>
      <c r="M357" s="25" t="n"/>
      <c r="N357" s="33">
        <f>IF(AND(L357="",M357=""),"",(N(L357)*60+N(M357))/86400)</f>
        <v/>
      </c>
      <c r="O357" s="27" t="n"/>
      <c r="P357" s="27" t="n"/>
      <c r="Q357" s="27" t="n"/>
      <c r="R357" s="27" t="n"/>
      <c r="S357" s="27" t="n"/>
      <c r="T357" s="27" t="n"/>
      <c r="U357" s="28" t="n"/>
      <c r="V357" s="28" t="n"/>
      <c r="W357" s="32">
        <f>IF(LEN(R357)=0,"",IF(ISNUMBER(V357),"Closed",IF(AND(ISNUMBER(U357),U357&lt;TODAY()),"Overdue","Open")))</f>
        <v/>
      </c>
      <c r="X357" s="27" t="n"/>
      <c r="Y357" s="27" t="n"/>
    </row>
    <row r="358">
      <c r="A358" s="28" t="n"/>
      <c r="B358" s="29" t="n"/>
      <c r="C358" s="27" t="n"/>
      <c r="D358" s="27" t="n"/>
      <c r="E358" s="27" t="n"/>
      <c r="F358" s="27" t="n"/>
      <c r="G358" s="27" t="n"/>
      <c r="H358" s="27" t="n"/>
      <c r="I358" s="27" t="n"/>
      <c r="J358" s="25" t="n"/>
      <c r="K358" s="25" t="n"/>
      <c r="L358" s="25" t="n"/>
      <c r="M358" s="25" t="n"/>
      <c r="N358" s="33">
        <f>IF(AND(L358="",M358=""),"",(N(L358)*60+N(M358))/86400)</f>
        <v/>
      </c>
      <c r="O358" s="27" t="n"/>
      <c r="P358" s="27" t="n"/>
      <c r="Q358" s="27" t="n"/>
      <c r="R358" s="27" t="n"/>
      <c r="S358" s="27" t="n"/>
      <c r="T358" s="27" t="n"/>
      <c r="U358" s="28" t="n"/>
      <c r="V358" s="28" t="n"/>
      <c r="W358" s="32">
        <f>IF(LEN(R358)=0,"",IF(ISNUMBER(V358),"Closed",IF(AND(ISNUMBER(U358),U358&lt;TODAY()),"Overdue","Open")))</f>
        <v/>
      </c>
      <c r="X358" s="27" t="n"/>
      <c r="Y358" s="27" t="n"/>
    </row>
    <row r="359">
      <c r="A359" s="28" t="n"/>
      <c r="B359" s="29" t="n"/>
      <c r="C359" s="27" t="n"/>
      <c r="D359" s="27" t="n"/>
      <c r="E359" s="27" t="n"/>
      <c r="F359" s="27" t="n"/>
      <c r="G359" s="27" t="n"/>
      <c r="H359" s="27" t="n"/>
      <c r="I359" s="27" t="n"/>
      <c r="J359" s="25" t="n"/>
      <c r="K359" s="25" t="n"/>
      <c r="L359" s="25" t="n"/>
      <c r="M359" s="25" t="n"/>
      <c r="N359" s="33">
        <f>IF(AND(L359="",M359=""),"",(N(L359)*60+N(M359))/86400)</f>
        <v/>
      </c>
      <c r="O359" s="27" t="n"/>
      <c r="P359" s="27" t="n"/>
      <c r="Q359" s="27" t="n"/>
      <c r="R359" s="27" t="n"/>
      <c r="S359" s="27" t="n"/>
      <c r="T359" s="27" t="n"/>
      <c r="U359" s="28" t="n"/>
      <c r="V359" s="28" t="n"/>
      <c r="W359" s="32">
        <f>IF(LEN(R359)=0,"",IF(ISNUMBER(V359),"Closed",IF(AND(ISNUMBER(U359),U359&lt;TODAY()),"Overdue","Open")))</f>
        <v/>
      </c>
      <c r="X359" s="27" t="n"/>
      <c r="Y359" s="27" t="n"/>
    </row>
    <row r="360">
      <c r="A360" s="28" t="n"/>
      <c r="B360" s="29" t="n"/>
      <c r="C360" s="27" t="n"/>
      <c r="D360" s="27" t="n"/>
      <c r="E360" s="27" t="n"/>
      <c r="F360" s="27" t="n"/>
      <c r="G360" s="27" t="n"/>
      <c r="H360" s="27" t="n"/>
      <c r="I360" s="27" t="n"/>
      <c r="J360" s="25" t="n"/>
      <c r="K360" s="25" t="n"/>
      <c r="L360" s="25" t="n"/>
      <c r="M360" s="25" t="n"/>
      <c r="N360" s="33">
        <f>IF(AND(L360="",M360=""),"",(N(L360)*60+N(M360))/86400)</f>
        <v/>
      </c>
      <c r="O360" s="27" t="n"/>
      <c r="P360" s="27" t="n"/>
      <c r="Q360" s="27" t="n"/>
      <c r="R360" s="27" t="n"/>
      <c r="S360" s="27" t="n"/>
      <c r="T360" s="27" t="n"/>
      <c r="U360" s="28" t="n"/>
      <c r="V360" s="28" t="n"/>
      <c r="W360" s="32">
        <f>IF(LEN(R360)=0,"",IF(ISNUMBER(V360),"Closed",IF(AND(ISNUMBER(U360),U360&lt;TODAY()),"Overdue","Open")))</f>
        <v/>
      </c>
      <c r="X360" s="27" t="n"/>
      <c r="Y360" s="27" t="n"/>
    </row>
    <row r="361">
      <c r="A361" s="28" t="n"/>
      <c r="B361" s="29" t="n"/>
      <c r="C361" s="27" t="n"/>
      <c r="D361" s="27" t="n"/>
      <c r="E361" s="27" t="n"/>
      <c r="F361" s="27" t="n"/>
      <c r="G361" s="27" t="n"/>
      <c r="H361" s="27" t="n"/>
      <c r="I361" s="27" t="n"/>
      <c r="J361" s="25" t="n"/>
      <c r="K361" s="25" t="n"/>
      <c r="L361" s="25" t="n"/>
      <c r="M361" s="25" t="n"/>
      <c r="N361" s="33">
        <f>IF(AND(L361="",M361=""),"",(N(L361)*60+N(M361))/86400)</f>
        <v/>
      </c>
      <c r="O361" s="27" t="n"/>
      <c r="P361" s="27" t="n"/>
      <c r="Q361" s="27" t="n"/>
      <c r="R361" s="27" t="n"/>
      <c r="S361" s="27" t="n"/>
      <c r="T361" s="27" t="n"/>
      <c r="U361" s="28" t="n"/>
      <c r="V361" s="28" t="n"/>
      <c r="W361" s="32">
        <f>IF(LEN(R361)=0,"",IF(ISNUMBER(V361),"Closed",IF(AND(ISNUMBER(U361),U361&lt;TODAY()),"Overdue","Open")))</f>
        <v/>
      </c>
      <c r="X361" s="27" t="n"/>
      <c r="Y361" s="27" t="n"/>
    </row>
    <row r="362">
      <c r="A362" s="28" t="n"/>
      <c r="B362" s="29" t="n"/>
      <c r="C362" s="27" t="n"/>
      <c r="D362" s="27" t="n"/>
      <c r="E362" s="27" t="n"/>
      <c r="F362" s="27" t="n"/>
      <c r="G362" s="27" t="n"/>
      <c r="H362" s="27" t="n"/>
      <c r="I362" s="27" t="n"/>
      <c r="J362" s="25" t="n"/>
      <c r="K362" s="25" t="n"/>
      <c r="L362" s="25" t="n"/>
      <c r="M362" s="25" t="n"/>
      <c r="N362" s="33">
        <f>IF(AND(L362="",M362=""),"",(N(L362)*60+N(M362))/86400)</f>
        <v/>
      </c>
      <c r="O362" s="27" t="n"/>
      <c r="P362" s="27" t="n"/>
      <c r="Q362" s="27" t="n"/>
      <c r="R362" s="27" t="n"/>
      <c r="S362" s="27" t="n"/>
      <c r="T362" s="27" t="n"/>
      <c r="U362" s="28" t="n"/>
      <c r="V362" s="28" t="n"/>
      <c r="W362" s="32">
        <f>IF(LEN(R362)=0,"",IF(ISNUMBER(V362),"Closed",IF(AND(ISNUMBER(U362),U362&lt;TODAY()),"Overdue","Open")))</f>
        <v/>
      </c>
      <c r="X362" s="27" t="n"/>
      <c r="Y362" s="27" t="n"/>
    </row>
    <row r="363">
      <c r="A363" s="28" t="n"/>
      <c r="B363" s="29" t="n"/>
      <c r="C363" s="27" t="n"/>
      <c r="D363" s="27" t="n"/>
      <c r="E363" s="27" t="n"/>
      <c r="F363" s="27" t="n"/>
      <c r="G363" s="27" t="n"/>
      <c r="H363" s="27" t="n"/>
      <c r="I363" s="27" t="n"/>
      <c r="J363" s="25" t="n"/>
      <c r="K363" s="25" t="n"/>
      <c r="L363" s="25" t="n"/>
      <c r="M363" s="25" t="n"/>
      <c r="N363" s="33">
        <f>IF(AND(L363="",M363=""),"",(N(L363)*60+N(M363))/86400)</f>
        <v/>
      </c>
      <c r="O363" s="27" t="n"/>
      <c r="P363" s="27" t="n"/>
      <c r="Q363" s="27" t="n"/>
      <c r="R363" s="27" t="n"/>
      <c r="S363" s="27" t="n"/>
      <c r="T363" s="27" t="n"/>
      <c r="U363" s="28" t="n"/>
      <c r="V363" s="28" t="n"/>
      <c r="W363" s="32">
        <f>IF(LEN(R363)=0,"",IF(ISNUMBER(V363),"Closed",IF(AND(ISNUMBER(U363),U363&lt;TODAY()),"Overdue","Open")))</f>
        <v/>
      </c>
      <c r="X363" s="27" t="n"/>
      <c r="Y363" s="27" t="n"/>
    </row>
    <row r="364">
      <c r="A364" s="28" t="n"/>
      <c r="B364" s="29" t="n"/>
      <c r="C364" s="27" t="n"/>
      <c r="D364" s="27" t="n"/>
      <c r="E364" s="27" t="n"/>
      <c r="F364" s="27" t="n"/>
      <c r="G364" s="27" t="n"/>
      <c r="H364" s="27" t="n"/>
      <c r="I364" s="27" t="n"/>
      <c r="J364" s="25" t="n"/>
      <c r="K364" s="25" t="n"/>
      <c r="L364" s="25" t="n"/>
      <c r="M364" s="25" t="n"/>
      <c r="N364" s="33">
        <f>IF(AND(L364="",M364=""),"",(N(L364)*60+N(M364))/86400)</f>
        <v/>
      </c>
      <c r="O364" s="27" t="n"/>
      <c r="P364" s="27" t="n"/>
      <c r="Q364" s="27" t="n"/>
      <c r="R364" s="27" t="n"/>
      <c r="S364" s="27" t="n"/>
      <c r="T364" s="27" t="n"/>
      <c r="U364" s="28" t="n"/>
      <c r="V364" s="28" t="n"/>
      <c r="W364" s="32">
        <f>IF(LEN(R364)=0,"",IF(ISNUMBER(V364),"Closed",IF(AND(ISNUMBER(U364),U364&lt;TODAY()),"Overdue","Open")))</f>
        <v/>
      </c>
      <c r="X364" s="27" t="n"/>
      <c r="Y364" s="27" t="n"/>
    </row>
    <row r="365">
      <c r="A365" s="28" t="n"/>
      <c r="B365" s="29" t="n"/>
      <c r="C365" s="27" t="n"/>
      <c r="D365" s="27" t="n"/>
      <c r="E365" s="27" t="n"/>
      <c r="F365" s="27" t="n"/>
      <c r="G365" s="27" t="n"/>
      <c r="H365" s="27" t="n"/>
      <c r="I365" s="27" t="n"/>
      <c r="J365" s="25" t="n"/>
      <c r="K365" s="25" t="n"/>
      <c r="L365" s="25" t="n"/>
      <c r="M365" s="25" t="n"/>
      <c r="N365" s="33">
        <f>IF(AND(L365="",M365=""),"",(N(L365)*60+N(M365))/86400)</f>
        <v/>
      </c>
      <c r="O365" s="27" t="n"/>
      <c r="P365" s="27" t="n"/>
      <c r="Q365" s="27" t="n"/>
      <c r="R365" s="27" t="n"/>
      <c r="S365" s="27" t="n"/>
      <c r="T365" s="27" t="n"/>
      <c r="U365" s="28" t="n"/>
      <c r="V365" s="28" t="n"/>
      <c r="W365" s="32">
        <f>IF(LEN(R365)=0,"",IF(ISNUMBER(V365),"Closed",IF(AND(ISNUMBER(U365),U365&lt;TODAY()),"Overdue","Open")))</f>
        <v/>
      </c>
      <c r="X365" s="27" t="n"/>
      <c r="Y365" s="27" t="n"/>
    </row>
    <row r="366">
      <c r="A366" s="28" t="n"/>
      <c r="B366" s="29" t="n"/>
      <c r="C366" s="27" t="n"/>
      <c r="D366" s="27" t="n"/>
      <c r="E366" s="27" t="n"/>
      <c r="F366" s="27" t="n"/>
      <c r="G366" s="27" t="n"/>
      <c r="H366" s="27" t="n"/>
      <c r="I366" s="27" t="n"/>
      <c r="J366" s="25" t="n"/>
      <c r="K366" s="25" t="n"/>
      <c r="L366" s="25" t="n"/>
      <c r="M366" s="25" t="n"/>
      <c r="N366" s="33">
        <f>IF(AND(L366="",M366=""),"",(N(L366)*60+N(M366))/86400)</f>
        <v/>
      </c>
      <c r="O366" s="27" t="n"/>
      <c r="P366" s="27" t="n"/>
      <c r="Q366" s="27" t="n"/>
      <c r="R366" s="27" t="n"/>
      <c r="S366" s="27" t="n"/>
      <c r="T366" s="27" t="n"/>
      <c r="U366" s="28" t="n"/>
      <c r="V366" s="28" t="n"/>
      <c r="W366" s="32">
        <f>IF(LEN(R366)=0,"",IF(ISNUMBER(V366),"Closed",IF(AND(ISNUMBER(U366),U366&lt;TODAY()),"Overdue","Open")))</f>
        <v/>
      </c>
      <c r="X366" s="27" t="n"/>
      <c r="Y366" s="27" t="n"/>
    </row>
    <row r="367">
      <c r="A367" s="28" t="n"/>
      <c r="B367" s="29" t="n"/>
      <c r="C367" s="27" t="n"/>
      <c r="D367" s="27" t="n"/>
      <c r="E367" s="27" t="n"/>
      <c r="F367" s="27" t="n"/>
      <c r="G367" s="27" t="n"/>
      <c r="H367" s="27" t="n"/>
      <c r="I367" s="27" t="n"/>
      <c r="J367" s="25" t="n"/>
      <c r="K367" s="25" t="n"/>
      <c r="L367" s="25" t="n"/>
      <c r="M367" s="25" t="n"/>
      <c r="N367" s="33">
        <f>IF(AND(L367="",M367=""),"",(N(L367)*60+N(M367))/86400)</f>
        <v/>
      </c>
      <c r="O367" s="27" t="n"/>
      <c r="P367" s="27" t="n"/>
      <c r="Q367" s="27" t="n"/>
      <c r="R367" s="27" t="n"/>
      <c r="S367" s="27" t="n"/>
      <c r="T367" s="27" t="n"/>
      <c r="U367" s="28" t="n"/>
      <c r="V367" s="28" t="n"/>
      <c r="W367" s="32">
        <f>IF(LEN(R367)=0,"",IF(ISNUMBER(V367),"Closed",IF(AND(ISNUMBER(U367),U367&lt;TODAY()),"Overdue","Open")))</f>
        <v/>
      </c>
      <c r="X367" s="27" t="n"/>
      <c r="Y367" s="27" t="n"/>
    </row>
    <row r="368">
      <c r="A368" s="28" t="n"/>
      <c r="B368" s="29" t="n"/>
      <c r="C368" s="27" t="n"/>
      <c r="D368" s="27" t="n"/>
      <c r="E368" s="27" t="n"/>
      <c r="F368" s="27" t="n"/>
      <c r="G368" s="27" t="n"/>
      <c r="H368" s="27" t="n"/>
      <c r="I368" s="27" t="n"/>
      <c r="J368" s="25" t="n"/>
      <c r="K368" s="25" t="n"/>
      <c r="L368" s="25" t="n"/>
      <c r="M368" s="25" t="n"/>
      <c r="N368" s="33">
        <f>IF(AND(L368="",M368=""),"",(N(L368)*60+N(M368))/86400)</f>
        <v/>
      </c>
      <c r="O368" s="27" t="n"/>
      <c r="P368" s="27" t="n"/>
      <c r="Q368" s="27" t="n"/>
      <c r="R368" s="27" t="n"/>
      <c r="S368" s="27" t="n"/>
      <c r="T368" s="27" t="n"/>
      <c r="U368" s="28" t="n"/>
      <c r="V368" s="28" t="n"/>
      <c r="W368" s="32">
        <f>IF(LEN(R368)=0,"",IF(ISNUMBER(V368),"Closed",IF(AND(ISNUMBER(U368),U368&lt;TODAY()),"Overdue","Open")))</f>
        <v/>
      </c>
      <c r="X368" s="27" t="n"/>
      <c r="Y368" s="27" t="n"/>
    </row>
    <row r="369">
      <c r="A369" s="28" t="n"/>
      <c r="B369" s="29" t="n"/>
      <c r="C369" s="27" t="n"/>
      <c r="D369" s="27" t="n"/>
      <c r="E369" s="27" t="n"/>
      <c r="F369" s="27" t="n"/>
      <c r="G369" s="27" t="n"/>
      <c r="H369" s="27" t="n"/>
      <c r="I369" s="27" t="n"/>
      <c r="J369" s="25" t="n"/>
      <c r="K369" s="25" t="n"/>
      <c r="L369" s="25" t="n"/>
      <c r="M369" s="25" t="n"/>
      <c r="N369" s="33">
        <f>IF(AND(L369="",M369=""),"",(N(L369)*60+N(M369))/86400)</f>
        <v/>
      </c>
      <c r="O369" s="27" t="n"/>
      <c r="P369" s="27" t="n"/>
      <c r="Q369" s="27" t="n"/>
      <c r="R369" s="27" t="n"/>
      <c r="S369" s="27" t="n"/>
      <c r="T369" s="27" t="n"/>
      <c r="U369" s="28" t="n"/>
      <c r="V369" s="28" t="n"/>
      <c r="W369" s="32">
        <f>IF(LEN(R369)=0,"",IF(ISNUMBER(V369),"Closed",IF(AND(ISNUMBER(U369),U369&lt;TODAY()),"Overdue","Open")))</f>
        <v/>
      </c>
      <c r="X369" s="27" t="n"/>
      <c r="Y369" s="27" t="n"/>
    </row>
    <row r="370">
      <c r="A370" s="28" t="n"/>
      <c r="B370" s="29" t="n"/>
      <c r="C370" s="27" t="n"/>
      <c r="D370" s="27" t="n"/>
      <c r="E370" s="27" t="n"/>
      <c r="F370" s="27" t="n"/>
      <c r="G370" s="27" t="n"/>
      <c r="H370" s="27" t="n"/>
      <c r="I370" s="27" t="n"/>
      <c r="J370" s="25" t="n"/>
      <c r="K370" s="25" t="n"/>
      <c r="L370" s="25" t="n"/>
      <c r="M370" s="25" t="n"/>
      <c r="N370" s="33">
        <f>IF(AND(L370="",M370=""),"",(N(L370)*60+N(M370))/86400)</f>
        <v/>
      </c>
      <c r="O370" s="27" t="n"/>
      <c r="P370" s="27" t="n"/>
      <c r="Q370" s="27" t="n"/>
      <c r="R370" s="27" t="n"/>
      <c r="S370" s="27" t="n"/>
      <c r="T370" s="27" t="n"/>
      <c r="U370" s="28" t="n"/>
      <c r="V370" s="28" t="n"/>
      <c r="W370" s="32">
        <f>IF(LEN(R370)=0,"",IF(ISNUMBER(V370),"Closed",IF(AND(ISNUMBER(U370),U370&lt;TODAY()),"Overdue","Open")))</f>
        <v/>
      </c>
      <c r="X370" s="27" t="n"/>
      <c r="Y370" s="27" t="n"/>
    </row>
    <row r="371">
      <c r="A371" s="28" t="n"/>
      <c r="B371" s="29" t="n"/>
      <c r="C371" s="27" t="n"/>
      <c r="D371" s="27" t="n"/>
      <c r="E371" s="27" t="n"/>
      <c r="F371" s="27" t="n"/>
      <c r="G371" s="27" t="n"/>
      <c r="H371" s="27" t="n"/>
      <c r="I371" s="27" t="n"/>
      <c r="J371" s="25" t="n"/>
      <c r="K371" s="25" t="n"/>
      <c r="L371" s="25" t="n"/>
      <c r="M371" s="25" t="n"/>
      <c r="N371" s="33">
        <f>IF(AND(L371="",M371=""),"",(N(L371)*60+N(M371))/86400)</f>
        <v/>
      </c>
      <c r="O371" s="27" t="n"/>
      <c r="P371" s="27" t="n"/>
      <c r="Q371" s="27" t="n"/>
      <c r="R371" s="27" t="n"/>
      <c r="S371" s="27" t="n"/>
      <c r="T371" s="27" t="n"/>
      <c r="U371" s="28" t="n"/>
      <c r="V371" s="28" t="n"/>
      <c r="W371" s="32">
        <f>IF(LEN(R371)=0,"",IF(ISNUMBER(V371),"Closed",IF(AND(ISNUMBER(U371),U371&lt;TODAY()),"Overdue","Open")))</f>
        <v/>
      </c>
      <c r="X371" s="27" t="n"/>
      <c r="Y371" s="27" t="n"/>
    </row>
    <row r="372">
      <c r="A372" s="28" t="n"/>
      <c r="B372" s="29" t="n"/>
      <c r="C372" s="27" t="n"/>
      <c r="D372" s="27" t="n"/>
      <c r="E372" s="27" t="n"/>
      <c r="F372" s="27" t="n"/>
      <c r="G372" s="27" t="n"/>
      <c r="H372" s="27" t="n"/>
      <c r="I372" s="27" t="n"/>
      <c r="J372" s="25" t="n"/>
      <c r="K372" s="25" t="n"/>
      <c r="L372" s="25" t="n"/>
      <c r="M372" s="25" t="n"/>
      <c r="N372" s="33">
        <f>IF(AND(L372="",M372=""),"",(N(L372)*60+N(M372))/86400)</f>
        <v/>
      </c>
      <c r="O372" s="27" t="n"/>
      <c r="P372" s="27" t="n"/>
      <c r="Q372" s="27" t="n"/>
      <c r="R372" s="27" t="n"/>
      <c r="S372" s="27" t="n"/>
      <c r="T372" s="27" t="n"/>
      <c r="U372" s="28" t="n"/>
      <c r="V372" s="28" t="n"/>
      <c r="W372" s="32">
        <f>IF(LEN(R372)=0,"",IF(ISNUMBER(V372),"Closed",IF(AND(ISNUMBER(U372),U372&lt;TODAY()),"Overdue","Open")))</f>
        <v/>
      </c>
      <c r="X372" s="27" t="n"/>
      <c r="Y372" s="27" t="n"/>
    </row>
    <row r="373">
      <c r="A373" s="28" t="n"/>
      <c r="B373" s="29" t="n"/>
      <c r="C373" s="27" t="n"/>
      <c r="D373" s="27" t="n"/>
      <c r="E373" s="27" t="n"/>
      <c r="F373" s="27" t="n"/>
      <c r="G373" s="27" t="n"/>
      <c r="H373" s="27" t="n"/>
      <c r="I373" s="27" t="n"/>
      <c r="J373" s="25" t="n"/>
      <c r="K373" s="25" t="n"/>
      <c r="L373" s="25" t="n"/>
      <c r="M373" s="25" t="n"/>
      <c r="N373" s="33">
        <f>IF(AND(L373="",M373=""),"",(N(L373)*60+N(M373))/86400)</f>
        <v/>
      </c>
      <c r="O373" s="27" t="n"/>
      <c r="P373" s="27" t="n"/>
      <c r="Q373" s="27" t="n"/>
      <c r="R373" s="27" t="n"/>
      <c r="S373" s="27" t="n"/>
      <c r="T373" s="27" t="n"/>
      <c r="U373" s="28" t="n"/>
      <c r="V373" s="28" t="n"/>
      <c r="W373" s="32">
        <f>IF(LEN(R373)=0,"",IF(ISNUMBER(V373),"Closed",IF(AND(ISNUMBER(U373),U373&lt;TODAY()),"Overdue","Open")))</f>
        <v/>
      </c>
      <c r="X373" s="27" t="n"/>
      <c r="Y373" s="27" t="n"/>
    </row>
    <row r="374">
      <c r="A374" s="28" t="n"/>
      <c r="B374" s="29" t="n"/>
      <c r="C374" s="27" t="n"/>
      <c r="D374" s="27" t="n"/>
      <c r="E374" s="27" t="n"/>
      <c r="F374" s="27" t="n"/>
      <c r="G374" s="27" t="n"/>
      <c r="H374" s="27" t="n"/>
      <c r="I374" s="27" t="n"/>
      <c r="J374" s="25" t="n"/>
      <c r="K374" s="25" t="n"/>
      <c r="L374" s="25" t="n"/>
      <c r="M374" s="25" t="n"/>
      <c r="N374" s="33">
        <f>IF(AND(L374="",M374=""),"",(N(L374)*60+N(M374))/86400)</f>
        <v/>
      </c>
      <c r="O374" s="27" t="n"/>
      <c r="P374" s="27" t="n"/>
      <c r="Q374" s="27" t="n"/>
      <c r="R374" s="27" t="n"/>
      <c r="S374" s="27" t="n"/>
      <c r="T374" s="27" t="n"/>
      <c r="U374" s="28" t="n"/>
      <c r="V374" s="28" t="n"/>
      <c r="W374" s="32">
        <f>IF(LEN(R374)=0,"",IF(ISNUMBER(V374),"Closed",IF(AND(ISNUMBER(U374),U374&lt;TODAY()),"Overdue","Open")))</f>
        <v/>
      </c>
      <c r="X374" s="27" t="n"/>
      <c r="Y374" s="27" t="n"/>
    </row>
    <row r="375">
      <c r="A375" s="28" t="n"/>
      <c r="B375" s="29" t="n"/>
      <c r="C375" s="27" t="n"/>
      <c r="D375" s="27" t="n"/>
      <c r="E375" s="27" t="n"/>
      <c r="F375" s="27" t="n"/>
      <c r="G375" s="27" t="n"/>
      <c r="H375" s="27" t="n"/>
      <c r="I375" s="27" t="n"/>
      <c r="J375" s="25" t="n"/>
      <c r="K375" s="25" t="n"/>
      <c r="L375" s="25" t="n"/>
      <c r="M375" s="25" t="n"/>
      <c r="N375" s="33">
        <f>IF(AND(L375="",M375=""),"",(N(L375)*60+N(M375))/86400)</f>
        <v/>
      </c>
      <c r="O375" s="27" t="n"/>
      <c r="P375" s="27" t="n"/>
      <c r="Q375" s="27" t="n"/>
      <c r="R375" s="27" t="n"/>
      <c r="S375" s="27" t="n"/>
      <c r="T375" s="27" t="n"/>
      <c r="U375" s="28" t="n"/>
      <c r="V375" s="28" t="n"/>
      <c r="W375" s="32">
        <f>IF(LEN(R375)=0,"",IF(ISNUMBER(V375),"Closed",IF(AND(ISNUMBER(U375),U375&lt;TODAY()),"Overdue","Open")))</f>
        <v/>
      </c>
      <c r="X375" s="27" t="n"/>
      <c r="Y375" s="27" t="n"/>
    </row>
    <row r="376">
      <c r="A376" s="28" t="n"/>
      <c r="B376" s="29" t="n"/>
      <c r="C376" s="27" t="n"/>
      <c r="D376" s="27" t="n"/>
      <c r="E376" s="27" t="n"/>
      <c r="F376" s="27" t="n"/>
      <c r="G376" s="27" t="n"/>
      <c r="H376" s="27" t="n"/>
      <c r="I376" s="27" t="n"/>
      <c r="J376" s="25" t="n"/>
      <c r="K376" s="25" t="n"/>
      <c r="L376" s="25" t="n"/>
      <c r="M376" s="25" t="n"/>
      <c r="N376" s="33">
        <f>IF(AND(L376="",M376=""),"",(N(L376)*60+N(M376))/86400)</f>
        <v/>
      </c>
      <c r="O376" s="27" t="n"/>
      <c r="P376" s="27" t="n"/>
      <c r="Q376" s="27" t="n"/>
      <c r="R376" s="27" t="n"/>
      <c r="S376" s="27" t="n"/>
      <c r="T376" s="27" t="n"/>
      <c r="U376" s="28" t="n"/>
      <c r="V376" s="28" t="n"/>
      <c r="W376" s="32">
        <f>IF(LEN(R376)=0,"",IF(ISNUMBER(V376),"Closed",IF(AND(ISNUMBER(U376),U376&lt;TODAY()),"Overdue","Open")))</f>
        <v/>
      </c>
      <c r="X376" s="27" t="n"/>
      <c r="Y376" s="27" t="n"/>
    </row>
    <row r="377">
      <c r="A377" s="28" t="n"/>
      <c r="B377" s="29" t="n"/>
      <c r="C377" s="27" t="n"/>
      <c r="D377" s="27" t="n"/>
      <c r="E377" s="27" t="n"/>
      <c r="F377" s="27" t="n"/>
      <c r="G377" s="27" t="n"/>
      <c r="H377" s="27" t="n"/>
      <c r="I377" s="27" t="n"/>
      <c r="J377" s="25" t="n"/>
      <c r="K377" s="25" t="n"/>
      <c r="L377" s="25" t="n"/>
      <c r="M377" s="25" t="n"/>
      <c r="N377" s="33">
        <f>IF(AND(L377="",M377=""),"",(N(L377)*60+N(M377))/86400)</f>
        <v/>
      </c>
      <c r="O377" s="27" t="n"/>
      <c r="P377" s="27" t="n"/>
      <c r="Q377" s="27" t="n"/>
      <c r="R377" s="27" t="n"/>
      <c r="S377" s="27" t="n"/>
      <c r="T377" s="27" t="n"/>
      <c r="U377" s="28" t="n"/>
      <c r="V377" s="28" t="n"/>
      <c r="W377" s="32">
        <f>IF(LEN(R377)=0,"",IF(ISNUMBER(V377),"Closed",IF(AND(ISNUMBER(U377),U377&lt;TODAY()),"Overdue","Open")))</f>
        <v/>
      </c>
      <c r="X377" s="27" t="n"/>
      <c r="Y377" s="27" t="n"/>
    </row>
    <row r="378">
      <c r="A378" s="28" t="n"/>
      <c r="B378" s="29" t="n"/>
      <c r="C378" s="27" t="n"/>
      <c r="D378" s="27" t="n"/>
      <c r="E378" s="27" t="n"/>
      <c r="F378" s="27" t="n"/>
      <c r="G378" s="27" t="n"/>
      <c r="H378" s="27" t="n"/>
      <c r="I378" s="27" t="n"/>
      <c r="J378" s="25" t="n"/>
      <c r="K378" s="25" t="n"/>
      <c r="L378" s="25" t="n"/>
      <c r="M378" s="25" t="n"/>
      <c r="N378" s="33">
        <f>IF(AND(L378="",M378=""),"",(N(L378)*60+N(M378))/86400)</f>
        <v/>
      </c>
      <c r="O378" s="27" t="n"/>
      <c r="P378" s="27" t="n"/>
      <c r="Q378" s="27" t="n"/>
      <c r="R378" s="27" t="n"/>
      <c r="S378" s="27" t="n"/>
      <c r="T378" s="27" t="n"/>
      <c r="U378" s="28" t="n"/>
      <c r="V378" s="28" t="n"/>
      <c r="W378" s="32">
        <f>IF(LEN(R378)=0,"",IF(ISNUMBER(V378),"Closed",IF(AND(ISNUMBER(U378),U378&lt;TODAY()),"Overdue","Open")))</f>
        <v/>
      </c>
      <c r="X378" s="27" t="n"/>
      <c r="Y378" s="27" t="n"/>
    </row>
    <row r="379">
      <c r="A379" s="28" t="n"/>
      <c r="B379" s="29" t="n"/>
      <c r="C379" s="27" t="n"/>
      <c r="D379" s="27" t="n"/>
      <c r="E379" s="27" t="n"/>
      <c r="F379" s="27" t="n"/>
      <c r="G379" s="27" t="n"/>
      <c r="H379" s="27" t="n"/>
      <c r="I379" s="27" t="n"/>
      <c r="J379" s="25" t="n"/>
      <c r="K379" s="25" t="n"/>
      <c r="L379" s="25" t="n"/>
      <c r="M379" s="25" t="n"/>
      <c r="N379" s="33">
        <f>IF(AND(L379="",M379=""),"",(N(L379)*60+N(M379))/86400)</f>
        <v/>
      </c>
      <c r="O379" s="27" t="n"/>
      <c r="P379" s="27" t="n"/>
      <c r="Q379" s="27" t="n"/>
      <c r="R379" s="27" t="n"/>
      <c r="S379" s="27" t="n"/>
      <c r="T379" s="27" t="n"/>
      <c r="U379" s="28" t="n"/>
      <c r="V379" s="28" t="n"/>
      <c r="W379" s="32">
        <f>IF(LEN(R379)=0,"",IF(ISNUMBER(V379),"Closed",IF(AND(ISNUMBER(U379),U379&lt;TODAY()),"Overdue","Open")))</f>
        <v/>
      </c>
      <c r="X379" s="27" t="n"/>
      <c r="Y379" s="27" t="n"/>
    </row>
    <row r="380">
      <c r="A380" s="28" t="n"/>
      <c r="B380" s="29" t="n"/>
      <c r="C380" s="27" t="n"/>
      <c r="D380" s="27" t="n"/>
      <c r="E380" s="27" t="n"/>
      <c r="F380" s="27" t="n"/>
      <c r="G380" s="27" t="n"/>
      <c r="H380" s="27" t="n"/>
      <c r="I380" s="27" t="n"/>
      <c r="J380" s="25" t="n"/>
      <c r="K380" s="25" t="n"/>
      <c r="L380" s="25" t="n"/>
      <c r="M380" s="25" t="n"/>
      <c r="N380" s="33">
        <f>IF(AND(L380="",M380=""),"",(N(L380)*60+N(M380))/86400)</f>
        <v/>
      </c>
      <c r="O380" s="27" t="n"/>
      <c r="P380" s="27" t="n"/>
      <c r="Q380" s="27" t="n"/>
      <c r="R380" s="27" t="n"/>
      <c r="S380" s="27" t="n"/>
      <c r="T380" s="27" t="n"/>
      <c r="U380" s="28" t="n"/>
      <c r="V380" s="28" t="n"/>
      <c r="W380" s="32">
        <f>IF(LEN(R380)=0,"",IF(ISNUMBER(V380),"Closed",IF(AND(ISNUMBER(U380),U380&lt;TODAY()),"Overdue","Open")))</f>
        <v/>
      </c>
      <c r="X380" s="27" t="n"/>
      <c r="Y380" s="27" t="n"/>
    </row>
    <row r="381">
      <c r="A381" s="28" t="n"/>
      <c r="B381" s="29" t="n"/>
      <c r="C381" s="27" t="n"/>
      <c r="D381" s="27" t="n"/>
      <c r="E381" s="27" t="n"/>
      <c r="F381" s="27" t="n"/>
      <c r="G381" s="27" t="n"/>
      <c r="H381" s="27" t="n"/>
      <c r="I381" s="27" t="n"/>
      <c r="J381" s="25" t="n"/>
      <c r="K381" s="25" t="n"/>
      <c r="L381" s="25" t="n"/>
      <c r="M381" s="25" t="n"/>
      <c r="N381" s="33">
        <f>IF(AND(L381="",M381=""),"",(N(L381)*60+N(M381))/86400)</f>
        <v/>
      </c>
      <c r="O381" s="27" t="n"/>
      <c r="P381" s="27" t="n"/>
      <c r="Q381" s="27" t="n"/>
      <c r="R381" s="27" t="n"/>
      <c r="S381" s="27" t="n"/>
      <c r="T381" s="27" t="n"/>
      <c r="U381" s="28" t="n"/>
      <c r="V381" s="28" t="n"/>
      <c r="W381" s="32">
        <f>IF(LEN(R381)=0,"",IF(ISNUMBER(V381),"Closed",IF(AND(ISNUMBER(U381),U381&lt;TODAY()),"Overdue","Open")))</f>
        <v/>
      </c>
      <c r="X381" s="27" t="n"/>
      <c r="Y381" s="27" t="n"/>
    </row>
    <row r="382">
      <c r="A382" s="28" t="n"/>
      <c r="B382" s="29" t="n"/>
      <c r="C382" s="27" t="n"/>
      <c r="D382" s="27" t="n"/>
      <c r="E382" s="27" t="n"/>
      <c r="F382" s="27" t="n"/>
      <c r="G382" s="27" t="n"/>
      <c r="H382" s="27" t="n"/>
      <c r="I382" s="27" t="n"/>
      <c r="J382" s="25" t="n"/>
      <c r="K382" s="25" t="n"/>
      <c r="L382" s="25" t="n"/>
      <c r="M382" s="25" t="n"/>
      <c r="N382" s="33">
        <f>IF(AND(L382="",M382=""),"",(N(L382)*60+N(M382))/86400)</f>
        <v/>
      </c>
      <c r="O382" s="27" t="n"/>
      <c r="P382" s="27" t="n"/>
      <c r="Q382" s="27" t="n"/>
      <c r="R382" s="27" t="n"/>
      <c r="S382" s="27" t="n"/>
      <c r="T382" s="27" t="n"/>
      <c r="U382" s="28" t="n"/>
      <c r="V382" s="28" t="n"/>
      <c r="W382" s="32">
        <f>IF(LEN(R382)=0,"",IF(ISNUMBER(V382),"Closed",IF(AND(ISNUMBER(U382),U382&lt;TODAY()),"Overdue","Open")))</f>
        <v/>
      </c>
      <c r="X382" s="27" t="n"/>
      <c r="Y382" s="27" t="n"/>
    </row>
    <row r="383">
      <c r="A383" s="28" t="n"/>
      <c r="B383" s="29" t="n"/>
      <c r="C383" s="27" t="n"/>
      <c r="D383" s="27" t="n"/>
      <c r="E383" s="27" t="n"/>
      <c r="F383" s="27" t="n"/>
      <c r="G383" s="27" t="n"/>
      <c r="H383" s="27" t="n"/>
      <c r="I383" s="27" t="n"/>
      <c r="J383" s="25" t="n"/>
      <c r="K383" s="25" t="n"/>
      <c r="L383" s="25" t="n"/>
      <c r="M383" s="25" t="n"/>
      <c r="N383" s="33">
        <f>IF(AND(L383="",M383=""),"",(N(L383)*60+N(M383))/86400)</f>
        <v/>
      </c>
      <c r="O383" s="27" t="n"/>
      <c r="P383" s="27" t="n"/>
      <c r="Q383" s="27" t="n"/>
      <c r="R383" s="27" t="n"/>
      <c r="S383" s="27" t="n"/>
      <c r="T383" s="27" t="n"/>
      <c r="U383" s="28" t="n"/>
      <c r="V383" s="28" t="n"/>
      <c r="W383" s="32">
        <f>IF(LEN(R383)=0,"",IF(ISNUMBER(V383),"Closed",IF(AND(ISNUMBER(U383),U383&lt;TODAY()),"Overdue","Open")))</f>
        <v/>
      </c>
      <c r="X383" s="27" t="n"/>
      <c r="Y383" s="27" t="n"/>
    </row>
    <row r="384">
      <c r="A384" s="28" t="n"/>
      <c r="B384" s="29" t="n"/>
      <c r="C384" s="27" t="n"/>
      <c r="D384" s="27" t="n"/>
      <c r="E384" s="27" t="n"/>
      <c r="F384" s="27" t="n"/>
      <c r="G384" s="27" t="n"/>
      <c r="H384" s="27" t="n"/>
      <c r="I384" s="27" t="n"/>
      <c r="J384" s="25" t="n"/>
      <c r="K384" s="25" t="n"/>
      <c r="L384" s="25" t="n"/>
      <c r="M384" s="25" t="n"/>
      <c r="N384" s="33">
        <f>IF(AND(L384="",M384=""),"",(N(L384)*60+N(M384))/86400)</f>
        <v/>
      </c>
      <c r="O384" s="27" t="n"/>
      <c r="P384" s="27" t="n"/>
      <c r="Q384" s="27" t="n"/>
      <c r="R384" s="27" t="n"/>
      <c r="S384" s="27" t="n"/>
      <c r="T384" s="27" t="n"/>
      <c r="U384" s="28" t="n"/>
      <c r="V384" s="28" t="n"/>
      <c r="W384" s="32">
        <f>IF(LEN(R384)=0,"",IF(ISNUMBER(V384),"Closed",IF(AND(ISNUMBER(U384),U384&lt;TODAY()),"Overdue","Open")))</f>
        <v/>
      </c>
      <c r="X384" s="27" t="n"/>
      <c r="Y384" s="27" t="n"/>
    </row>
    <row r="385">
      <c r="A385" s="28" t="n"/>
      <c r="B385" s="29" t="n"/>
      <c r="C385" s="27" t="n"/>
      <c r="D385" s="27" t="n"/>
      <c r="E385" s="27" t="n"/>
      <c r="F385" s="27" t="n"/>
      <c r="G385" s="27" t="n"/>
      <c r="H385" s="27" t="n"/>
      <c r="I385" s="27" t="n"/>
      <c r="J385" s="25" t="n"/>
      <c r="K385" s="25" t="n"/>
      <c r="L385" s="25" t="n"/>
      <c r="M385" s="25" t="n"/>
      <c r="N385" s="33">
        <f>IF(AND(L385="",M385=""),"",(N(L385)*60+N(M385))/86400)</f>
        <v/>
      </c>
      <c r="O385" s="27" t="n"/>
      <c r="P385" s="27" t="n"/>
      <c r="Q385" s="27" t="n"/>
      <c r="R385" s="27" t="n"/>
      <c r="S385" s="27" t="n"/>
      <c r="T385" s="27" t="n"/>
      <c r="U385" s="28" t="n"/>
      <c r="V385" s="28" t="n"/>
      <c r="W385" s="32">
        <f>IF(LEN(R385)=0,"",IF(ISNUMBER(V385),"Closed",IF(AND(ISNUMBER(U385),U385&lt;TODAY()),"Overdue","Open")))</f>
        <v/>
      </c>
      <c r="X385" s="27" t="n"/>
      <c r="Y385" s="27" t="n"/>
    </row>
    <row r="386">
      <c r="A386" s="28" t="n"/>
      <c r="B386" s="29" t="n"/>
      <c r="C386" s="27" t="n"/>
      <c r="D386" s="27" t="n"/>
      <c r="E386" s="27" t="n"/>
      <c r="F386" s="27" t="n"/>
      <c r="G386" s="27" t="n"/>
      <c r="H386" s="27" t="n"/>
      <c r="I386" s="27" t="n"/>
      <c r="J386" s="25" t="n"/>
      <c r="K386" s="25" t="n"/>
      <c r="L386" s="25" t="n"/>
      <c r="M386" s="25" t="n"/>
      <c r="N386" s="33">
        <f>IF(AND(L386="",M386=""),"",(N(L386)*60+N(M386))/86400)</f>
        <v/>
      </c>
      <c r="O386" s="27" t="n"/>
      <c r="P386" s="27" t="n"/>
      <c r="Q386" s="27" t="n"/>
      <c r="R386" s="27" t="n"/>
      <c r="S386" s="27" t="n"/>
      <c r="T386" s="27" t="n"/>
      <c r="U386" s="28" t="n"/>
      <c r="V386" s="28" t="n"/>
      <c r="W386" s="32">
        <f>IF(LEN(R386)=0,"",IF(ISNUMBER(V386),"Closed",IF(AND(ISNUMBER(U386),U386&lt;TODAY()),"Overdue","Open")))</f>
        <v/>
      </c>
      <c r="X386" s="27" t="n"/>
      <c r="Y386" s="27" t="n"/>
    </row>
    <row r="387">
      <c r="A387" s="28" t="n"/>
      <c r="B387" s="29" t="n"/>
      <c r="C387" s="27" t="n"/>
      <c r="D387" s="27" t="n"/>
      <c r="E387" s="27" t="n"/>
      <c r="F387" s="27" t="n"/>
      <c r="G387" s="27" t="n"/>
      <c r="H387" s="27" t="n"/>
      <c r="I387" s="27" t="n"/>
      <c r="J387" s="25" t="n"/>
      <c r="K387" s="25" t="n"/>
      <c r="L387" s="25" t="n"/>
      <c r="M387" s="25" t="n"/>
      <c r="N387" s="33">
        <f>IF(AND(L387="",M387=""),"",(N(L387)*60+N(M387))/86400)</f>
        <v/>
      </c>
      <c r="O387" s="27" t="n"/>
      <c r="P387" s="27" t="n"/>
      <c r="Q387" s="27" t="n"/>
      <c r="R387" s="27" t="n"/>
      <c r="S387" s="27" t="n"/>
      <c r="T387" s="27" t="n"/>
      <c r="U387" s="28" t="n"/>
      <c r="V387" s="28" t="n"/>
      <c r="W387" s="32">
        <f>IF(LEN(R387)=0,"",IF(ISNUMBER(V387),"Closed",IF(AND(ISNUMBER(U387),U387&lt;TODAY()),"Overdue","Open")))</f>
        <v/>
      </c>
      <c r="X387" s="27" t="n"/>
      <c r="Y387" s="27" t="n"/>
    </row>
    <row r="388">
      <c r="A388" s="28" t="n"/>
      <c r="B388" s="29" t="n"/>
      <c r="C388" s="27" t="n"/>
      <c r="D388" s="27" t="n"/>
      <c r="E388" s="27" t="n"/>
      <c r="F388" s="27" t="n"/>
      <c r="G388" s="27" t="n"/>
      <c r="H388" s="27" t="n"/>
      <c r="I388" s="27" t="n"/>
      <c r="J388" s="25" t="n"/>
      <c r="K388" s="25" t="n"/>
      <c r="L388" s="25" t="n"/>
      <c r="M388" s="25" t="n"/>
      <c r="N388" s="33">
        <f>IF(AND(L388="",M388=""),"",(N(L388)*60+N(M388))/86400)</f>
        <v/>
      </c>
      <c r="O388" s="27" t="n"/>
      <c r="P388" s="27" t="n"/>
      <c r="Q388" s="27" t="n"/>
      <c r="R388" s="27" t="n"/>
      <c r="S388" s="27" t="n"/>
      <c r="T388" s="27" t="n"/>
      <c r="U388" s="28" t="n"/>
      <c r="V388" s="28" t="n"/>
      <c r="W388" s="32">
        <f>IF(LEN(R388)=0,"",IF(ISNUMBER(V388),"Closed",IF(AND(ISNUMBER(U388),U388&lt;TODAY()),"Overdue","Open")))</f>
        <v/>
      </c>
      <c r="X388" s="27" t="n"/>
      <c r="Y388" s="27" t="n"/>
    </row>
    <row r="389">
      <c r="A389" s="28" t="n"/>
      <c r="B389" s="29" t="n"/>
      <c r="C389" s="27" t="n"/>
      <c r="D389" s="27" t="n"/>
      <c r="E389" s="27" t="n"/>
      <c r="F389" s="27" t="n"/>
      <c r="G389" s="27" t="n"/>
      <c r="H389" s="27" t="n"/>
      <c r="I389" s="27" t="n"/>
      <c r="J389" s="25" t="n"/>
      <c r="K389" s="25" t="n"/>
      <c r="L389" s="25" t="n"/>
      <c r="M389" s="25" t="n"/>
      <c r="N389" s="33">
        <f>IF(AND(L389="",M389=""),"",(N(L389)*60+N(M389))/86400)</f>
        <v/>
      </c>
      <c r="O389" s="27" t="n"/>
      <c r="P389" s="27" t="n"/>
      <c r="Q389" s="27" t="n"/>
      <c r="R389" s="27" t="n"/>
      <c r="S389" s="27" t="n"/>
      <c r="T389" s="27" t="n"/>
      <c r="U389" s="28" t="n"/>
      <c r="V389" s="28" t="n"/>
      <c r="W389" s="32">
        <f>IF(LEN(R389)=0,"",IF(ISNUMBER(V389),"Closed",IF(AND(ISNUMBER(U389),U389&lt;TODAY()),"Overdue","Open")))</f>
        <v/>
      </c>
      <c r="X389" s="27" t="n"/>
      <c r="Y389" s="27" t="n"/>
    </row>
    <row r="390">
      <c r="A390" s="28" t="n"/>
      <c r="B390" s="29" t="n"/>
      <c r="C390" s="27" t="n"/>
      <c r="D390" s="27" t="n"/>
      <c r="E390" s="27" t="n"/>
      <c r="F390" s="27" t="n"/>
      <c r="G390" s="27" t="n"/>
      <c r="H390" s="27" t="n"/>
      <c r="I390" s="27" t="n"/>
      <c r="J390" s="25" t="n"/>
      <c r="K390" s="25" t="n"/>
      <c r="L390" s="25" t="n"/>
      <c r="M390" s="25" t="n"/>
      <c r="N390" s="33">
        <f>IF(AND(L390="",M390=""),"",(N(L390)*60+N(M390))/86400)</f>
        <v/>
      </c>
      <c r="O390" s="27" t="n"/>
      <c r="P390" s="27" t="n"/>
      <c r="Q390" s="27" t="n"/>
      <c r="R390" s="27" t="n"/>
      <c r="S390" s="27" t="n"/>
      <c r="T390" s="27" t="n"/>
      <c r="U390" s="28" t="n"/>
      <c r="V390" s="28" t="n"/>
      <c r="W390" s="32">
        <f>IF(LEN(R390)=0,"",IF(ISNUMBER(V390),"Closed",IF(AND(ISNUMBER(U390),U390&lt;TODAY()),"Overdue","Open")))</f>
        <v/>
      </c>
      <c r="X390" s="27" t="n"/>
      <c r="Y390" s="27" t="n"/>
    </row>
    <row r="391">
      <c r="A391" s="28" t="n"/>
      <c r="B391" s="29" t="n"/>
      <c r="C391" s="27" t="n"/>
      <c r="D391" s="27" t="n"/>
      <c r="E391" s="27" t="n"/>
      <c r="F391" s="27" t="n"/>
      <c r="G391" s="27" t="n"/>
      <c r="H391" s="27" t="n"/>
      <c r="I391" s="27" t="n"/>
      <c r="J391" s="25" t="n"/>
      <c r="K391" s="25" t="n"/>
      <c r="L391" s="25" t="n"/>
      <c r="M391" s="25" t="n"/>
      <c r="N391" s="33">
        <f>IF(AND(L391="",M391=""),"",(N(L391)*60+N(M391))/86400)</f>
        <v/>
      </c>
      <c r="O391" s="27" t="n"/>
      <c r="P391" s="27" t="n"/>
      <c r="Q391" s="27" t="n"/>
      <c r="R391" s="27" t="n"/>
      <c r="S391" s="27" t="n"/>
      <c r="T391" s="27" t="n"/>
      <c r="U391" s="28" t="n"/>
      <c r="V391" s="28" t="n"/>
      <c r="W391" s="32">
        <f>IF(LEN(R391)=0,"",IF(ISNUMBER(V391),"Closed",IF(AND(ISNUMBER(U391),U391&lt;TODAY()),"Overdue","Open")))</f>
        <v/>
      </c>
      <c r="X391" s="27" t="n"/>
      <c r="Y391" s="27" t="n"/>
    </row>
    <row r="392">
      <c r="A392" s="28" t="n"/>
      <c r="B392" s="29" t="n"/>
      <c r="C392" s="27" t="n"/>
      <c r="D392" s="27" t="n"/>
      <c r="E392" s="27" t="n"/>
      <c r="F392" s="27" t="n"/>
      <c r="G392" s="27" t="n"/>
      <c r="H392" s="27" t="n"/>
      <c r="I392" s="27" t="n"/>
      <c r="J392" s="25" t="n"/>
      <c r="K392" s="25" t="n"/>
      <c r="L392" s="25" t="n"/>
      <c r="M392" s="25" t="n"/>
      <c r="N392" s="33">
        <f>IF(AND(L392="",M392=""),"",(N(L392)*60+N(M392))/86400)</f>
        <v/>
      </c>
      <c r="O392" s="27" t="n"/>
      <c r="P392" s="27" t="n"/>
      <c r="Q392" s="27" t="n"/>
      <c r="R392" s="27" t="n"/>
      <c r="S392" s="27" t="n"/>
      <c r="T392" s="27" t="n"/>
      <c r="U392" s="28" t="n"/>
      <c r="V392" s="28" t="n"/>
      <c r="W392" s="32">
        <f>IF(LEN(R392)=0,"",IF(ISNUMBER(V392),"Closed",IF(AND(ISNUMBER(U392),U392&lt;TODAY()),"Overdue","Open")))</f>
        <v/>
      </c>
      <c r="X392" s="27" t="n"/>
      <c r="Y392" s="27" t="n"/>
    </row>
    <row r="393">
      <c r="A393" s="28" t="n"/>
      <c r="B393" s="29" t="n"/>
      <c r="C393" s="27" t="n"/>
      <c r="D393" s="27" t="n"/>
      <c r="E393" s="27" t="n"/>
      <c r="F393" s="27" t="n"/>
      <c r="G393" s="27" t="n"/>
      <c r="H393" s="27" t="n"/>
      <c r="I393" s="27" t="n"/>
      <c r="J393" s="25" t="n"/>
      <c r="K393" s="25" t="n"/>
      <c r="L393" s="25" t="n"/>
      <c r="M393" s="25" t="n"/>
      <c r="N393" s="33">
        <f>IF(AND(L393="",M393=""),"",(N(L393)*60+N(M393))/86400)</f>
        <v/>
      </c>
      <c r="O393" s="27" t="n"/>
      <c r="P393" s="27" t="n"/>
      <c r="Q393" s="27" t="n"/>
      <c r="R393" s="27" t="n"/>
      <c r="S393" s="27" t="n"/>
      <c r="T393" s="27" t="n"/>
      <c r="U393" s="28" t="n"/>
      <c r="V393" s="28" t="n"/>
      <c r="W393" s="32">
        <f>IF(LEN(R393)=0,"",IF(ISNUMBER(V393),"Closed",IF(AND(ISNUMBER(U393),U393&lt;TODAY()),"Overdue","Open")))</f>
        <v/>
      </c>
      <c r="X393" s="27" t="n"/>
      <c r="Y393" s="27" t="n"/>
    </row>
    <row r="394">
      <c r="A394" s="28" t="n"/>
      <c r="B394" s="29" t="n"/>
      <c r="C394" s="27" t="n"/>
      <c r="D394" s="27" t="n"/>
      <c r="E394" s="27" t="n"/>
      <c r="F394" s="27" t="n"/>
      <c r="G394" s="27" t="n"/>
      <c r="H394" s="27" t="n"/>
      <c r="I394" s="27" t="n"/>
      <c r="J394" s="25" t="n"/>
      <c r="K394" s="25" t="n"/>
      <c r="L394" s="25" t="n"/>
      <c r="M394" s="25" t="n"/>
      <c r="N394" s="33">
        <f>IF(AND(L394="",M394=""),"",(N(L394)*60+N(M394))/86400)</f>
        <v/>
      </c>
      <c r="O394" s="27" t="n"/>
      <c r="P394" s="27" t="n"/>
      <c r="Q394" s="27" t="n"/>
      <c r="R394" s="27" t="n"/>
      <c r="S394" s="27" t="n"/>
      <c r="T394" s="27" t="n"/>
      <c r="U394" s="28" t="n"/>
      <c r="V394" s="28" t="n"/>
      <c r="W394" s="32">
        <f>IF(LEN(R394)=0,"",IF(ISNUMBER(V394),"Closed",IF(AND(ISNUMBER(U394),U394&lt;TODAY()),"Overdue","Open")))</f>
        <v/>
      </c>
      <c r="X394" s="27" t="n"/>
      <c r="Y394" s="27" t="n"/>
    </row>
    <row r="395">
      <c r="A395" s="28" t="n"/>
      <c r="B395" s="29" t="n"/>
      <c r="C395" s="27" t="n"/>
      <c r="D395" s="27" t="n"/>
      <c r="E395" s="27" t="n"/>
      <c r="F395" s="27" t="n"/>
      <c r="G395" s="27" t="n"/>
      <c r="H395" s="27" t="n"/>
      <c r="I395" s="27" t="n"/>
      <c r="J395" s="25" t="n"/>
      <c r="K395" s="25" t="n"/>
      <c r="L395" s="25" t="n"/>
      <c r="M395" s="25" t="n"/>
      <c r="N395" s="33">
        <f>IF(AND(L395="",M395=""),"",(N(L395)*60+N(M395))/86400)</f>
        <v/>
      </c>
      <c r="O395" s="27" t="n"/>
      <c r="P395" s="27" t="n"/>
      <c r="Q395" s="27" t="n"/>
      <c r="R395" s="27" t="n"/>
      <c r="S395" s="27" t="n"/>
      <c r="T395" s="27" t="n"/>
      <c r="U395" s="28" t="n"/>
      <c r="V395" s="28" t="n"/>
      <c r="W395" s="32">
        <f>IF(LEN(R395)=0,"",IF(ISNUMBER(V395),"Closed",IF(AND(ISNUMBER(U395),U395&lt;TODAY()),"Overdue","Open")))</f>
        <v/>
      </c>
      <c r="X395" s="27" t="n"/>
      <c r="Y395" s="27" t="n"/>
    </row>
    <row r="396">
      <c r="A396" s="28" t="n"/>
      <c r="B396" s="29" t="n"/>
      <c r="C396" s="27" t="n"/>
      <c r="D396" s="27" t="n"/>
      <c r="E396" s="27" t="n"/>
      <c r="F396" s="27" t="n"/>
      <c r="G396" s="27" t="n"/>
      <c r="H396" s="27" t="n"/>
      <c r="I396" s="27" t="n"/>
      <c r="J396" s="25" t="n"/>
      <c r="K396" s="25" t="n"/>
      <c r="L396" s="25" t="n"/>
      <c r="M396" s="25" t="n"/>
      <c r="N396" s="33">
        <f>IF(AND(L396="",M396=""),"",(N(L396)*60+N(M396))/86400)</f>
        <v/>
      </c>
      <c r="O396" s="27" t="n"/>
      <c r="P396" s="27" t="n"/>
      <c r="Q396" s="27" t="n"/>
      <c r="R396" s="27" t="n"/>
      <c r="S396" s="27" t="n"/>
      <c r="T396" s="27" t="n"/>
      <c r="U396" s="28" t="n"/>
      <c r="V396" s="28" t="n"/>
      <c r="W396" s="32">
        <f>IF(LEN(R396)=0,"",IF(ISNUMBER(V396),"Closed",IF(AND(ISNUMBER(U396),U396&lt;TODAY()),"Overdue","Open")))</f>
        <v/>
      </c>
      <c r="X396" s="27" t="n"/>
      <c r="Y396" s="27" t="n"/>
    </row>
    <row r="397">
      <c r="A397" s="28" t="n"/>
      <c r="B397" s="29" t="n"/>
      <c r="C397" s="27" t="n"/>
      <c r="D397" s="27" t="n"/>
      <c r="E397" s="27" t="n"/>
      <c r="F397" s="27" t="n"/>
      <c r="G397" s="27" t="n"/>
      <c r="H397" s="27" t="n"/>
      <c r="I397" s="27" t="n"/>
      <c r="J397" s="25" t="n"/>
      <c r="K397" s="25" t="n"/>
      <c r="L397" s="25" t="n"/>
      <c r="M397" s="25" t="n"/>
      <c r="N397" s="33">
        <f>IF(AND(L397="",M397=""),"",(N(L397)*60+N(M397))/86400)</f>
        <v/>
      </c>
      <c r="O397" s="27" t="n"/>
      <c r="P397" s="27" t="n"/>
      <c r="Q397" s="27" t="n"/>
      <c r="R397" s="27" t="n"/>
      <c r="S397" s="27" t="n"/>
      <c r="T397" s="27" t="n"/>
      <c r="U397" s="28" t="n"/>
      <c r="V397" s="28" t="n"/>
      <c r="W397" s="32">
        <f>IF(LEN(R397)=0,"",IF(ISNUMBER(V397),"Closed",IF(AND(ISNUMBER(U397),U397&lt;TODAY()),"Overdue","Open")))</f>
        <v/>
      </c>
      <c r="X397" s="27" t="n"/>
      <c r="Y397" s="27" t="n"/>
    </row>
    <row r="398">
      <c r="A398" s="28" t="n"/>
      <c r="B398" s="29" t="n"/>
      <c r="C398" s="27" t="n"/>
      <c r="D398" s="27" t="n"/>
      <c r="E398" s="27" t="n"/>
      <c r="F398" s="27" t="n"/>
      <c r="G398" s="27" t="n"/>
      <c r="H398" s="27" t="n"/>
      <c r="I398" s="27" t="n"/>
      <c r="J398" s="25" t="n"/>
      <c r="K398" s="25" t="n"/>
      <c r="L398" s="25" t="n"/>
      <c r="M398" s="25" t="n"/>
      <c r="N398" s="33">
        <f>IF(AND(L398="",M398=""),"",(N(L398)*60+N(M398))/86400)</f>
        <v/>
      </c>
      <c r="O398" s="27" t="n"/>
      <c r="P398" s="27" t="n"/>
      <c r="Q398" s="27" t="n"/>
      <c r="R398" s="27" t="n"/>
      <c r="S398" s="27" t="n"/>
      <c r="T398" s="27" t="n"/>
      <c r="U398" s="28" t="n"/>
      <c r="V398" s="28" t="n"/>
      <c r="W398" s="32">
        <f>IF(LEN(R398)=0,"",IF(ISNUMBER(V398),"Closed",IF(AND(ISNUMBER(U398),U398&lt;TODAY()),"Overdue","Open")))</f>
        <v/>
      </c>
      <c r="X398" s="27" t="n"/>
      <c r="Y398" s="27" t="n"/>
    </row>
    <row r="399">
      <c r="A399" s="28" t="n"/>
      <c r="B399" s="29" t="n"/>
      <c r="C399" s="27" t="n"/>
      <c r="D399" s="27" t="n"/>
      <c r="E399" s="27" t="n"/>
      <c r="F399" s="27" t="n"/>
      <c r="G399" s="27" t="n"/>
      <c r="H399" s="27" t="n"/>
      <c r="I399" s="27" t="n"/>
      <c r="J399" s="25" t="n"/>
      <c r="K399" s="25" t="n"/>
      <c r="L399" s="25" t="n"/>
      <c r="M399" s="25" t="n"/>
      <c r="N399" s="33">
        <f>IF(AND(L399="",M399=""),"",(N(L399)*60+N(M399))/86400)</f>
        <v/>
      </c>
      <c r="O399" s="27" t="n"/>
      <c r="P399" s="27" t="n"/>
      <c r="Q399" s="27" t="n"/>
      <c r="R399" s="27" t="n"/>
      <c r="S399" s="27" t="n"/>
      <c r="T399" s="27" t="n"/>
      <c r="U399" s="28" t="n"/>
      <c r="V399" s="28" t="n"/>
      <c r="W399" s="32">
        <f>IF(LEN(R399)=0,"",IF(ISNUMBER(V399),"Closed",IF(AND(ISNUMBER(U399),U399&lt;TODAY()),"Overdue","Open")))</f>
        <v/>
      </c>
      <c r="X399" s="27" t="n"/>
      <c r="Y399" s="27" t="n"/>
    </row>
    <row r="400">
      <c r="A400" s="28" t="n"/>
      <c r="B400" s="29" t="n"/>
      <c r="C400" s="27" t="n"/>
      <c r="D400" s="27" t="n"/>
      <c r="E400" s="27" t="n"/>
      <c r="F400" s="27" t="n"/>
      <c r="G400" s="27" t="n"/>
      <c r="H400" s="27" t="n"/>
      <c r="I400" s="27" t="n"/>
      <c r="J400" s="25" t="n"/>
      <c r="K400" s="25" t="n"/>
      <c r="L400" s="25" t="n"/>
      <c r="M400" s="25" t="n"/>
      <c r="N400" s="33">
        <f>IF(AND(L400="",M400=""),"",(N(L400)*60+N(M400))/86400)</f>
        <v/>
      </c>
      <c r="O400" s="27" t="n"/>
      <c r="P400" s="27" t="n"/>
      <c r="Q400" s="27" t="n"/>
      <c r="R400" s="27" t="n"/>
      <c r="S400" s="27" t="n"/>
      <c r="T400" s="27" t="n"/>
      <c r="U400" s="28" t="n"/>
      <c r="V400" s="28" t="n"/>
      <c r="W400" s="32">
        <f>IF(LEN(R400)=0,"",IF(ISNUMBER(V400),"Closed",IF(AND(ISNUMBER(U400),U400&lt;TODAY()),"Overdue","Open")))</f>
        <v/>
      </c>
      <c r="X400" s="27" t="n"/>
      <c r="Y400" s="27" t="n"/>
    </row>
    <row r="401">
      <c r="A401" s="28" t="n"/>
      <c r="B401" s="29" t="n"/>
      <c r="C401" s="27" t="n"/>
      <c r="D401" s="27" t="n"/>
      <c r="E401" s="27" t="n"/>
      <c r="F401" s="27" t="n"/>
      <c r="G401" s="27" t="n"/>
      <c r="H401" s="27" t="n"/>
      <c r="I401" s="27" t="n"/>
      <c r="J401" s="25" t="n"/>
      <c r="K401" s="25" t="n"/>
      <c r="L401" s="25" t="n"/>
      <c r="M401" s="25" t="n"/>
      <c r="N401" s="33">
        <f>IF(AND(L401="",M401=""),"",(N(L401)*60+N(M401))/86400)</f>
        <v/>
      </c>
      <c r="O401" s="27" t="n"/>
      <c r="P401" s="27" t="n"/>
      <c r="Q401" s="27" t="n"/>
      <c r="R401" s="27" t="n"/>
      <c r="S401" s="27" t="n"/>
      <c r="T401" s="27" t="n"/>
      <c r="U401" s="28" t="n"/>
      <c r="V401" s="28" t="n"/>
      <c r="W401" s="32">
        <f>IF(LEN(R401)=0,"",IF(ISNUMBER(V401),"Closed",IF(AND(ISNUMBER(U401),U401&lt;TODAY()),"Overdue","Open")))</f>
        <v/>
      </c>
      <c r="X401" s="27" t="n"/>
      <c r="Y401" s="27" t="n"/>
    </row>
    <row r="402">
      <c r="A402" s="28" t="n"/>
      <c r="B402" s="29" t="n"/>
      <c r="C402" s="27" t="n"/>
      <c r="D402" s="27" t="n"/>
      <c r="E402" s="27" t="n"/>
      <c r="F402" s="27" t="n"/>
      <c r="G402" s="27" t="n"/>
      <c r="H402" s="27" t="n"/>
      <c r="I402" s="27" t="n"/>
      <c r="J402" s="25" t="n"/>
      <c r="K402" s="25" t="n"/>
      <c r="L402" s="25" t="n"/>
      <c r="M402" s="25" t="n"/>
      <c r="N402" s="33">
        <f>IF(AND(L402="",M402=""),"",(N(L402)*60+N(M402))/86400)</f>
        <v/>
      </c>
      <c r="O402" s="27" t="n"/>
      <c r="P402" s="27" t="n"/>
      <c r="Q402" s="27" t="n"/>
      <c r="R402" s="27" t="n"/>
      <c r="S402" s="27" t="n"/>
      <c r="T402" s="27" t="n"/>
      <c r="U402" s="28" t="n"/>
      <c r="V402" s="28" t="n"/>
      <c r="W402" s="32">
        <f>IF(LEN(R402)=0,"",IF(ISNUMBER(V402),"Closed",IF(AND(ISNUMBER(U402),U402&lt;TODAY()),"Overdue","Open")))</f>
        <v/>
      </c>
      <c r="X402" s="27" t="n"/>
      <c r="Y402" s="27" t="n"/>
    </row>
    <row r="403">
      <c r="A403" s="28" t="n"/>
      <c r="B403" s="29" t="n"/>
      <c r="C403" s="27" t="n"/>
      <c r="D403" s="27" t="n"/>
      <c r="E403" s="27" t="n"/>
      <c r="F403" s="27" t="n"/>
      <c r="G403" s="27" t="n"/>
      <c r="H403" s="27" t="n"/>
      <c r="I403" s="27" t="n"/>
      <c r="J403" s="25" t="n"/>
      <c r="K403" s="25" t="n"/>
      <c r="L403" s="25" t="n"/>
      <c r="M403" s="25" t="n"/>
      <c r="N403" s="33">
        <f>IF(AND(L403="",M403=""),"",(N(L403)*60+N(M403))/86400)</f>
        <v/>
      </c>
      <c r="O403" s="27" t="n"/>
      <c r="P403" s="27" t="n"/>
      <c r="Q403" s="27" t="n"/>
      <c r="R403" s="27" t="n"/>
      <c r="S403" s="27" t="n"/>
      <c r="T403" s="27" t="n"/>
      <c r="U403" s="28" t="n"/>
      <c r="V403" s="28" t="n"/>
      <c r="W403" s="32">
        <f>IF(LEN(R403)=0,"",IF(ISNUMBER(V403),"Closed",IF(AND(ISNUMBER(U403),U403&lt;TODAY()),"Overdue","Open")))</f>
        <v/>
      </c>
      <c r="X403" s="27" t="n"/>
      <c r="Y403" s="27" t="n"/>
    </row>
    <row r="404">
      <c r="A404" s="28" t="n"/>
      <c r="B404" s="29" t="n"/>
      <c r="C404" s="27" t="n"/>
      <c r="D404" s="27" t="n"/>
      <c r="E404" s="27" t="n"/>
      <c r="F404" s="27" t="n"/>
      <c r="G404" s="27" t="n"/>
      <c r="H404" s="27" t="n"/>
      <c r="I404" s="27" t="n"/>
      <c r="J404" s="25" t="n"/>
      <c r="K404" s="25" t="n"/>
      <c r="L404" s="25" t="n"/>
      <c r="M404" s="25" t="n"/>
      <c r="N404" s="33">
        <f>IF(AND(L404="",M404=""),"",(N(L404)*60+N(M404))/86400)</f>
        <v/>
      </c>
      <c r="O404" s="27" t="n"/>
      <c r="P404" s="27" t="n"/>
      <c r="Q404" s="27" t="n"/>
      <c r="R404" s="27" t="n"/>
      <c r="S404" s="27" t="n"/>
      <c r="T404" s="27" t="n"/>
      <c r="U404" s="28" t="n"/>
      <c r="V404" s="28" t="n"/>
      <c r="W404" s="32">
        <f>IF(LEN(R404)=0,"",IF(ISNUMBER(V404),"Closed",IF(AND(ISNUMBER(U404),U404&lt;TODAY()),"Overdue","Open")))</f>
        <v/>
      </c>
      <c r="X404" s="27" t="n"/>
      <c r="Y404" s="27" t="n"/>
    </row>
    <row r="405">
      <c r="A405" s="28" t="n"/>
      <c r="B405" s="29" t="n"/>
      <c r="C405" s="27" t="n"/>
      <c r="D405" s="27" t="n"/>
      <c r="E405" s="27" t="n"/>
      <c r="F405" s="27" t="n"/>
      <c r="G405" s="27" t="n"/>
      <c r="H405" s="27" t="n"/>
      <c r="I405" s="27" t="n"/>
      <c r="J405" s="25" t="n"/>
      <c r="K405" s="25" t="n"/>
      <c r="L405" s="25" t="n"/>
      <c r="M405" s="25" t="n"/>
      <c r="N405" s="33">
        <f>IF(AND(L405="",M405=""),"",(N(L405)*60+N(M405))/86400)</f>
        <v/>
      </c>
      <c r="O405" s="27" t="n"/>
      <c r="P405" s="27" t="n"/>
      <c r="Q405" s="27" t="n"/>
      <c r="R405" s="27" t="n"/>
      <c r="S405" s="27" t="n"/>
      <c r="T405" s="27" t="n"/>
      <c r="U405" s="28" t="n"/>
      <c r="V405" s="28" t="n"/>
      <c r="W405" s="32">
        <f>IF(LEN(R405)=0,"",IF(ISNUMBER(V405),"Closed",IF(AND(ISNUMBER(U405),U405&lt;TODAY()),"Overdue","Open")))</f>
        <v/>
      </c>
      <c r="X405" s="27" t="n"/>
      <c r="Y405" s="27" t="n"/>
    </row>
    <row r="406">
      <c r="A406" s="28" t="n"/>
      <c r="B406" s="29" t="n"/>
      <c r="C406" s="27" t="n"/>
      <c r="D406" s="27" t="n"/>
      <c r="E406" s="27" t="n"/>
      <c r="F406" s="27" t="n"/>
      <c r="G406" s="27" t="n"/>
      <c r="H406" s="27" t="n"/>
      <c r="I406" s="27" t="n"/>
      <c r="J406" s="25" t="n"/>
      <c r="K406" s="25" t="n"/>
      <c r="L406" s="25" t="n"/>
      <c r="M406" s="25" t="n"/>
      <c r="N406" s="33">
        <f>IF(AND(L406="",M406=""),"",(N(L406)*60+N(M406))/86400)</f>
        <v/>
      </c>
      <c r="O406" s="27" t="n"/>
      <c r="P406" s="27" t="n"/>
      <c r="Q406" s="27" t="n"/>
      <c r="R406" s="27" t="n"/>
      <c r="S406" s="27" t="n"/>
      <c r="T406" s="27" t="n"/>
      <c r="U406" s="28" t="n"/>
      <c r="V406" s="28" t="n"/>
      <c r="W406" s="32">
        <f>IF(LEN(R406)=0,"",IF(ISNUMBER(V406),"Closed",IF(AND(ISNUMBER(U406),U406&lt;TODAY()),"Overdue","Open")))</f>
        <v/>
      </c>
      <c r="X406" s="27" t="n"/>
      <c r="Y406" s="27" t="n"/>
    </row>
    <row r="407">
      <c r="A407" s="28" t="n"/>
      <c r="B407" s="29" t="n"/>
      <c r="C407" s="27" t="n"/>
      <c r="D407" s="27" t="n"/>
      <c r="E407" s="27" t="n"/>
      <c r="F407" s="27" t="n"/>
      <c r="G407" s="27" t="n"/>
      <c r="H407" s="27" t="n"/>
      <c r="I407" s="27" t="n"/>
      <c r="J407" s="25" t="n"/>
      <c r="K407" s="25" t="n"/>
      <c r="L407" s="25" t="n"/>
      <c r="M407" s="25" t="n"/>
      <c r="N407" s="33">
        <f>IF(AND(L407="",M407=""),"",(N(L407)*60+N(M407))/86400)</f>
        <v/>
      </c>
      <c r="O407" s="27" t="n"/>
      <c r="P407" s="27" t="n"/>
      <c r="Q407" s="27" t="n"/>
      <c r="R407" s="27" t="n"/>
      <c r="S407" s="27" t="n"/>
      <c r="T407" s="27" t="n"/>
      <c r="U407" s="28" t="n"/>
      <c r="V407" s="28" t="n"/>
      <c r="W407" s="32">
        <f>IF(LEN(R407)=0,"",IF(ISNUMBER(V407),"Closed",IF(AND(ISNUMBER(U407),U407&lt;TODAY()),"Overdue","Open")))</f>
        <v/>
      </c>
      <c r="X407" s="27" t="n"/>
      <c r="Y407" s="27" t="n"/>
    </row>
    <row r="408">
      <c r="A408" s="28" t="n"/>
      <c r="B408" s="29" t="n"/>
      <c r="C408" s="27" t="n"/>
      <c r="D408" s="27" t="n"/>
      <c r="E408" s="27" t="n"/>
      <c r="F408" s="27" t="n"/>
      <c r="G408" s="27" t="n"/>
      <c r="H408" s="27" t="n"/>
      <c r="I408" s="27" t="n"/>
      <c r="J408" s="25" t="n"/>
      <c r="K408" s="25" t="n"/>
      <c r="L408" s="25" t="n"/>
      <c r="M408" s="25" t="n"/>
      <c r="N408" s="33">
        <f>IF(AND(L408="",M408=""),"",(N(L408)*60+N(M408))/86400)</f>
        <v/>
      </c>
      <c r="O408" s="27" t="n"/>
      <c r="P408" s="27" t="n"/>
      <c r="Q408" s="27" t="n"/>
      <c r="R408" s="27" t="n"/>
      <c r="S408" s="27" t="n"/>
      <c r="T408" s="27" t="n"/>
      <c r="U408" s="28" t="n"/>
      <c r="V408" s="28" t="n"/>
      <c r="W408" s="32">
        <f>IF(LEN(R408)=0,"",IF(ISNUMBER(V408),"Closed",IF(AND(ISNUMBER(U408),U408&lt;TODAY()),"Overdue","Open")))</f>
        <v/>
      </c>
      <c r="X408" s="27" t="n"/>
      <c r="Y408" s="27" t="n"/>
    </row>
    <row r="409">
      <c r="A409" s="28" t="n"/>
      <c r="B409" s="29" t="n"/>
      <c r="C409" s="27" t="n"/>
      <c r="D409" s="27" t="n"/>
      <c r="E409" s="27" t="n"/>
      <c r="F409" s="27" t="n"/>
      <c r="G409" s="27" t="n"/>
      <c r="H409" s="27" t="n"/>
      <c r="I409" s="27" t="n"/>
      <c r="J409" s="25" t="n"/>
      <c r="K409" s="25" t="n"/>
      <c r="L409" s="25" t="n"/>
      <c r="M409" s="25" t="n"/>
      <c r="N409" s="33">
        <f>IF(AND(L409="",M409=""),"",(N(L409)*60+N(M409))/86400)</f>
        <v/>
      </c>
      <c r="O409" s="27" t="n"/>
      <c r="P409" s="27" t="n"/>
      <c r="Q409" s="27" t="n"/>
      <c r="R409" s="27" t="n"/>
      <c r="S409" s="27" t="n"/>
      <c r="T409" s="27" t="n"/>
      <c r="U409" s="28" t="n"/>
      <c r="V409" s="28" t="n"/>
      <c r="W409" s="32">
        <f>IF(LEN(R409)=0,"",IF(ISNUMBER(V409),"Closed",IF(AND(ISNUMBER(U409),U409&lt;TODAY()),"Overdue","Open")))</f>
        <v/>
      </c>
      <c r="X409" s="27" t="n"/>
      <c r="Y409" s="27" t="n"/>
    </row>
    <row r="410">
      <c r="A410" s="28" t="n"/>
      <c r="B410" s="29" t="n"/>
      <c r="C410" s="27" t="n"/>
      <c r="D410" s="27" t="n"/>
      <c r="E410" s="27" t="n"/>
      <c r="F410" s="27" t="n"/>
      <c r="G410" s="27" t="n"/>
      <c r="H410" s="27" t="n"/>
      <c r="I410" s="27" t="n"/>
      <c r="J410" s="25" t="n"/>
      <c r="K410" s="25" t="n"/>
      <c r="L410" s="25" t="n"/>
      <c r="M410" s="25" t="n"/>
      <c r="N410" s="33">
        <f>IF(AND(L410="",M410=""),"",(N(L410)*60+N(M410))/86400)</f>
        <v/>
      </c>
      <c r="O410" s="27" t="n"/>
      <c r="P410" s="27" t="n"/>
      <c r="Q410" s="27" t="n"/>
      <c r="R410" s="27" t="n"/>
      <c r="S410" s="27" t="n"/>
      <c r="T410" s="27" t="n"/>
      <c r="U410" s="28" t="n"/>
      <c r="V410" s="28" t="n"/>
      <c r="W410" s="32">
        <f>IF(LEN(R410)=0,"",IF(ISNUMBER(V410),"Closed",IF(AND(ISNUMBER(U410),U410&lt;TODAY()),"Overdue","Open")))</f>
        <v/>
      </c>
      <c r="X410" s="27" t="n"/>
      <c r="Y410" s="27" t="n"/>
    </row>
    <row r="411">
      <c r="A411" s="28" t="n"/>
      <c r="B411" s="29" t="n"/>
      <c r="C411" s="27" t="n"/>
      <c r="D411" s="27" t="n"/>
      <c r="E411" s="27" t="n"/>
      <c r="F411" s="27" t="n"/>
      <c r="G411" s="27" t="n"/>
      <c r="H411" s="27" t="n"/>
      <c r="I411" s="27" t="n"/>
      <c r="J411" s="25" t="n"/>
      <c r="K411" s="25" t="n"/>
      <c r="L411" s="25" t="n"/>
      <c r="M411" s="25" t="n"/>
      <c r="N411" s="33">
        <f>IF(AND(L411="",M411=""),"",(N(L411)*60+N(M411))/86400)</f>
        <v/>
      </c>
      <c r="O411" s="27" t="n"/>
      <c r="P411" s="27" t="n"/>
      <c r="Q411" s="27" t="n"/>
      <c r="R411" s="27" t="n"/>
      <c r="S411" s="27" t="n"/>
      <c r="T411" s="27" t="n"/>
      <c r="U411" s="28" t="n"/>
      <c r="V411" s="28" t="n"/>
      <c r="W411" s="32">
        <f>IF(LEN(R411)=0,"",IF(ISNUMBER(V411),"Closed",IF(AND(ISNUMBER(U411),U411&lt;TODAY()),"Overdue","Open")))</f>
        <v/>
      </c>
      <c r="X411" s="27" t="n"/>
      <c r="Y411" s="27" t="n"/>
    </row>
    <row r="412">
      <c r="A412" s="28" t="n"/>
      <c r="B412" s="29" t="n"/>
      <c r="C412" s="27" t="n"/>
      <c r="D412" s="27" t="n"/>
      <c r="E412" s="27" t="n"/>
      <c r="F412" s="27" t="n"/>
      <c r="G412" s="27" t="n"/>
      <c r="H412" s="27" t="n"/>
      <c r="I412" s="27" t="n"/>
      <c r="J412" s="25" t="n"/>
      <c r="K412" s="25" t="n"/>
      <c r="L412" s="25" t="n"/>
      <c r="M412" s="25" t="n"/>
      <c r="N412" s="33">
        <f>IF(AND(L412="",M412=""),"",(N(L412)*60+N(M412))/86400)</f>
        <v/>
      </c>
      <c r="O412" s="27" t="n"/>
      <c r="P412" s="27" t="n"/>
      <c r="Q412" s="27" t="n"/>
      <c r="R412" s="27" t="n"/>
      <c r="S412" s="27" t="n"/>
      <c r="T412" s="27" t="n"/>
      <c r="U412" s="28" t="n"/>
      <c r="V412" s="28" t="n"/>
      <c r="W412" s="32">
        <f>IF(LEN(R412)=0,"",IF(ISNUMBER(V412),"Closed",IF(AND(ISNUMBER(U412),U412&lt;TODAY()),"Overdue","Open")))</f>
        <v/>
      </c>
      <c r="X412" s="27" t="n"/>
      <c r="Y412" s="27" t="n"/>
    </row>
    <row r="413">
      <c r="A413" s="28" t="n"/>
      <c r="B413" s="29" t="n"/>
      <c r="C413" s="27" t="n"/>
      <c r="D413" s="27" t="n"/>
      <c r="E413" s="27" t="n"/>
      <c r="F413" s="27" t="n"/>
      <c r="G413" s="27" t="n"/>
      <c r="H413" s="27" t="n"/>
      <c r="I413" s="27" t="n"/>
      <c r="J413" s="25" t="n"/>
      <c r="K413" s="25" t="n"/>
      <c r="L413" s="25" t="n"/>
      <c r="M413" s="25" t="n"/>
      <c r="N413" s="33">
        <f>IF(AND(L413="",M413=""),"",(N(L413)*60+N(M413))/86400)</f>
        <v/>
      </c>
      <c r="O413" s="27" t="n"/>
      <c r="P413" s="27" t="n"/>
      <c r="Q413" s="27" t="n"/>
      <c r="R413" s="27" t="n"/>
      <c r="S413" s="27" t="n"/>
      <c r="T413" s="27" t="n"/>
      <c r="U413" s="28" t="n"/>
      <c r="V413" s="28" t="n"/>
      <c r="W413" s="32">
        <f>IF(LEN(R413)=0,"",IF(ISNUMBER(V413),"Closed",IF(AND(ISNUMBER(U413),U413&lt;TODAY()),"Overdue","Open")))</f>
        <v/>
      </c>
      <c r="X413" s="27" t="n"/>
      <c r="Y413" s="27" t="n"/>
    </row>
    <row r="414">
      <c r="A414" s="28" t="n"/>
      <c r="B414" s="29" t="n"/>
      <c r="C414" s="27" t="n"/>
      <c r="D414" s="27" t="n"/>
      <c r="E414" s="27" t="n"/>
      <c r="F414" s="27" t="n"/>
      <c r="G414" s="27" t="n"/>
      <c r="H414" s="27" t="n"/>
      <c r="I414" s="27" t="n"/>
      <c r="J414" s="25" t="n"/>
      <c r="K414" s="25" t="n"/>
      <c r="L414" s="25" t="n"/>
      <c r="M414" s="25" t="n"/>
      <c r="N414" s="33">
        <f>IF(AND(L414="",M414=""),"",(N(L414)*60+N(M414))/86400)</f>
        <v/>
      </c>
      <c r="O414" s="27" t="n"/>
      <c r="P414" s="27" t="n"/>
      <c r="Q414" s="27" t="n"/>
      <c r="R414" s="27" t="n"/>
      <c r="S414" s="27" t="n"/>
      <c r="T414" s="27" t="n"/>
      <c r="U414" s="28" t="n"/>
      <c r="V414" s="28" t="n"/>
      <c r="W414" s="32">
        <f>IF(LEN(R414)=0,"",IF(ISNUMBER(V414),"Closed",IF(AND(ISNUMBER(U414),U414&lt;TODAY()),"Overdue","Open")))</f>
        <v/>
      </c>
      <c r="X414" s="27" t="n"/>
      <c r="Y414" s="27" t="n"/>
    </row>
    <row r="415">
      <c r="A415" s="28" t="n"/>
      <c r="B415" s="29" t="n"/>
      <c r="C415" s="27" t="n"/>
      <c r="D415" s="27" t="n"/>
      <c r="E415" s="27" t="n"/>
      <c r="F415" s="27" t="n"/>
      <c r="G415" s="27" t="n"/>
      <c r="H415" s="27" t="n"/>
      <c r="I415" s="27" t="n"/>
      <c r="J415" s="25" t="n"/>
      <c r="K415" s="25" t="n"/>
      <c r="L415" s="25" t="n"/>
      <c r="M415" s="25" t="n"/>
      <c r="N415" s="33">
        <f>IF(AND(L415="",M415=""),"",(N(L415)*60+N(M415))/86400)</f>
        <v/>
      </c>
      <c r="O415" s="27" t="n"/>
      <c r="P415" s="27" t="n"/>
      <c r="Q415" s="27" t="n"/>
      <c r="R415" s="27" t="n"/>
      <c r="S415" s="27" t="n"/>
      <c r="T415" s="27" t="n"/>
      <c r="U415" s="28" t="n"/>
      <c r="V415" s="28" t="n"/>
      <c r="W415" s="32">
        <f>IF(LEN(R415)=0,"",IF(ISNUMBER(V415),"Closed",IF(AND(ISNUMBER(U415),U415&lt;TODAY()),"Overdue","Open")))</f>
        <v/>
      </c>
      <c r="X415" s="27" t="n"/>
      <c r="Y415" s="27" t="n"/>
    </row>
    <row r="416">
      <c r="A416" s="28" t="n"/>
      <c r="B416" s="29" t="n"/>
      <c r="C416" s="27" t="n"/>
      <c r="D416" s="27" t="n"/>
      <c r="E416" s="27" t="n"/>
      <c r="F416" s="27" t="n"/>
      <c r="G416" s="27" t="n"/>
      <c r="H416" s="27" t="n"/>
      <c r="I416" s="27" t="n"/>
      <c r="J416" s="25" t="n"/>
      <c r="K416" s="25" t="n"/>
      <c r="L416" s="25" t="n"/>
      <c r="M416" s="25" t="n"/>
      <c r="N416" s="33">
        <f>IF(AND(L416="",M416=""),"",(N(L416)*60+N(M416))/86400)</f>
        <v/>
      </c>
      <c r="O416" s="27" t="n"/>
      <c r="P416" s="27" t="n"/>
      <c r="Q416" s="27" t="n"/>
      <c r="R416" s="27" t="n"/>
      <c r="S416" s="27" t="n"/>
      <c r="T416" s="27" t="n"/>
      <c r="U416" s="28" t="n"/>
      <c r="V416" s="28" t="n"/>
      <c r="W416" s="32">
        <f>IF(LEN(R416)=0,"",IF(ISNUMBER(V416),"Closed",IF(AND(ISNUMBER(U416),U416&lt;TODAY()),"Overdue","Open")))</f>
        <v/>
      </c>
      <c r="X416" s="27" t="n"/>
      <c r="Y416" s="27" t="n"/>
    </row>
    <row r="417">
      <c r="A417" s="28" t="n"/>
      <c r="B417" s="29" t="n"/>
      <c r="C417" s="27" t="n"/>
      <c r="D417" s="27" t="n"/>
      <c r="E417" s="27" t="n"/>
      <c r="F417" s="27" t="n"/>
      <c r="G417" s="27" t="n"/>
      <c r="H417" s="27" t="n"/>
      <c r="I417" s="27" t="n"/>
      <c r="J417" s="25" t="n"/>
      <c r="K417" s="25" t="n"/>
      <c r="L417" s="25" t="n"/>
      <c r="M417" s="25" t="n"/>
      <c r="N417" s="33">
        <f>IF(AND(L417="",M417=""),"",(N(L417)*60+N(M417))/86400)</f>
        <v/>
      </c>
      <c r="O417" s="27" t="n"/>
      <c r="P417" s="27" t="n"/>
      <c r="Q417" s="27" t="n"/>
      <c r="R417" s="27" t="n"/>
      <c r="S417" s="27" t="n"/>
      <c r="T417" s="27" t="n"/>
      <c r="U417" s="28" t="n"/>
      <c r="V417" s="28" t="n"/>
      <c r="W417" s="32">
        <f>IF(LEN(R417)=0,"",IF(ISNUMBER(V417),"Closed",IF(AND(ISNUMBER(U417),U417&lt;TODAY()),"Overdue","Open")))</f>
        <v/>
      </c>
      <c r="X417" s="27" t="n"/>
      <c r="Y417" s="27" t="n"/>
    </row>
    <row r="418">
      <c r="A418" s="28" t="n"/>
      <c r="B418" s="29" t="n"/>
      <c r="C418" s="27" t="n"/>
      <c r="D418" s="27" t="n"/>
      <c r="E418" s="27" t="n"/>
      <c r="F418" s="27" t="n"/>
      <c r="G418" s="27" t="n"/>
      <c r="H418" s="27" t="n"/>
      <c r="I418" s="27" t="n"/>
      <c r="J418" s="25" t="n"/>
      <c r="K418" s="25" t="n"/>
      <c r="L418" s="25" t="n"/>
      <c r="M418" s="25" t="n"/>
      <c r="N418" s="33">
        <f>IF(AND(L418="",M418=""),"",(N(L418)*60+N(M418))/86400)</f>
        <v/>
      </c>
      <c r="O418" s="27" t="n"/>
      <c r="P418" s="27" t="n"/>
      <c r="Q418" s="27" t="n"/>
      <c r="R418" s="27" t="n"/>
      <c r="S418" s="27" t="n"/>
      <c r="T418" s="27" t="n"/>
      <c r="U418" s="28" t="n"/>
      <c r="V418" s="28" t="n"/>
      <c r="W418" s="32">
        <f>IF(LEN(R418)=0,"",IF(ISNUMBER(V418),"Closed",IF(AND(ISNUMBER(U418),U418&lt;TODAY()),"Overdue","Open")))</f>
        <v/>
      </c>
      <c r="X418" s="27" t="n"/>
      <c r="Y418" s="27" t="n"/>
    </row>
    <row r="419">
      <c r="A419" s="28" t="n"/>
      <c r="B419" s="29" t="n"/>
      <c r="C419" s="27" t="n"/>
      <c r="D419" s="27" t="n"/>
      <c r="E419" s="27" t="n"/>
      <c r="F419" s="27" t="n"/>
      <c r="G419" s="27" t="n"/>
      <c r="H419" s="27" t="n"/>
      <c r="I419" s="27" t="n"/>
      <c r="J419" s="25" t="n"/>
      <c r="K419" s="25" t="n"/>
      <c r="L419" s="25" t="n"/>
      <c r="M419" s="25" t="n"/>
      <c r="N419" s="33">
        <f>IF(AND(L419="",M419=""),"",(N(L419)*60+N(M419))/86400)</f>
        <v/>
      </c>
      <c r="O419" s="27" t="n"/>
      <c r="P419" s="27" t="n"/>
      <c r="Q419" s="27" t="n"/>
      <c r="R419" s="27" t="n"/>
      <c r="S419" s="27" t="n"/>
      <c r="T419" s="27" t="n"/>
      <c r="U419" s="28" t="n"/>
      <c r="V419" s="28" t="n"/>
      <c r="W419" s="32">
        <f>IF(LEN(R419)=0,"",IF(ISNUMBER(V419),"Closed",IF(AND(ISNUMBER(U419),U419&lt;TODAY()),"Overdue","Open")))</f>
        <v/>
      </c>
      <c r="X419" s="27" t="n"/>
      <c r="Y419" s="27" t="n"/>
    </row>
    <row r="420">
      <c r="A420" s="28" t="n"/>
      <c r="B420" s="29" t="n"/>
      <c r="C420" s="27" t="n"/>
      <c r="D420" s="27" t="n"/>
      <c r="E420" s="27" t="n"/>
      <c r="F420" s="27" t="n"/>
      <c r="G420" s="27" t="n"/>
      <c r="H420" s="27" t="n"/>
      <c r="I420" s="27" t="n"/>
      <c r="J420" s="25" t="n"/>
      <c r="K420" s="25" t="n"/>
      <c r="L420" s="25" t="n"/>
      <c r="M420" s="25" t="n"/>
      <c r="N420" s="33">
        <f>IF(AND(L420="",M420=""),"",(N(L420)*60+N(M420))/86400)</f>
        <v/>
      </c>
      <c r="O420" s="27" t="n"/>
      <c r="P420" s="27" t="n"/>
      <c r="Q420" s="27" t="n"/>
      <c r="R420" s="27" t="n"/>
      <c r="S420" s="27" t="n"/>
      <c r="T420" s="27" t="n"/>
      <c r="U420" s="28" t="n"/>
      <c r="V420" s="28" t="n"/>
      <c r="W420" s="32">
        <f>IF(LEN(R420)=0,"",IF(ISNUMBER(V420),"Closed",IF(AND(ISNUMBER(U420),U420&lt;TODAY()),"Overdue","Open")))</f>
        <v/>
      </c>
      <c r="X420" s="27" t="n"/>
      <c r="Y420" s="27" t="n"/>
    </row>
    <row r="421">
      <c r="A421" s="28" t="n"/>
      <c r="B421" s="29" t="n"/>
      <c r="C421" s="27" t="n"/>
      <c r="D421" s="27" t="n"/>
      <c r="E421" s="27" t="n"/>
      <c r="F421" s="27" t="n"/>
      <c r="G421" s="27" t="n"/>
      <c r="H421" s="27" t="n"/>
      <c r="I421" s="27" t="n"/>
      <c r="J421" s="25" t="n"/>
      <c r="K421" s="25" t="n"/>
      <c r="L421" s="25" t="n"/>
      <c r="M421" s="25" t="n"/>
      <c r="N421" s="33">
        <f>IF(AND(L421="",M421=""),"",(N(L421)*60+N(M421))/86400)</f>
        <v/>
      </c>
      <c r="O421" s="27" t="n"/>
      <c r="P421" s="27" t="n"/>
      <c r="Q421" s="27" t="n"/>
      <c r="R421" s="27" t="n"/>
      <c r="S421" s="27" t="n"/>
      <c r="T421" s="27" t="n"/>
      <c r="U421" s="28" t="n"/>
      <c r="V421" s="28" t="n"/>
      <c r="W421" s="32">
        <f>IF(LEN(R421)=0,"",IF(ISNUMBER(V421),"Closed",IF(AND(ISNUMBER(U421),U421&lt;TODAY()),"Overdue","Open")))</f>
        <v/>
      </c>
      <c r="X421" s="27" t="n"/>
      <c r="Y421" s="27" t="n"/>
    </row>
    <row r="422">
      <c r="A422" s="28" t="n"/>
      <c r="B422" s="29" t="n"/>
      <c r="C422" s="27" t="n"/>
      <c r="D422" s="27" t="n"/>
      <c r="E422" s="27" t="n"/>
      <c r="F422" s="27" t="n"/>
      <c r="G422" s="27" t="n"/>
      <c r="H422" s="27" t="n"/>
      <c r="I422" s="27" t="n"/>
      <c r="J422" s="25" t="n"/>
      <c r="K422" s="25" t="n"/>
      <c r="L422" s="25" t="n"/>
      <c r="M422" s="25" t="n"/>
      <c r="N422" s="33">
        <f>IF(AND(L422="",M422=""),"",(N(L422)*60+N(M422))/86400)</f>
        <v/>
      </c>
      <c r="O422" s="27" t="n"/>
      <c r="P422" s="27" t="n"/>
      <c r="Q422" s="27" t="n"/>
      <c r="R422" s="27" t="n"/>
      <c r="S422" s="27" t="n"/>
      <c r="T422" s="27" t="n"/>
      <c r="U422" s="28" t="n"/>
      <c r="V422" s="28" t="n"/>
      <c r="W422" s="32">
        <f>IF(LEN(R422)=0,"",IF(ISNUMBER(V422),"Closed",IF(AND(ISNUMBER(U422),U422&lt;TODAY()),"Overdue","Open")))</f>
        <v/>
      </c>
      <c r="X422" s="27" t="n"/>
      <c r="Y422" s="27" t="n"/>
    </row>
    <row r="423">
      <c r="A423" s="28" t="n"/>
      <c r="B423" s="29" t="n"/>
      <c r="C423" s="27" t="n"/>
      <c r="D423" s="27" t="n"/>
      <c r="E423" s="27" t="n"/>
      <c r="F423" s="27" t="n"/>
      <c r="G423" s="27" t="n"/>
      <c r="H423" s="27" t="n"/>
      <c r="I423" s="27" t="n"/>
      <c r="J423" s="25" t="n"/>
      <c r="K423" s="25" t="n"/>
      <c r="L423" s="25" t="n"/>
      <c r="M423" s="25" t="n"/>
      <c r="N423" s="33">
        <f>IF(AND(L423="",M423=""),"",(N(L423)*60+N(M423))/86400)</f>
        <v/>
      </c>
      <c r="O423" s="27" t="n"/>
      <c r="P423" s="27" t="n"/>
      <c r="Q423" s="27" t="n"/>
      <c r="R423" s="27" t="n"/>
      <c r="S423" s="27" t="n"/>
      <c r="T423" s="27" t="n"/>
      <c r="U423" s="28" t="n"/>
      <c r="V423" s="28" t="n"/>
      <c r="W423" s="32">
        <f>IF(LEN(R423)=0,"",IF(ISNUMBER(V423),"Closed",IF(AND(ISNUMBER(U423),U423&lt;TODAY()),"Overdue","Open")))</f>
        <v/>
      </c>
      <c r="X423" s="27" t="n"/>
      <c r="Y423" s="27" t="n"/>
    </row>
    <row r="424">
      <c r="A424" s="28" t="n"/>
      <c r="B424" s="29" t="n"/>
      <c r="C424" s="27" t="n"/>
      <c r="D424" s="27" t="n"/>
      <c r="E424" s="27" t="n"/>
      <c r="F424" s="27" t="n"/>
      <c r="G424" s="27" t="n"/>
      <c r="H424" s="27" t="n"/>
      <c r="I424" s="27" t="n"/>
      <c r="J424" s="25" t="n"/>
      <c r="K424" s="25" t="n"/>
      <c r="L424" s="25" t="n"/>
      <c r="M424" s="25" t="n"/>
      <c r="N424" s="33">
        <f>IF(AND(L424="",M424=""),"",(N(L424)*60+N(M424))/86400)</f>
        <v/>
      </c>
      <c r="O424" s="27" t="n"/>
      <c r="P424" s="27" t="n"/>
      <c r="Q424" s="27" t="n"/>
      <c r="R424" s="27" t="n"/>
      <c r="S424" s="27" t="n"/>
      <c r="T424" s="27" t="n"/>
      <c r="U424" s="28" t="n"/>
      <c r="V424" s="28" t="n"/>
      <c r="W424" s="32">
        <f>IF(LEN(R424)=0,"",IF(ISNUMBER(V424),"Closed",IF(AND(ISNUMBER(U424),U424&lt;TODAY()),"Overdue","Open")))</f>
        <v/>
      </c>
      <c r="X424" s="27" t="n"/>
      <c r="Y424" s="27" t="n"/>
    </row>
    <row r="425">
      <c r="A425" s="28" t="n"/>
      <c r="B425" s="29" t="n"/>
      <c r="C425" s="27" t="n"/>
      <c r="D425" s="27" t="n"/>
      <c r="E425" s="27" t="n"/>
      <c r="F425" s="27" t="n"/>
      <c r="G425" s="27" t="n"/>
      <c r="H425" s="27" t="n"/>
      <c r="I425" s="27" t="n"/>
      <c r="J425" s="25" t="n"/>
      <c r="K425" s="25" t="n"/>
      <c r="L425" s="25" t="n"/>
      <c r="M425" s="25" t="n"/>
      <c r="N425" s="33">
        <f>IF(AND(L425="",M425=""),"",(N(L425)*60+N(M425))/86400)</f>
        <v/>
      </c>
      <c r="O425" s="27" t="n"/>
      <c r="P425" s="27" t="n"/>
      <c r="Q425" s="27" t="n"/>
      <c r="R425" s="27" t="n"/>
      <c r="S425" s="27" t="n"/>
      <c r="T425" s="27" t="n"/>
      <c r="U425" s="28" t="n"/>
      <c r="V425" s="28" t="n"/>
      <c r="W425" s="32">
        <f>IF(LEN(R425)=0,"",IF(ISNUMBER(V425),"Closed",IF(AND(ISNUMBER(U425),U425&lt;TODAY()),"Overdue","Open")))</f>
        <v/>
      </c>
      <c r="X425" s="27" t="n"/>
      <c r="Y425" s="27" t="n"/>
    </row>
    <row r="426">
      <c r="A426" s="28" t="n"/>
      <c r="B426" s="29" t="n"/>
      <c r="C426" s="27" t="n"/>
      <c r="D426" s="27" t="n"/>
      <c r="E426" s="27" t="n"/>
      <c r="F426" s="27" t="n"/>
      <c r="G426" s="27" t="n"/>
      <c r="H426" s="27" t="n"/>
      <c r="I426" s="27" t="n"/>
      <c r="J426" s="25" t="n"/>
      <c r="K426" s="25" t="n"/>
      <c r="L426" s="25" t="n"/>
      <c r="M426" s="25" t="n"/>
      <c r="N426" s="33">
        <f>IF(AND(L426="",M426=""),"",(N(L426)*60+N(M426))/86400)</f>
        <v/>
      </c>
      <c r="O426" s="27" t="n"/>
      <c r="P426" s="27" t="n"/>
      <c r="Q426" s="27" t="n"/>
      <c r="R426" s="27" t="n"/>
      <c r="S426" s="27" t="n"/>
      <c r="T426" s="27" t="n"/>
      <c r="U426" s="28" t="n"/>
      <c r="V426" s="28" t="n"/>
      <c r="W426" s="32">
        <f>IF(LEN(R426)=0,"",IF(ISNUMBER(V426),"Closed",IF(AND(ISNUMBER(U426),U426&lt;TODAY()),"Overdue","Open")))</f>
        <v/>
      </c>
      <c r="X426" s="27" t="n"/>
      <c r="Y426" s="27" t="n"/>
    </row>
    <row r="427">
      <c r="A427" s="28" t="n"/>
      <c r="B427" s="29" t="n"/>
      <c r="C427" s="27" t="n"/>
      <c r="D427" s="27" t="n"/>
      <c r="E427" s="27" t="n"/>
      <c r="F427" s="27" t="n"/>
      <c r="G427" s="27" t="n"/>
      <c r="H427" s="27" t="n"/>
      <c r="I427" s="27" t="n"/>
      <c r="J427" s="25" t="n"/>
      <c r="K427" s="25" t="n"/>
      <c r="L427" s="25" t="n"/>
      <c r="M427" s="25" t="n"/>
      <c r="N427" s="33">
        <f>IF(AND(L427="",M427=""),"",(N(L427)*60+N(M427))/86400)</f>
        <v/>
      </c>
      <c r="O427" s="27" t="n"/>
      <c r="P427" s="27" t="n"/>
      <c r="Q427" s="27" t="n"/>
      <c r="R427" s="27" t="n"/>
      <c r="S427" s="27" t="n"/>
      <c r="T427" s="27" t="n"/>
      <c r="U427" s="28" t="n"/>
      <c r="V427" s="28" t="n"/>
      <c r="W427" s="32">
        <f>IF(LEN(R427)=0,"",IF(ISNUMBER(V427),"Closed",IF(AND(ISNUMBER(U427),U427&lt;TODAY()),"Overdue","Open")))</f>
        <v/>
      </c>
      <c r="X427" s="27" t="n"/>
      <c r="Y427" s="27" t="n"/>
    </row>
    <row r="428">
      <c r="A428" s="28" t="n"/>
      <c r="B428" s="29" t="n"/>
      <c r="C428" s="27" t="n"/>
      <c r="D428" s="27" t="n"/>
      <c r="E428" s="27" t="n"/>
      <c r="F428" s="27" t="n"/>
      <c r="G428" s="27" t="n"/>
      <c r="H428" s="27" t="n"/>
      <c r="I428" s="27" t="n"/>
      <c r="J428" s="25" t="n"/>
      <c r="K428" s="25" t="n"/>
      <c r="L428" s="25" t="n"/>
      <c r="M428" s="25" t="n"/>
      <c r="N428" s="33">
        <f>IF(AND(L428="",M428=""),"",(N(L428)*60+N(M428))/86400)</f>
        <v/>
      </c>
      <c r="O428" s="27" t="n"/>
      <c r="P428" s="27" t="n"/>
      <c r="Q428" s="27" t="n"/>
      <c r="R428" s="27" t="n"/>
      <c r="S428" s="27" t="n"/>
      <c r="T428" s="27" t="n"/>
      <c r="U428" s="28" t="n"/>
      <c r="V428" s="28" t="n"/>
      <c r="W428" s="32">
        <f>IF(LEN(R428)=0,"",IF(ISNUMBER(V428),"Closed",IF(AND(ISNUMBER(U428),U428&lt;TODAY()),"Overdue","Open")))</f>
        <v/>
      </c>
      <c r="X428" s="27" t="n"/>
      <c r="Y428" s="27" t="n"/>
    </row>
    <row r="429">
      <c r="A429" s="28" t="n"/>
      <c r="B429" s="29" t="n"/>
      <c r="C429" s="27" t="n"/>
      <c r="D429" s="27" t="n"/>
      <c r="E429" s="27" t="n"/>
      <c r="F429" s="27" t="n"/>
      <c r="G429" s="27" t="n"/>
      <c r="H429" s="27" t="n"/>
      <c r="I429" s="27" t="n"/>
      <c r="J429" s="25" t="n"/>
      <c r="K429" s="25" t="n"/>
      <c r="L429" s="25" t="n"/>
      <c r="M429" s="25" t="n"/>
      <c r="N429" s="33">
        <f>IF(AND(L429="",M429=""),"",(N(L429)*60+N(M429))/86400)</f>
        <v/>
      </c>
      <c r="O429" s="27" t="n"/>
      <c r="P429" s="27" t="n"/>
      <c r="Q429" s="27" t="n"/>
      <c r="R429" s="27" t="n"/>
      <c r="S429" s="27" t="n"/>
      <c r="T429" s="27" t="n"/>
      <c r="U429" s="28" t="n"/>
      <c r="V429" s="28" t="n"/>
      <c r="W429" s="32">
        <f>IF(LEN(R429)=0,"",IF(ISNUMBER(V429),"Closed",IF(AND(ISNUMBER(U429),U429&lt;TODAY()),"Overdue","Open")))</f>
        <v/>
      </c>
      <c r="X429" s="27" t="n"/>
      <c r="Y429" s="27" t="n"/>
    </row>
    <row r="430">
      <c r="A430" s="28" t="n"/>
      <c r="B430" s="29" t="n"/>
      <c r="C430" s="27" t="n"/>
      <c r="D430" s="27" t="n"/>
      <c r="E430" s="27" t="n"/>
      <c r="F430" s="27" t="n"/>
      <c r="G430" s="27" t="n"/>
      <c r="H430" s="27" t="n"/>
      <c r="I430" s="27" t="n"/>
      <c r="J430" s="25" t="n"/>
      <c r="K430" s="25" t="n"/>
      <c r="L430" s="25" t="n"/>
      <c r="M430" s="25" t="n"/>
      <c r="N430" s="33">
        <f>IF(AND(L430="",M430=""),"",(N(L430)*60+N(M430))/86400)</f>
        <v/>
      </c>
      <c r="O430" s="27" t="n"/>
      <c r="P430" s="27" t="n"/>
      <c r="Q430" s="27" t="n"/>
      <c r="R430" s="27" t="n"/>
      <c r="S430" s="27" t="n"/>
      <c r="T430" s="27" t="n"/>
      <c r="U430" s="28" t="n"/>
      <c r="V430" s="28" t="n"/>
      <c r="W430" s="32">
        <f>IF(LEN(R430)=0,"",IF(ISNUMBER(V430),"Closed",IF(AND(ISNUMBER(U430),U430&lt;TODAY()),"Overdue","Open")))</f>
        <v/>
      </c>
      <c r="X430" s="27" t="n"/>
      <c r="Y430" s="27" t="n"/>
    </row>
    <row r="431">
      <c r="A431" s="28" t="n"/>
      <c r="B431" s="29" t="n"/>
      <c r="C431" s="27" t="n"/>
      <c r="D431" s="27" t="n"/>
      <c r="E431" s="27" t="n"/>
      <c r="F431" s="27" t="n"/>
      <c r="G431" s="27" t="n"/>
      <c r="H431" s="27" t="n"/>
      <c r="I431" s="27" t="n"/>
      <c r="J431" s="25" t="n"/>
      <c r="K431" s="25" t="n"/>
      <c r="L431" s="25" t="n"/>
      <c r="M431" s="25" t="n"/>
      <c r="N431" s="33">
        <f>IF(AND(L431="",M431=""),"",(N(L431)*60+N(M431))/86400)</f>
        <v/>
      </c>
      <c r="O431" s="27" t="n"/>
      <c r="P431" s="27" t="n"/>
      <c r="Q431" s="27" t="n"/>
      <c r="R431" s="27" t="n"/>
      <c r="S431" s="27" t="n"/>
      <c r="T431" s="27" t="n"/>
      <c r="U431" s="28" t="n"/>
      <c r="V431" s="28" t="n"/>
      <c r="W431" s="32">
        <f>IF(LEN(R431)=0,"",IF(ISNUMBER(V431),"Closed",IF(AND(ISNUMBER(U431),U431&lt;TODAY()),"Overdue","Open")))</f>
        <v/>
      </c>
      <c r="X431" s="27" t="n"/>
      <c r="Y431" s="27" t="n"/>
    </row>
    <row r="432">
      <c r="A432" s="28" t="n"/>
      <c r="B432" s="29" t="n"/>
      <c r="C432" s="27" t="n"/>
      <c r="D432" s="27" t="n"/>
      <c r="E432" s="27" t="n"/>
      <c r="F432" s="27" t="n"/>
      <c r="G432" s="27" t="n"/>
      <c r="H432" s="27" t="n"/>
      <c r="I432" s="27" t="n"/>
      <c r="J432" s="25" t="n"/>
      <c r="K432" s="25" t="n"/>
      <c r="L432" s="25" t="n"/>
      <c r="M432" s="25" t="n"/>
      <c r="N432" s="33">
        <f>IF(AND(L432="",M432=""),"",(N(L432)*60+N(M432))/86400)</f>
        <v/>
      </c>
      <c r="O432" s="27" t="n"/>
      <c r="P432" s="27" t="n"/>
      <c r="Q432" s="27" t="n"/>
      <c r="R432" s="27" t="n"/>
      <c r="S432" s="27" t="n"/>
      <c r="T432" s="27" t="n"/>
      <c r="U432" s="28" t="n"/>
      <c r="V432" s="28" t="n"/>
      <c r="W432" s="32">
        <f>IF(LEN(R432)=0,"",IF(ISNUMBER(V432),"Closed",IF(AND(ISNUMBER(U432),U432&lt;TODAY()),"Overdue","Open")))</f>
        <v/>
      </c>
      <c r="X432" s="27" t="n"/>
      <c r="Y432" s="27" t="n"/>
    </row>
    <row r="433">
      <c r="A433" s="28" t="n"/>
      <c r="B433" s="29" t="n"/>
      <c r="C433" s="27" t="n"/>
      <c r="D433" s="27" t="n"/>
      <c r="E433" s="27" t="n"/>
      <c r="F433" s="27" t="n"/>
      <c r="G433" s="27" t="n"/>
      <c r="H433" s="27" t="n"/>
      <c r="I433" s="27" t="n"/>
      <c r="J433" s="25" t="n"/>
      <c r="K433" s="25" t="n"/>
      <c r="L433" s="25" t="n"/>
      <c r="M433" s="25" t="n"/>
      <c r="N433" s="33">
        <f>IF(AND(L433="",M433=""),"",(N(L433)*60+N(M433))/86400)</f>
        <v/>
      </c>
      <c r="O433" s="27" t="n"/>
      <c r="P433" s="27" t="n"/>
      <c r="Q433" s="27" t="n"/>
      <c r="R433" s="27" t="n"/>
      <c r="S433" s="27" t="n"/>
      <c r="T433" s="27" t="n"/>
      <c r="U433" s="28" t="n"/>
      <c r="V433" s="28" t="n"/>
      <c r="W433" s="32">
        <f>IF(LEN(R433)=0,"",IF(ISNUMBER(V433),"Closed",IF(AND(ISNUMBER(U433),U433&lt;TODAY()),"Overdue","Open")))</f>
        <v/>
      </c>
      <c r="X433" s="27" t="n"/>
      <c r="Y433" s="27" t="n"/>
    </row>
    <row r="434">
      <c r="A434" s="28" t="n"/>
      <c r="B434" s="29" t="n"/>
      <c r="C434" s="27" t="n"/>
      <c r="D434" s="27" t="n"/>
      <c r="E434" s="27" t="n"/>
      <c r="F434" s="27" t="n"/>
      <c r="G434" s="27" t="n"/>
      <c r="H434" s="27" t="n"/>
      <c r="I434" s="27" t="n"/>
      <c r="J434" s="25" t="n"/>
      <c r="K434" s="25" t="n"/>
      <c r="L434" s="25" t="n"/>
      <c r="M434" s="25" t="n"/>
      <c r="N434" s="33">
        <f>IF(AND(L434="",M434=""),"",(N(L434)*60+N(M434))/86400)</f>
        <v/>
      </c>
      <c r="O434" s="27" t="n"/>
      <c r="P434" s="27" t="n"/>
      <c r="Q434" s="27" t="n"/>
      <c r="R434" s="27" t="n"/>
      <c r="S434" s="27" t="n"/>
      <c r="T434" s="27" t="n"/>
      <c r="U434" s="28" t="n"/>
      <c r="V434" s="28" t="n"/>
      <c r="W434" s="32">
        <f>IF(LEN(R434)=0,"",IF(ISNUMBER(V434),"Closed",IF(AND(ISNUMBER(U434),U434&lt;TODAY()),"Overdue","Open")))</f>
        <v/>
      </c>
      <c r="X434" s="27" t="n"/>
      <c r="Y434" s="27" t="n"/>
    </row>
    <row r="435">
      <c r="A435" s="28" t="n"/>
      <c r="B435" s="29" t="n"/>
      <c r="C435" s="27" t="n"/>
      <c r="D435" s="27" t="n"/>
      <c r="E435" s="27" t="n"/>
      <c r="F435" s="27" t="n"/>
      <c r="G435" s="27" t="n"/>
      <c r="H435" s="27" t="n"/>
      <c r="I435" s="27" t="n"/>
      <c r="J435" s="25" t="n"/>
      <c r="K435" s="25" t="n"/>
      <c r="L435" s="25" t="n"/>
      <c r="M435" s="25" t="n"/>
      <c r="N435" s="33">
        <f>IF(AND(L435="",M435=""),"",(N(L435)*60+N(M435))/86400)</f>
        <v/>
      </c>
      <c r="O435" s="27" t="n"/>
      <c r="P435" s="27" t="n"/>
      <c r="Q435" s="27" t="n"/>
      <c r="R435" s="27" t="n"/>
      <c r="S435" s="27" t="n"/>
      <c r="T435" s="27" t="n"/>
      <c r="U435" s="28" t="n"/>
      <c r="V435" s="28" t="n"/>
      <c r="W435" s="32">
        <f>IF(LEN(R435)=0,"",IF(ISNUMBER(V435),"Closed",IF(AND(ISNUMBER(U435),U435&lt;TODAY()),"Overdue","Open")))</f>
        <v/>
      </c>
      <c r="X435" s="27" t="n"/>
      <c r="Y435" s="27" t="n"/>
    </row>
    <row r="436">
      <c r="A436" s="28" t="n"/>
      <c r="B436" s="29" t="n"/>
      <c r="C436" s="27" t="n"/>
      <c r="D436" s="27" t="n"/>
      <c r="E436" s="27" t="n"/>
      <c r="F436" s="27" t="n"/>
      <c r="G436" s="27" t="n"/>
      <c r="H436" s="27" t="n"/>
      <c r="I436" s="27" t="n"/>
      <c r="J436" s="25" t="n"/>
      <c r="K436" s="25" t="n"/>
      <c r="L436" s="25" t="n"/>
      <c r="M436" s="25" t="n"/>
      <c r="N436" s="33">
        <f>IF(AND(L436="",M436=""),"",(N(L436)*60+N(M436))/86400)</f>
        <v/>
      </c>
      <c r="O436" s="27" t="n"/>
      <c r="P436" s="27" t="n"/>
      <c r="Q436" s="27" t="n"/>
      <c r="R436" s="27" t="n"/>
      <c r="S436" s="27" t="n"/>
      <c r="T436" s="27" t="n"/>
      <c r="U436" s="28" t="n"/>
      <c r="V436" s="28" t="n"/>
      <c r="W436" s="32">
        <f>IF(LEN(R436)=0,"",IF(ISNUMBER(V436),"Closed",IF(AND(ISNUMBER(U436),U436&lt;TODAY()),"Overdue","Open")))</f>
        <v/>
      </c>
      <c r="X436" s="27" t="n"/>
      <c r="Y436" s="27" t="n"/>
    </row>
    <row r="437">
      <c r="A437" s="28" t="n"/>
      <c r="B437" s="29" t="n"/>
      <c r="C437" s="27" t="n"/>
      <c r="D437" s="27" t="n"/>
      <c r="E437" s="27" t="n"/>
      <c r="F437" s="27" t="n"/>
      <c r="G437" s="27" t="n"/>
      <c r="H437" s="27" t="n"/>
      <c r="I437" s="27" t="n"/>
      <c r="J437" s="25" t="n"/>
      <c r="K437" s="25" t="n"/>
      <c r="L437" s="25" t="n"/>
      <c r="M437" s="25" t="n"/>
      <c r="N437" s="33">
        <f>IF(AND(L437="",M437=""),"",(N(L437)*60+N(M437))/86400)</f>
        <v/>
      </c>
      <c r="O437" s="27" t="n"/>
      <c r="P437" s="27" t="n"/>
      <c r="Q437" s="27" t="n"/>
      <c r="R437" s="27" t="n"/>
      <c r="S437" s="27" t="n"/>
      <c r="T437" s="27" t="n"/>
      <c r="U437" s="28" t="n"/>
      <c r="V437" s="28" t="n"/>
      <c r="W437" s="32">
        <f>IF(LEN(R437)=0,"",IF(ISNUMBER(V437),"Closed",IF(AND(ISNUMBER(U437),U437&lt;TODAY()),"Overdue","Open")))</f>
        <v/>
      </c>
      <c r="X437" s="27" t="n"/>
      <c r="Y437" s="27" t="n"/>
    </row>
    <row r="438">
      <c r="A438" s="28" t="n"/>
      <c r="B438" s="29" t="n"/>
      <c r="C438" s="27" t="n"/>
      <c r="D438" s="27" t="n"/>
      <c r="E438" s="27" t="n"/>
      <c r="F438" s="27" t="n"/>
      <c r="G438" s="27" t="n"/>
      <c r="H438" s="27" t="n"/>
      <c r="I438" s="27" t="n"/>
      <c r="J438" s="25" t="n"/>
      <c r="K438" s="25" t="n"/>
      <c r="L438" s="25" t="n"/>
      <c r="M438" s="25" t="n"/>
      <c r="N438" s="33">
        <f>IF(AND(L438="",M438=""),"",(N(L438)*60+N(M438))/86400)</f>
        <v/>
      </c>
      <c r="O438" s="27" t="n"/>
      <c r="P438" s="27" t="n"/>
      <c r="Q438" s="27" t="n"/>
      <c r="R438" s="27" t="n"/>
      <c r="S438" s="27" t="n"/>
      <c r="T438" s="27" t="n"/>
      <c r="U438" s="28" t="n"/>
      <c r="V438" s="28" t="n"/>
      <c r="W438" s="32">
        <f>IF(LEN(R438)=0,"",IF(ISNUMBER(V438),"Closed",IF(AND(ISNUMBER(U438),U438&lt;TODAY()),"Overdue","Open")))</f>
        <v/>
      </c>
      <c r="X438" s="27" t="n"/>
      <c r="Y438" s="27" t="n"/>
    </row>
    <row r="439">
      <c r="A439" s="28" t="n"/>
      <c r="B439" s="29" t="n"/>
      <c r="C439" s="27" t="n"/>
      <c r="D439" s="27" t="n"/>
      <c r="E439" s="27" t="n"/>
      <c r="F439" s="27" t="n"/>
      <c r="G439" s="27" t="n"/>
      <c r="H439" s="27" t="n"/>
      <c r="I439" s="27" t="n"/>
      <c r="J439" s="25" t="n"/>
      <c r="K439" s="25" t="n"/>
      <c r="L439" s="25" t="n"/>
      <c r="M439" s="25" t="n"/>
      <c r="N439" s="33">
        <f>IF(AND(L439="",M439=""),"",(N(L439)*60+N(M439))/86400)</f>
        <v/>
      </c>
      <c r="O439" s="27" t="n"/>
      <c r="P439" s="27" t="n"/>
      <c r="Q439" s="27" t="n"/>
      <c r="R439" s="27" t="n"/>
      <c r="S439" s="27" t="n"/>
      <c r="T439" s="27" t="n"/>
      <c r="U439" s="28" t="n"/>
      <c r="V439" s="28" t="n"/>
      <c r="W439" s="32">
        <f>IF(LEN(R439)=0,"",IF(ISNUMBER(V439),"Closed",IF(AND(ISNUMBER(U439),U439&lt;TODAY()),"Overdue","Open")))</f>
        <v/>
      </c>
      <c r="X439" s="27" t="n"/>
      <c r="Y439" s="27" t="n"/>
    </row>
    <row r="440">
      <c r="A440" s="28" t="n"/>
      <c r="B440" s="29" t="n"/>
      <c r="C440" s="27" t="n"/>
      <c r="D440" s="27" t="n"/>
      <c r="E440" s="27" t="n"/>
      <c r="F440" s="27" t="n"/>
      <c r="G440" s="27" t="n"/>
      <c r="H440" s="27" t="n"/>
      <c r="I440" s="27" t="n"/>
      <c r="J440" s="25" t="n"/>
      <c r="K440" s="25" t="n"/>
      <c r="L440" s="25" t="n"/>
      <c r="M440" s="25" t="n"/>
      <c r="N440" s="33">
        <f>IF(AND(L440="",M440=""),"",(N(L440)*60+N(M440))/86400)</f>
        <v/>
      </c>
      <c r="O440" s="27" t="n"/>
      <c r="P440" s="27" t="n"/>
      <c r="Q440" s="27" t="n"/>
      <c r="R440" s="27" t="n"/>
      <c r="S440" s="27" t="n"/>
      <c r="T440" s="27" t="n"/>
      <c r="U440" s="28" t="n"/>
      <c r="V440" s="28" t="n"/>
      <c r="W440" s="32">
        <f>IF(LEN(R440)=0,"",IF(ISNUMBER(V440),"Closed",IF(AND(ISNUMBER(U440),U440&lt;TODAY()),"Overdue","Open")))</f>
        <v/>
      </c>
      <c r="X440" s="27" t="n"/>
      <c r="Y440" s="27" t="n"/>
    </row>
    <row r="441">
      <c r="A441" s="28" t="n"/>
      <c r="B441" s="29" t="n"/>
      <c r="C441" s="27" t="n"/>
      <c r="D441" s="27" t="n"/>
      <c r="E441" s="27" t="n"/>
      <c r="F441" s="27" t="n"/>
      <c r="G441" s="27" t="n"/>
      <c r="H441" s="27" t="n"/>
      <c r="I441" s="27" t="n"/>
      <c r="J441" s="25" t="n"/>
      <c r="K441" s="25" t="n"/>
      <c r="L441" s="25" t="n"/>
      <c r="M441" s="25" t="n"/>
      <c r="N441" s="33">
        <f>IF(AND(L441="",M441=""),"",(N(L441)*60+N(M441))/86400)</f>
        <v/>
      </c>
      <c r="O441" s="27" t="n"/>
      <c r="P441" s="27" t="n"/>
      <c r="Q441" s="27" t="n"/>
      <c r="R441" s="27" t="n"/>
      <c r="S441" s="27" t="n"/>
      <c r="T441" s="27" t="n"/>
      <c r="U441" s="28" t="n"/>
      <c r="V441" s="28" t="n"/>
      <c r="W441" s="32">
        <f>IF(LEN(R441)=0,"",IF(ISNUMBER(V441),"Closed",IF(AND(ISNUMBER(U441),U441&lt;TODAY()),"Overdue","Open")))</f>
        <v/>
      </c>
      <c r="X441" s="27" t="n"/>
      <c r="Y441" s="27" t="n"/>
    </row>
    <row r="442">
      <c r="A442" s="28" t="n"/>
      <c r="B442" s="29" t="n"/>
      <c r="C442" s="27" t="n"/>
      <c r="D442" s="27" t="n"/>
      <c r="E442" s="27" t="n"/>
      <c r="F442" s="27" t="n"/>
      <c r="G442" s="27" t="n"/>
      <c r="H442" s="27" t="n"/>
      <c r="I442" s="27" t="n"/>
      <c r="J442" s="25" t="n"/>
      <c r="K442" s="25" t="n"/>
      <c r="L442" s="25" t="n"/>
      <c r="M442" s="25" t="n"/>
      <c r="N442" s="33">
        <f>IF(AND(L442="",M442=""),"",(N(L442)*60+N(M442))/86400)</f>
        <v/>
      </c>
      <c r="O442" s="27" t="n"/>
      <c r="P442" s="27" t="n"/>
      <c r="Q442" s="27" t="n"/>
      <c r="R442" s="27" t="n"/>
      <c r="S442" s="27" t="n"/>
      <c r="T442" s="27" t="n"/>
      <c r="U442" s="28" t="n"/>
      <c r="V442" s="28" t="n"/>
      <c r="W442" s="32">
        <f>IF(LEN(R442)=0,"",IF(ISNUMBER(V442),"Closed",IF(AND(ISNUMBER(U442),U442&lt;TODAY()),"Overdue","Open")))</f>
        <v/>
      </c>
      <c r="X442" s="27" t="n"/>
      <c r="Y442" s="27" t="n"/>
    </row>
    <row r="443">
      <c r="A443" s="28" t="n"/>
      <c r="B443" s="29" t="n"/>
      <c r="C443" s="27" t="n"/>
      <c r="D443" s="27" t="n"/>
      <c r="E443" s="27" t="n"/>
      <c r="F443" s="27" t="n"/>
      <c r="G443" s="27" t="n"/>
      <c r="H443" s="27" t="n"/>
      <c r="I443" s="27" t="n"/>
      <c r="J443" s="25" t="n"/>
      <c r="K443" s="25" t="n"/>
      <c r="L443" s="25" t="n"/>
      <c r="M443" s="25" t="n"/>
      <c r="N443" s="33">
        <f>IF(AND(L443="",M443=""),"",(N(L443)*60+N(M443))/86400)</f>
        <v/>
      </c>
      <c r="O443" s="27" t="n"/>
      <c r="P443" s="27" t="n"/>
      <c r="Q443" s="27" t="n"/>
      <c r="R443" s="27" t="n"/>
      <c r="S443" s="27" t="n"/>
      <c r="T443" s="27" t="n"/>
      <c r="U443" s="28" t="n"/>
      <c r="V443" s="28" t="n"/>
      <c r="W443" s="32">
        <f>IF(LEN(R443)=0,"",IF(ISNUMBER(V443),"Closed",IF(AND(ISNUMBER(U443),U443&lt;TODAY()),"Overdue","Open")))</f>
        <v/>
      </c>
      <c r="X443" s="27" t="n"/>
      <c r="Y443" s="27" t="n"/>
    </row>
    <row r="444">
      <c r="A444" s="28" t="n"/>
      <c r="B444" s="29" t="n"/>
      <c r="C444" s="27" t="n"/>
      <c r="D444" s="27" t="n"/>
      <c r="E444" s="27" t="n"/>
      <c r="F444" s="27" t="n"/>
      <c r="G444" s="27" t="n"/>
      <c r="H444" s="27" t="n"/>
      <c r="I444" s="27" t="n"/>
      <c r="J444" s="25" t="n"/>
      <c r="K444" s="25" t="n"/>
      <c r="L444" s="25" t="n"/>
      <c r="M444" s="25" t="n"/>
      <c r="N444" s="33">
        <f>IF(AND(L444="",M444=""),"",(N(L444)*60+N(M444))/86400)</f>
        <v/>
      </c>
      <c r="O444" s="27" t="n"/>
      <c r="P444" s="27" t="n"/>
      <c r="Q444" s="27" t="n"/>
      <c r="R444" s="27" t="n"/>
      <c r="S444" s="27" t="n"/>
      <c r="T444" s="27" t="n"/>
      <c r="U444" s="28" t="n"/>
      <c r="V444" s="28" t="n"/>
      <c r="W444" s="32">
        <f>IF(LEN(R444)=0,"",IF(ISNUMBER(V444),"Closed",IF(AND(ISNUMBER(U444),U444&lt;TODAY()),"Overdue","Open")))</f>
        <v/>
      </c>
      <c r="X444" s="27" t="n"/>
      <c r="Y444" s="27" t="n"/>
    </row>
    <row r="445">
      <c r="A445" s="28" t="n"/>
      <c r="B445" s="29" t="n"/>
      <c r="C445" s="27" t="n"/>
      <c r="D445" s="27" t="n"/>
      <c r="E445" s="27" t="n"/>
      <c r="F445" s="27" t="n"/>
      <c r="G445" s="27" t="n"/>
      <c r="H445" s="27" t="n"/>
      <c r="I445" s="27" t="n"/>
      <c r="J445" s="25" t="n"/>
      <c r="K445" s="25" t="n"/>
      <c r="L445" s="25" t="n"/>
      <c r="M445" s="25" t="n"/>
      <c r="N445" s="33">
        <f>IF(AND(L445="",M445=""),"",(N(L445)*60+N(M445))/86400)</f>
        <v/>
      </c>
      <c r="O445" s="27" t="n"/>
      <c r="P445" s="27" t="n"/>
      <c r="Q445" s="27" t="n"/>
      <c r="R445" s="27" t="n"/>
      <c r="S445" s="27" t="n"/>
      <c r="T445" s="27" t="n"/>
      <c r="U445" s="28" t="n"/>
      <c r="V445" s="28" t="n"/>
      <c r="W445" s="32">
        <f>IF(LEN(R445)=0,"",IF(ISNUMBER(V445),"Closed",IF(AND(ISNUMBER(U445),U445&lt;TODAY()),"Overdue","Open")))</f>
        <v/>
      </c>
      <c r="X445" s="27" t="n"/>
      <c r="Y445" s="27" t="n"/>
    </row>
    <row r="446">
      <c r="A446" s="28" t="n"/>
      <c r="B446" s="29" t="n"/>
      <c r="C446" s="27" t="n"/>
      <c r="D446" s="27" t="n"/>
      <c r="E446" s="27" t="n"/>
      <c r="F446" s="27" t="n"/>
      <c r="G446" s="27" t="n"/>
      <c r="H446" s="27" t="n"/>
      <c r="I446" s="27" t="n"/>
      <c r="J446" s="25" t="n"/>
      <c r="K446" s="25" t="n"/>
      <c r="L446" s="25" t="n"/>
      <c r="M446" s="25" t="n"/>
      <c r="N446" s="33">
        <f>IF(AND(L446="",M446=""),"",(N(L446)*60+N(M446))/86400)</f>
        <v/>
      </c>
      <c r="O446" s="27" t="n"/>
      <c r="P446" s="27" t="n"/>
      <c r="Q446" s="27" t="n"/>
      <c r="R446" s="27" t="n"/>
      <c r="S446" s="27" t="n"/>
      <c r="T446" s="27" t="n"/>
      <c r="U446" s="28" t="n"/>
      <c r="V446" s="28" t="n"/>
      <c r="W446" s="32">
        <f>IF(LEN(R446)=0,"",IF(ISNUMBER(V446),"Closed",IF(AND(ISNUMBER(U446),U446&lt;TODAY()),"Overdue","Open")))</f>
        <v/>
      </c>
      <c r="X446" s="27" t="n"/>
      <c r="Y446" s="27" t="n"/>
    </row>
    <row r="447">
      <c r="A447" s="28" t="n"/>
      <c r="B447" s="29" t="n"/>
      <c r="C447" s="27" t="n"/>
      <c r="D447" s="27" t="n"/>
      <c r="E447" s="27" t="n"/>
      <c r="F447" s="27" t="n"/>
      <c r="G447" s="27" t="n"/>
      <c r="H447" s="27" t="n"/>
      <c r="I447" s="27" t="n"/>
      <c r="J447" s="25" t="n"/>
      <c r="K447" s="25" t="n"/>
      <c r="L447" s="25" t="n"/>
      <c r="M447" s="25" t="n"/>
      <c r="N447" s="33">
        <f>IF(AND(L447="",M447=""),"",(N(L447)*60+N(M447))/86400)</f>
        <v/>
      </c>
      <c r="O447" s="27" t="n"/>
      <c r="P447" s="27" t="n"/>
      <c r="Q447" s="27" t="n"/>
      <c r="R447" s="27" t="n"/>
      <c r="S447" s="27" t="n"/>
      <c r="T447" s="27" t="n"/>
      <c r="U447" s="28" t="n"/>
      <c r="V447" s="28" t="n"/>
      <c r="W447" s="32">
        <f>IF(LEN(R447)=0,"",IF(ISNUMBER(V447),"Closed",IF(AND(ISNUMBER(U447),U447&lt;TODAY()),"Overdue","Open")))</f>
        <v/>
      </c>
      <c r="X447" s="27" t="n"/>
      <c r="Y447" s="27" t="n"/>
    </row>
    <row r="448">
      <c r="A448" s="28" t="n"/>
      <c r="B448" s="29" t="n"/>
      <c r="C448" s="27" t="n"/>
      <c r="D448" s="27" t="n"/>
      <c r="E448" s="27" t="n"/>
      <c r="F448" s="27" t="n"/>
      <c r="G448" s="27" t="n"/>
      <c r="H448" s="27" t="n"/>
      <c r="I448" s="27" t="n"/>
      <c r="J448" s="25" t="n"/>
      <c r="K448" s="25" t="n"/>
      <c r="L448" s="25" t="n"/>
      <c r="M448" s="25" t="n"/>
      <c r="N448" s="33">
        <f>IF(AND(L448="",M448=""),"",(N(L448)*60+N(M448))/86400)</f>
        <v/>
      </c>
      <c r="O448" s="27" t="n"/>
      <c r="P448" s="27" t="n"/>
      <c r="Q448" s="27" t="n"/>
      <c r="R448" s="27" t="n"/>
      <c r="S448" s="27" t="n"/>
      <c r="T448" s="27" t="n"/>
      <c r="U448" s="28" t="n"/>
      <c r="V448" s="28" t="n"/>
      <c r="W448" s="32">
        <f>IF(LEN(R448)=0,"",IF(ISNUMBER(V448),"Closed",IF(AND(ISNUMBER(U448),U448&lt;TODAY()),"Overdue","Open")))</f>
        <v/>
      </c>
      <c r="X448" s="27" t="n"/>
      <c r="Y448" s="27" t="n"/>
    </row>
    <row r="449">
      <c r="A449" s="28" t="n"/>
      <c r="B449" s="29" t="n"/>
      <c r="C449" s="27" t="n"/>
      <c r="D449" s="27" t="n"/>
      <c r="E449" s="27" t="n"/>
      <c r="F449" s="27" t="n"/>
      <c r="G449" s="27" t="n"/>
      <c r="H449" s="27" t="n"/>
      <c r="I449" s="27" t="n"/>
      <c r="J449" s="25" t="n"/>
      <c r="K449" s="25" t="n"/>
      <c r="L449" s="25" t="n"/>
      <c r="M449" s="25" t="n"/>
      <c r="N449" s="33">
        <f>IF(AND(L449="",M449=""),"",(N(L449)*60+N(M449))/86400)</f>
        <v/>
      </c>
      <c r="O449" s="27" t="n"/>
      <c r="P449" s="27" t="n"/>
      <c r="Q449" s="27" t="n"/>
      <c r="R449" s="27" t="n"/>
      <c r="S449" s="27" t="n"/>
      <c r="T449" s="27" t="n"/>
      <c r="U449" s="28" t="n"/>
      <c r="V449" s="28" t="n"/>
      <c r="W449" s="32">
        <f>IF(LEN(R449)=0,"",IF(ISNUMBER(V449),"Closed",IF(AND(ISNUMBER(U449),U449&lt;TODAY()),"Overdue","Open")))</f>
        <v/>
      </c>
      <c r="X449" s="27" t="n"/>
      <c r="Y449" s="27" t="n"/>
    </row>
    <row r="450">
      <c r="A450" s="28" t="n"/>
      <c r="B450" s="29" t="n"/>
      <c r="C450" s="27" t="n"/>
      <c r="D450" s="27" t="n"/>
      <c r="E450" s="27" t="n"/>
      <c r="F450" s="27" t="n"/>
      <c r="G450" s="27" t="n"/>
      <c r="H450" s="27" t="n"/>
      <c r="I450" s="27" t="n"/>
      <c r="J450" s="25" t="n"/>
      <c r="K450" s="25" t="n"/>
      <c r="L450" s="25" t="n"/>
      <c r="M450" s="25" t="n"/>
      <c r="N450" s="33">
        <f>IF(AND(L450="",M450=""),"",(N(L450)*60+N(M450))/86400)</f>
        <v/>
      </c>
      <c r="O450" s="27" t="n"/>
      <c r="P450" s="27" t="n"/>
      <c r="Q450" s="27" t="n"/>
      <c r="R450" s="27" t="n"/>
      <c r="S450" s="27" t="n"/>
      <c r="T450" s="27" t="n"/>
      <c r="U450" s="28" t="n"/>
      <c r="V450" s="28" t="n"/>
      <c r="W450" s="32">
        <f>IF(LEN(R450)=0,"",IF(ISNUMBER(V450),"Closed",IF(AND(ISNUMBER(U450),U450&lt;TODAY()),"Overdue","Open")))</f>
        <v/>
      </c>
      <c r="X450" s="27" t="n"/>
      <c r="Y450" s="27" t="n"/>
    </row>
    <row r="451">
      <c r="A451" s="28" t="n"/>
      <c r="B451" s="29" t="n"/>
      <c r="C451" s="27" t="n"/>
      <c r="D451" s="27" t="n"/>
      <c r="E451" s="27" t="n"/>
      <c r="F451" s="27" t="n"/>
      <c r="G451" s="27" t="n"/>
      <c r="H451" s="27" t="n"/>
      <c r="I451" s="27" t="n"/>
      <c r="J451" s="25" t="n"/>
      <c r="K451" s="25" t="n"/>
      <c r="L451" s="25" t="n"/>
      <c r="M451" s="25" t="n"/>
      <c r="N451" s="33">
        <f>IF(AND(L451="",M451=""),"",(N(L451)*60+N(M451))/86400)</f>
        <v/>
      </c>
      <c r="O451" s="27" t="n"/>
      <c r="P451" s="27" t="n"/>
      <c r="Q451" s="27" t="n"/>
      <c r="R451" s="27" t="n"/>
      <c r="S451" s="27" t="n"/>
      <c r="T451" s="27" t="n"/>
      <c r="U451" s="28" t="n"/>
      <c r="V451" s="28" t="n"/>
      <c r="W451" s="32">
        <f>IF(LEN(R451)=0,"",IF(ISNUMBER(V451),"Closed",IF(AND(ISNUMBER(U451),U451&lt;TODAY()),"Overdue","Open")))</f>
        <v/>
      </c>
      <c r="X451" s="27" t="n"/>
      <c r="Y451" s="27" t="n"/>
    </row>
    <row r="452">
      <c r="A452" s="28" t="n"/>
      <c r="B452" s="29" t="n"/>
      <c r="C452" s="27" t="n"/>
      <c r="D452" s="27" t="n"/>
      <c r="E452" s="27" t="n"/>
      <c r="F452" s="27" t="n"/>
      <c r="G452" s="27" t="n"/>
      <c r="H452" s="27" t="n"/>
      <c r="I452" s="27" t="n"/>
      <c r="J452" s="25" t="n"/>
      <c r="K452" s="25" t="n"/>
      <c r="L452" s="25" t="n"/>
      <c r="M452" s="25" t="n"/>
      <c r="N452" s="33">
        <f>IF(AND(L452="",M452=""),"",(N(L452)*60+N(M452))/86400)</f>
        <v/>
      </c>
      <c r="O452" s="27" t="n"/>
      <c r="P452" s="27" t="n"/>
      <c r="Q452" s="27" t="n"/>
      <c r="R452" s="27" t="n"/>
      <c r="S452" s="27" t="n"/>
      <c r="T452" s="27" t="n"/>
      <c r="U452" s="28" t="n"/>
      <c r="V452" s="28" t="n"/>
      <c r="W452" s="32">
        <f>IF(LEN(R452)=0,"",IF(ISNUMBER(V452),"Closed",IF(AND(ISNUMBER(U452),U452&lt;TODAY()),"Overdue","Open")))</f>
        <v/>
      </c>
      <c r="X452" s="27" t="n"/>
      <c r="Y452" s="27" t="n"/>
    </row>
    <row r="453">
      <c r="A453" s="28" t="n"/>
      <c r="B453" s="29" t="n"/>
      <c r="C453" s="27" t="n"/>
      <c r="D453" s="27" t="n"/>
      <c r="E453" s="27" t="n"/>
      <c r="F453" s="27" t="n"/>
      <c r="G453" s="27" t="n"/>
      <c r="H453" s="27" t="n"/>
      <c r="I453" s="27" t="n"/>
      <c r="J453" s="25" t="n"/>
      <c r="K453" s="25" t="n"/>
      <c r="L453" s="25" t="n"/>
      <c r="M453" s="25" t="n"/>
      <c r="N453" s="33">
        <f>IF(AND(L453="",M453=""),"",(N(L453)*60+N(M453))/86400)</f>
        <v/>
      </c>
      <c r="O453" s="27" t="n"/>
      <c r="P453" s="27" t="n"/>
      <c r="Q453" s="27" t="n"/>
      <c r="R453" s="27" t="n"/>
      <c r="S453" s="27" t="n"/>
      <c r="T453" s="27" t="n"/>
      <c r="U453" s="28" t="n"/>
      <c r="V453" s="28" t="n"/>
      <c r="W453" s="32">
        <f>IF(LEN(R453)=0,"",IF(ISNUMBER(V453),"Closed",IF(AND(ISNUMBER(U453),U453&lt;TODAY()),"Overdue","Open")))</f>
        <v/>
      </c>
      <c r="X453" s="27" t="n"/>
      <c r="Y453" s="27" t="n"/>
    </row>
    <row r="454">
      <c r="A454" s="28" t="n"/>
      <c r="B454" s="29" t="n"/>
      <c r="C454" s="27" t="n"/>
      <c r="D454" s="27" t="n"/>
      <c r="E454" s="27" t="n"/>
      <c r="F454" s="27" t="n"/>
      <c r="G454" s="27" t="n"/>
      <c r="H454" s="27" t="n"/>
      <c r="I454" s="27" t="n"/>
      <c r="J454" s="25" t="n"/>
      <c r="K454" s="25" t="n"/>
      <c r="L454" s="25" t="n"/>
      <c r="M454" s="25" t="n"/>
      <c r="N454" s="33">
        <f>IF(AND(L454="",M454=""),"",(N(L454)*60+N(M454))/86400)</f>
        <v/>
      </c>
      <c r="O454" s="27" t="n"/>
      <c r="P454" s="27" t="n"/>
      <c r="Q454" s="27" t="n"/>
      <c r="R454" s="27" t="n"/>
      <c r="S454" s="27" t="n"/>
      <c r="T454" s="27" t="n"/>
      <c r="U454" s="28" t="n"/>
      <c r="V454" s="28" t="n"/>
      <c r="W454" s="32">
        <f>IF(LEN(R454)=0,"",IF(ISNUMBER(V454),"Closed",IF(AND(ISNUMBER(U454),U454&lt;TODAY()),"Overdue","Open")))</f>
        <v/>
      </c>
      <c r="X454" s="27" t="n"/>
      <c r="Y454" s="27" t="n"/>
    </row>
    <row r="455">
      <c r="A455" s="28" t="n"/>
      <c r="B455" s="29" t="n"/>
      <c r="C455" s="27" t="n"/>
      <c r="D455" s="27" t="n"/>
      <c r="E455" s="27" t="n"/>
      <c r="F455" s="27" t="n"/>
      <c r="G455" s="27" t="n"/>
      <c r="H455" s="27" t="n"/>
      <c r="I455" s="27" t="n"/>
      <c r="J455" s="25" t="n"/>
      <c r="K455" s="25" t="n"/>
      <c r="L455" s="25" t="n"/>
      <c r="M455" s="25" t="n"/>
      <c r="N455" s="33">
        <f>IF(AND(L455="",M455=""),"",(N(L455)*60+N(M455))/86400)</f>
        <v/>
      </c>
      <c r="O455" s="27" t="n"/>
      <c r="P455" s="27" t="n"/>
      <c r="Q455" s="27" t="n"/>
      <c r="R455" s="27" t="n"/>
      <c r="S455" s="27" t="n"/>
      <c r="T455" s="27" t="n"/>
      <c r="U455" s="28" t="n"/>
      <c r="V455" s="28" t="n"/>
      <c r="W455" s="32">
        <f>IF(LEN(R455)=0,"",IF(ISNUMBER(V455),"Closed",IF(AND(ISNUMBER(U455),U455&lt;TODAY()),"Overdue","Open")))</f>
        <v/>
      </c>
      <c r="X455" s="27" t="n"/>
      <c r="Y455" s="27" t="n"/>
    </row>
    <row r="456">
      <c r="A456" s="28" t="n"/>
      <c r="B456" s="29" t="n"/>
      <c r="C456" s="27" t="n"/>
      <c r="D456" s="27" t="n"/>
      <c r="E456" s="27" t="n"/>
      <c r="F456" s="27" t="n"/>
      <c r="G456" s="27" t="n"/>
      <c r="H456" s="27" t="n"/>
      <c r="I456" s="27" t="n"/>
      <c r="J456" s="25" t="n"/>
      <c r="K456" s="25" t="n"/>
      <c r="L456" s="25" t="n"/>
      <c r="M456" s="25" t="n"/>
      <c r="N456" s="33">
        <f>IF(AND(L456="",M456=""),"",(N(L456)*60+N(M456))/86400)</f>
        <v/>
      </c>
      <c r="O456" s="27" t="n"/>
      <c r="P456" s="27" t="n"/>
      <c r="Q456" s="27" t="n"/>
      <c r="R456" s="27" t="n"/>
      <c r="S456" s="27" t="n"/>
      <c r="T456" s="27" t="n"/>
      <c r="U456" s="28" t="n"/>
      <c r="V456" s="28" t="n"/>
      <c r="W456" s="32">
        <f>IF(LEN(R456)=0,"",IF(ISNUMBER(V456),"Closed",IF(AND(ISNUMBER(U456),U456&lt;TODAY()),"Overdue","Open")))</f>
        <v/>
      </c>
      <c r="X456" s="27" t="n"/>
      <c r="Y456" s="27" t="n"/>
    </row>
    <row r="457">
      <c r="A457" s="28" t="n"/>
      <c r="B457" s="29" t="n"/>
      <c r="C457" s="27" t="n"/>
      <c r="D457" s="27" t="n"/>
      <c r="E457" s="27" t="n"/>
      <c r="F457" s="27" t="n"/>
      <c r="G457" s="27" t="n"/>
      <c r="H457" s="27" t="n"/>
      <c r="I457" s="27" t="n"/>
      <c r="J457" s="25" t="n"/>
      <c r="K457" s="25" t="n"/>
      <c r="L457" s="25" t="n"/>
      <c r="M457" s="25" t="n"/>
      <c r="N457" s="33">
        <f>IF(AND(L457="",M457=""),"",(N(L457)*60+N(M457))/86400)</f>
        <v/>
      </c>
      <c r="O457" s="27" t="n"/>
      <c r="P457" s="27" t="n"/>
      <c r="Q457" s="27" t="n"/>
      <c r="R457" s="27" t="n"/>
      <c r="S457" s="27" t="n"/>
      <c r="T457" s="27" t="n"/>
      <c r="U457" s="28" t="n"/>
      <c r="V457" s="28" t="n"/>
      <c r="W457" s="32">
        <f>IF(LEN(R457)=0,"",IF(ISNUMBER(V457),"Closed",IF(AND(ISNUMBER(U457),U457&lt;TODAY()),"Overdue","Open")))</f>
        <v/>
      </c>
      <c r="X457" s="27" t="n"/>
      <c r="Y457" s="27" t="n"/>
    </row>
    <row r="458">
      <c r="A458" s="28" t="n"/>
      <c r="B458" s="29" t="n"/>
      <c r="C458" s="27" t="n"/>
      <c r="D458" s="27" t="n"/>
      <c r="E458" s="27" t="n"/>
      <c r="F458" s="27" t="n"/>
      <c r="G458" s="27" t="n"/>
      <c r="H458" s="27" t="n"/>
      <c r="I458" s="27" t="n"/>
      <c r="J458" s="25" t="n"/>
      <c r="K458" s="25" t="n"/>
      <c r="L458" s="25" t="n"/>
      <c r="M458" s="25" t="n"/>
      <c r="N458" s="33">
        <f>IF(AND(L458="",M458=""),"",(N(L458)*60+N(M458))/86400)</f>
        <v/>
      </c>
      <c r="O458" s="27" t="n"/>
      <c r="P458" s="27" t="n"/>
      <c r="Q458" s="27" t="n"/>
      <c r="R458" s="27" t="n"/>
      <c r="S458" s="27" t="n"/>
      <c r="T458" s="27" t="n"/>
      <c r="U458" s="28" t="n"/>
      <c r="V458" s="28" t="n"/>
      <c r="W458" s="32">
        <f>IF(LEN(R458)=0,"",IF(ISNUMBER(V458),"Closed",IF(AND(ISNUMBER(U458),U458&lt;TODAY()),"Overdue","Open")))</f>
        <v/>
      </c>
      <c r="X458" s="27" t="n"/>
      <c r="Y458" s="27" t="n"/>
    </row>
    <row r="459">
      <c r="A459" s="28" t="n"/>
      <c r="B459" s="29" t="n"/>
      <c r="C459" s="27" t="n"/>
      <c r="D459" s="27" t="n"/>
      <c r="E459" s="27" t="n"/>
      <c r="F459" s="27" t="n"/>
      <c r="G459" s="27" t="n"/>
      <c r="H459" s="27" t="n"/>
      <c r="I459" s="27" t="n"/>
      <c r="J459" s="25" t="n"/>
      <c r="K459" s="25" t="n"/>
      <c r="L459" s="25" t="n"/>
      <c r="M459" s="25" t="n"/>
      <c r="N459" s="33">
        <f>IF(AND(L459="",M459=""),"",(N(L459)*60+N(M459))/86400)</f>
        <v/>
      </c>
      <c r="O459" s="27" t="n"/>
      <c r="P459" s="27" t="n"/>
      <c r="Q459" s="27" t="n"/>
      <c r="R459" s="27" t="n"/>
      <c r="S459" s="27" t="n"/>
      <c r="T459" s="27" t="n"/>
      <c r="U459" s="28" t="n"/>
      <c r="V459" s="28" t="n"/>
      <c r="W459" s="32">
        <f>IF(LEN(R459)=0,"",IF(ISNUMBER(V459),"Closed",IF(AND(ISNUMBER(U459),U459&lt;TODAY()),"Overdue","Open")))</f>
        <v/>
      </c>
      <c r="X459" s="27" t="n"/>
      <c r="Y459" s="27" t="n"/>
    </row>
    <row r="460">
      <c r="A460" s="28" t="n"/>
      <c r="B460" s="29" t="n"/>
      <c r="C460" s="27" t="n"/>
      <c r="D460" s="27" t="n"/>
      <c r="E460" s="27" t="n"/>
      <c r="F460" s="27" t="n"/>
      <c r="G460" s="27" t="n"/>
      <c r="H460" s="27" t="n"/>
      <c r="I460" s="27" t="n"/>
      <c r="J460" s="25" t="n"/>
      <c r="K460" s="25" t="n"/>
      <c r="L460" s="25" t="n"/>
      <c r="M460" s="25" t="n"/>
      <c r="N460" s="33">
        <f>IF(AND(L460="",M460=""),"",(N(L460)*60+N(M460))/86400)</f>
        <v/>
      </c>
      <c r="O460" s="27" t="n"/>
      <c r="P460" s="27" t="n"/>
      <c r="Q460" s="27" t="n"/>
      <c r="R460" s="27" t="n"/>
      <c r="S460" s="27" t="n"/>
      <c r="T460" s="27" t="n"/>
      <c r="U460" s="28" t="n"/>
      <c r="V460" s="28" t="n"/>
      <c r="W460" s="32">
        <f>IF(LEN(R460)=0,"",IF(ISNUMBER(V460),"Closed",IF(AND(ISNUMBER(U460),U460&lt;TODAY()),"Overdue","Open")))</f>
        <v/>
      </c>
      <c r="X460" s="27" t="n"/>
      <c r="Y460" s="27" t="n"/>
    </row>
    <row r="461">
      <c r="A461" s="28" t="n"/>
      <c r="B461" s="29" t="n"/>
      <c r="C461" s="27" t="n"/>
      <c r="D461" s="27" t="n"/>
      <c r="E461" s="27" t="n"/>
      <c r="F461" s="27" t="n"/>
      <c r="G461" s="27" t="n"/>
      <c r="H461" s="27" t="n"/>
      <c r="I461" s="27" t="n"/>
      <c r="J461" s="25" t="n"/>
      <c r="K461" s="25" t="n"/>
      <c r="L461" s="25" t="n"/>
      <c r="M461" s="25" t="n"/>
      <c r="N461" s="33">
        <f>IF(AND(L461="",M461=""),"",(N(L461)*60+N(M461))/86400)</f>
        <v/>
      </c>
      <c r="O461" s="27" t="n"/>
      <c r="P461" s="27" t="n"/>
      <c r="Q461" s="27" t="n"/>
      <c r="R461" s="27" t="n"/>
      <c r="S461" s="27" t="n"/>
      <c r="T461" s="27" t="n"/>
      <c r="U461" s="28" t="n"/>
      <c r="V461" s="28" t="n"/>
      <c r="W461" s="32">
        <f>IF(LEN(R461)=0,"",IF(ISNUMBER(V461),"Closed",IF(AND(ISNUMBER(U461),U461&lt;TODAY()),"Overdue","Open")))</f>
        <v/>
      </c>
      <c r="X461" s="27" t="n"/>
      <c r="Y461" s="27" t="n"/>
    </row>
    <row r="462">
      <c r="A462" s="28" t="n"/>
      <c r="B462" s="29" t="n"/>
      <c r="C462" s="27" t="n"/>
      <c r="D462" s="27" t="n"/>
      <c r="E462" s="27" t="n"/>
      <c r="F462" s="27" t="n"/>
      <c r="G462" s="27" t="n"/>
      <c r="H462" s="27" t="n"/>
      <c r="I462" s="27" t="n"/>
      <c r="J462" s="25" t="n"/>
      <c r="K462" s="25" t="n"/>
      <c r="L462" s="25" t="n"/>
      <c r="M462" s="25" t="n"/>
      <c r="N462" s="33">
        <f>IF(AND(L462="",M462=""),"",(N(L462)*60+N(M462))/86400)</f>
        <v/>
      </c>
      <c r="O462" s="27" t="n"/>
      <c r="P462" s="27" t="n"/>
      <c r="Q462" s="27" t="n"/>
      <c r="R462" s="27" t="n"/>
      <c r="S462" s="27" t="n"/>
      <c r="T462" s="27" t="n"/>
      <c r="U462" s="28" t="n"/>
      <c r="V462" s="28" t="n"/>
      <c r="W462" s="32">
        <f>IF(LEN(R462)=0,"",IF(ISNUMBER(V462),"Closed",IF(AND(ISNUMBER(U462),U462&lt;TODAY()),"Overdue","Open")))</f>
        <v/>
      </c>
      <c r="X462" s="27" t="n"/>
      <c r="Y462" s="27" t="n"/>
    </row>
    <row r="463">
      <c r="A463" s="28" t="n"/>
      <c r="B463" s="29" t="n"/>
      <c r="C463" s="27" t="n"/>
      <c r="D463" s="27" t="n"/>
      <c r="E463" s="27" t="n"/>
      <c r="F463" s="27" t="n"/>
      <c r="G463" s="27" t="n"/>
      <c r="H463" s="27" t="n"/>
      <c r="I463" s="27" t="n"/>
      <c r="J463" s="25" t="n"/>
      <c r="K463" s="25" t="n"/>
      <c r="L463" s="25" t="n"/>
      <c r="M463" s="25" t="n"/>
      <c r="N463" s="33">
        <f>IF(AND(L463="",M463=""),"",(N(L463)*60+N(M463))/86400)</f>
        <v/>
      </c>
      <c r="O463" s="27" t="n"/>
      <c r="P463" s="27" t="n"/>
      <c r="Q463" s="27" t="n"/>
      <c r="R463" s="27" t="n"/>
      <c r="S463" s="27" t="n"/>
      <c r="T463" s="27" t="n"/>
      <c r="U463" s="28" t="n"/>
      <c r="V463" s="28" t="n"/>
      <c r="W463" s="32">
        <f>IF(LEN(R463)=0,"",IF(ISNUMBER(V463),"Closed",IF(AND(ISNUMBER(U463),U463&lt;TODAY()),"Overdue","Open")))</f>
        <v/>
      </c>
      <c r="X463" s="27" t="n"/>
      <c r="Y463" s="27" t="n"/>
    </row>
    <row r="464">
      <c r="A464" s="28" t="n"/>
      <c r="B464" s="29" t="n"/>
      <c r="C464" s="27" t="n"/>
      <c r="D464" s="27" t="n"/>
      <c r="E464" s="27" t="n"/>
      <c r="F464" s="27" t="n"/>
      <c r="G464" s="27" t="n"/>
      <c r="H464" s="27" t="n"/>
      <c r="I464" s="27" t="n"/>
      <c r="J464" s="25" t="n"/>
      <c r="K464" s="25" t="n"/>
      <c r="L464" s="25" t="n"/>
      <c r="M464" s="25" t="n"/>
      <c r="N464" s="33">
        <f>IF(AND(L464="",M464=""),"",(N(L464)*60+N(M464))/86400)</f>
        <v/>
      </c>
      <c r="O464" s="27" t="n"/>
      <c r="P464" s="27" t="n"/>
      <c r="Q464" s="27" t="n"/>
      <c r="R464" s="27" t="n"/>
      <c r="S464" s="27" t="n"/>
      <c r="T464" s="27" t="n"/>
      <c r="U464" s="28" t="n"/>
      <c r="V464" s="28" t="n"/>
      <c r="W464" s="32">
        <f>IF(LEN(R464)=0,"",IF(ISNUMBER(V464),"Closed",IF(AND(ISNUMBER(U464),U464&lt;TODAY()),"Overdue","Open")))</f>
        <v/>
      </c>
      <c r="X464" s="27" t="n"/>
      <c r="Y464" s="27" t="n"/>
    </row>
    <row r="465">
      <c r="A465" s="28" t="n"/>
      <c r="B465" s="29" t="n"/>
      <c r="C465" s="27" t="n"/>
      <c r="D465" s="27" t="n"/>
      <c r="E465" s="27" t="n"/>
      <c r="F465" s="27" t="n"/>
      <c r="G465" s="27" t="n"/>
      <c r="H465" s="27" t="n"/>
      <c r="I465" s="27" t="n"/>
      <c r="J465" s="25" t="n"/>
      <c r="K465" s="25" t="n"/>
      <c r="L465" s="25" t="n"/>
      <c r="M465" s="25" t="n"/>
      <c r="N465" s="33">
        <f>IF(AND(L465="",M465=""),"",(N(L465)*60+N(M465))/86400)</f>
        <v/>
      </c>
      <c r="O465" s="27" t="n"/>
      <c r="P465" s="27" t="n"/>
      <c r="Q465" s="27" t="n"/>
      <c r="R465" s="27" t="n"/>
      <c r="S465" s="27" t="n"/>
      <c r="T465" s="27" t="n"/>
      <c r="U465" s="28" t="n"/>
      <c r="V465" s="28" t="n"/>
      <c r="W465" s="32">
        <f>IF(LEN(R465)=0,"",IF(ISNUMBER(V465),"Closed",IF(AND(ISNUMBER(U465),U465&lt;TODAY()),"Overdue","Open")))</f>
        <v/>
      </c>
      <c r="X465" s="27" t="n"/>
      <c r="Y465" s="27" t="n"/>
    </row>
    <row r="466">
      <c r="A466" s="28" t="n"/>
      <c r="B466" s="29" t="n"/>
      <c r="C466" s="27" t="n"/>
      <c r="D466" s="27" t="n"/>
      <c r="E466" s="27" t="n"/>
      <c r="F466" s="27" t="n"/>
      <c r="G466" s="27" t="n"/>
      <c r="H466" s="27" t="n"/>
      <c r="I466" s="27" t="n"/>
      <c r="J466" s="25" t="n"/>
      <c r="K466" s="25" t="n"/>
      <c r="L466" s="25" t="n"/>
      <c r="M466" s="25" t="n"/>
      <c r="N466" s="33">
        <f>IF(AND(L466="",M466=""),"",(N(L466)*60+N(M466))/86400)</f>
        <v/>
      </c>
      <c r="O466" s="27" t="n"/>
      <c r="P466" s="27" t="n"/>
      <c r="Q466" s="27" t="n"/>
      <c r="R466" s="27" t="n"/>
      <c r="S466" s="27" t="n"/>
      <c r="T466" s="27" t="n"/>
      <c r="U466" s="28" t="n"/>
      <c r="V466" s="28" t="n"/>
      <c r="W466" s="32">
        <f>IF(LEN(R466)=0,"",IF(ISNUMBER(V466),"Closed",IF(AND(ISNUMBER(U466),U466&lt;TODAY()),"Overdue","Open")))</f>
        <v/>
      </c>
      <c r="X466" s="27" t="n"/>
      <c r="Y466" s="27" t="n"/>
    </row>
    <row r="467">
      <c r="A467" s="28" t="n"/>
      <c r="B467" s="29" t="n"/>
      <c r="C467" s="27" t="n"/>
      <c r="D467" s="27" t="n"/>
      <c r="E467" s="27" t="n"/>
      <c r="F467" s="27" t="n"/>
      <c r="G467" s="27" t="n"/>
      <c r="H467" s="27" t="n"/>
      <c r="I467" s="27" t="n"/>
      <c r="J467" s="25" t="n"/>
      <c r="K467" s="25" t="n"/>
      <c r="L467" s="25" t="n"/>
      <c r="M467" s="25" t="n"/>
      <c r="N467" s="33">
        <f>IF(AND(L467="",M467=""),"",(N(L467)*60+N(M467))/86400)</f>
        <v/>
      </c>
      <c r="O467" s="27" t="n"/>
      <c r="P467" s="27" t="n"/>
      <c r="Q467" s="27" t="n"/>
      <c r="R467" s="27" t="n"/>
      <c r="S467" s="27" t="n"/>
      <c r="T467" s="27" t="n"/>
      <c r="U467" s="28" t="n"/>
      <c r="V467" s="28" t="n"/>
      <c r="W467" s="32">
        <f>IF(LEN(R467)=0,"",IF(ISNUMBER(V467),"Closed",IF(AND(ISNUMBER(U467),U467&lt;TODAY()),"Overdue","Open")))</f>
        <v/>
      </c>
      <c r="X467" s="27" t="n"/>
      <c r="Y467" s="27" t="n"/>
    </row>
    <row r="468">
      <c r="A468" s="28" t="n"/>
      <c r="B468" s="29" t="n"/>
      <c r="C468" s="27" t="n"/>
      <c r="D468" s="27" t="n"/>
      <c r="E468" s="27" t="n"/>
      <c r="F468" s="27" t="n"/>
      <c r="G468" s="27" t="n"/>
      <c r="H468" s="27" t="n"/>
      <c r="I468" s="27" t="n"/>
      <c r="J468" s="25" t="n"/>
      <c r="K468" s="25" t="n"/>
      <c r="L468" s="25" t="n"/>
      <c r="M468" s="25" t="n"/>
      <c r="N468" s="33">
        <f>IF(AND(L468="",M468=""),"",(N(L468)*60+N(M468))/86400)</f>
        <v/>
      </c>
      <c r="O468" s="27" t="n"/>
      <c r="P468" s="27" t="n"/>
      <c r="Q468" s="27" t="n"/>
      <c r="R468" s="27" t="n"/>
      <c r="S468" s="27" t="n"/>
      <c r="T468" s="27" t="n"/>
      <c r="U468" s="28" t="n"/>
      <c r="V468" s="28" t="n"/>
      <c r="W468" s="32">
        <f>IF(LEN(R468)=0,"",IF(ISNUMBER(V468),"Closed",IF(AND(ISNUMBER(U468),U468&lt;TODAY()),"Overdue","Open")))</f>
        <v/>
      </c>
      <c r="X468" s="27" t="n"/>
      <c r="Y468" s="27" t="n"/>
    </row>
    <row r="469">
      <c r="A469" s="28" t="n"/>
      <c r="B469" s="29" t="n"/>
      <c r="C469" s="27" t="n"/>
      <c r="D469" s="27" t="n"/>
      <c r="E469" s="27" t="n"/>
      <c r="F469" s="27" t="n"/>
      <c r="G469" s="27" t="n"/>
      <c r="H469" s="27" t="n"/>
      <c r="I469" s="27" t="n"/>
      <c r="J469" s="25" t="n"/>
      <c r="K469" s="25" t="n"/>
      <c r="L469" s="25" t="n"/>
      <c r="M469" s="25" t="n"/>
      <c r="N469" s="33">
        <f>IF(AND(L469="",M469=""),"",(N(L469)*60+N(M469))/86400)</f>
        <v/>
      </c>
      <c r="O469" s="27" t="n"/>
      <c r="P469" s="27" t="n"/>
      <c r="Q469" s="27" t="n"/>
      <c r="R469" s="27" t="n"/>
      <c r="S469" s="27" t="n"/>
      <c r="T469" s="27" t="n"/>
      <c r="U469" s="28" t="n"/>
      <c r="V469" s="28" t="n"/>
      <c r="W469" s="32">
        <f>IF(LEN(R469)=0,"",IF(ISNUMBER(V469),"Closed",IF(AND(ISNUMBER(U469),U469&lt;TODAY()),"Overdue","Open")))</f>
        <v/>
      </c>
      <c r="X469" s="27" t="n"/>
      <c r="Y469" s="27" t="n"/>
    </row>
    <row r="470">
      <c r="A470" s="28" t="n"/>
      <c r="B470" s="29" t="n"/>
      <c r="C470" s="27" t="n"/>
      <c r="D470" s="27" t="n"/>
      <c r="E470" s="27" t="n"/>
      <c r="F470" s="27" t="n"/>
      <c r="G470" s="27" t="n"/>
      <c r="H470" s="27" t="n"/>
      <c r="I470" s="27" t="n"/>
      <c r="J470" s="25" t="n"/>
      <c r="K470" s="25" t="n"/>
      <c r="L470" s="25" t="n"/>
      <c r="M470" s="25" t="n"/>
      <c r="N470" s="33">
        <f>IF(AND(L470="",M470=""),"",(N(L470)*60+N(M470))/86400)</f>
        <v/>
      </c>
      <c r="O470" s="27" t="n"/>
      <c r="P470" s="27" t="n"/>
      <c r="Q470" s="27" t="n"/>
      <c r="R470" s="27" t="n"/>
      <c r="S470" s="27" t="n"/>
      <c r="T470" s="27" t="n"/>
      <c r="U470" s="28" t="n"/>
      <c r="V470" s="28" t="n"/>
      <c r="W470" s="32">
        <f>IF(LEN(R470)=0,"",IF(ISNUMBER(V470),"Closed",IF(AND(ISNUMBER(U470),U470&lt;TODAY()),"Overdue","Open")))</f>
        <v/>
      </c>
      <c r="X470" s="27" t="n"/>
      <c r="Y470" s="27" t="n"/>
    </row>
    <row r="471">
      <c r="A471" s="28" t="n"/>
      <c r="B471" s="29" t="n"/>
      <c r="C471" s="27" t="n"/>
      <c r="D471" s="27" t="n"/>
      <c r="E471" s="27" t="n"/>
      <c r="F471" s="27" t="n"/>
      <c r="G471" s="27" t="n"/>
      <c r="H471" s="27" t="n"/>
      <c r="I471" s="27" t="n"/>
      <c r="J471" s="25" t="n"/>
      <c r="K471" s="25" t="n"/>
      <c r="L471" s="25" t="n"/>
      <c r="M471" s="25" t="n"/>
      <c r="N471" s="33">
        <f>IF(AND(L471="",M471=""),"",(N(L471)*60+N(M471))/86400)</f>
        <v/>
      </c>
      <c r="O471" s="27" t="n"/>
      <c r="P471" s="27" t="n"/>
      <c r="Q471" s="27" t="n"/>
      <c r="R471" s="27" t="n"/>
      <c r="S471" s="27" t="n"/>
      <c r="T471" s="27" t="n"/>
      <c r="U471" s="28" t="n"/>
      <c r="V471" s="28" t="n"/>
      <c r="W471" s="32">
        <f>IF(LEN(R471)=0,"",IF(ISNUMBER(V471),"Closed",IF(AND(ISNUMBER(U471),U471&lt;TODAY()),"Overdue","Open")))</f>
        <v/>
      </c>
      <c r="X471" s="27" t="n"/>
      <c r="Y471" s="27" t="n"/>
    </row>
    <row r="472">
      <c r="A472" s="28" t="n"/>
      <c r="B472" s="29" t="n"/>
      <c r="C472" s="27" t="n"/>
      <c r="D472" s="27" t="n"/>
      <c r="E472" s="27" t="n"/>
      <c r="F472" s="27" t="n"/>
      <c r="G472" s="27" t="n"/>
      <c r="H472" s="27" t="n"/>
      <c r="I472" s="27" t="n"/>
      <c r="J472" s="25" t="n"/>
      <c r="K472" s="25" t="n"/>
      <c r="L472" s="25" t="n"/>
      <c r="M472" s="25" t="n"/>
      <c r="N472" s="33">
        <f>IF(AND(L472="",M472=""),"",(N(L472)*60+N(M472))/86400)</f>
        <v/>
      </c>
      <c r="O472" s="27" t="n"/>
      <c r="P472" s="27" t="n"/>
      <c r="Q472" s="27" t="n"/>
      <c r="R472" s="27" t="n"/>
      <c r="S472" s="27" t="n"/>
      <c r="T472" s="27" t="n"/>
      <c r="U472" s="28" t="n"/>
      <c r="V472" s="28" t="n"/>
      <c r="W472" s="32">
        <f>IF(LEN(R472)=0,"",IF(ISNUMBER(V472),"Closed",IF(AND(ISNUMBER(U472),U472&lt;TODAY()),"Overdue","Open")))</f>
        <v/>
      </c>
      <c r="X472" s="27" t="n"/>
      <c r="Y472" s="27" t="n"/>
    </row>
    <row r="473">
      <c r="A473" s="28" t="n"/>
      <c r="B473" s="29" t="n"/>
      <c r="C473" s="27" t="n"/>
      <c r="D473" s="27" t="n"/>
      <c r="E473" s="27" t="n"/>
      <c r="F473" s="27" t="n"/>
      <c r="G473" s="27" t="n"/>
      <c r="H473" s="27" t="n"/>
      <c r="I473" s="27" t="n"/>
      <c r="J473" s="25" t="n"/>
      <c r="K473" s="25" t="n"/>
      <c r="L473" s="25" t="n"/>
      <c r="M473" s="25" t="n"/>
      <c r="N473" s="33">
        <f>IF(AND(L473="",M473=""),"",(N(L473)*60+N(M473))/86400)</f>
        <v/>
      </c>
      <c r="O473" s="27" t="n"/>
      <c r="P473" s="27" t="n"/>
      <c r="Q473" s="27" t="n"/>
      <c r="R473" s="27" t="n"/>
      <c r="S473" s="27" t="n"/>
      <c r="T473" s="27" t="n"/>
      <c r="U473" s="28" t="n"/>
      <c r="V473" s="28" t="n"/>
      <c r="W473" s="32">
        <f>IF(LEN(R473)=0,"",IF(ISNUMBER(V473),"Closed",IF(AND(ISNUMBER(U473),U473&lt;TODAY()),"Overdue","Open")))</f>
        <v/>
      </c>
      <c r="X473" s="27" t="n"/>
      <c r="Y473" s="27" t="n"/>
    </row>
    <row r="474">
      <c r="A474" s="28" t="n"/>
      <c r="B474" s="29" t="n"/>
      <c r="C474" s="27" t="n"/>
      <c r="D474" s="27" t="n"/>
      <c r="E474" s="27" t="n"/>
      <c r="F474" s="27" t="n"/>
      <c r="G474" s="27" t="n"/>
      <c r="H474" s="27" t="n"/>
      <c r="I474" s="27" t="n"/>
      <c r="J474" s="25" t="n"/>
      <c r="K474" s="25" t="n"/>
      <c r="L474" s="25" t="n"/>
      <c r="M474" s="25" t="n"/>
      <c r="N474" s="33">
        <f>IF(AND(L474="",M474=""),"",(N(L474)*60+N(M474))/86400)</f>
        <v/>
      </c>
      <c r="O474" s="27" t="n"/>
      <c r="P474" s="27" t="n"/>
      <c r="Q474" s="27" t="n"/>
      <c r="R474" s="27" t="n"/>
      <c r="S474" s="27" t="n"/>
      <c r="T474" s="27" t="n"/>
      <c r="U474" s="28" t="n"/>
      <c r="V474" s="28" t="n"/>
      <c r="W474" s="32">
        <f>IF(LEN(R474)=0,"",IF(ISNUMBER(V474),"Closed",IF(AND(ISNUMBER(U474),U474&lt;TODAY()),"Overdue","Open")))</f>
        <v/>
      </c>
      <c r="X474" s="27" t="n"/>
      <c r="Y474" s="27" t="n"/>
    </row>
    <row r="475">
      <c r="A475" s="28" t="n"/>
      <c r="B475" s="29" t="n"/>
      <c r="C475" s="27" t="n"/>
      <c r="D475" s="27" t="n"/>
      <c r="E475" s="27" t="n"/>
      <c r="F475" s="27" t="n"/>
      <c r="G475" s="27" t="n"/>
      <c r="H475" s="27" t="n"/>
      <c r="I475" s="27" t="n"/>
      <c r="J475" s="25" t="n"/>
      <c r="K475" s="25" t="n"/>
      <c r="L475" s="25" t="n"/>
      <c r="M475" s="25" t="n"/>
      <c r="N475" s="33">
        <f>IF(AND(L475="",M475=""),"",(N(L475)*60+N(M475))/86400)</f>
        <v/>
      </c>
      <c r="O475" s="27" t="n"/>
      <c r="P475" s="27" t="n"/>
      <c r="Q475" s="27" t="n"/>
      <c r="R475" s="27" t="n"/>
      <c r="S475" s="27" t="n"/>
      <c r="T475" s="27" t="n"/>
      <c r="U475" s="28" t="n"/>
      <c r="V475" s="28" t="n"/>
      <c r="W475" s="32">
        <f>IF(LEN(R475)=0,"",IF(ISNUMBER(V475),"Closed",IF(AND(ISNUMBER(U475),U475&lt;TODAY()),"Overdue","Open")))</f>
        <v/>
      </c>
      <c r="X475" s="27" t="n"/>
      <c r="Y475" s="27" t="n"/>
    </row>
    <row r="476">
      <c r="A476" s="28" t="n"/>
      <c r="B476" s="29" t="n"/>
      <c r="C476" s="27" t="n"/>
      <c r="D476" s="27" t="n"/>
      <c r="E476" s="27" t="n"/>
      <c r="F476" s="27" t="n"/>
      <c r="G476" s="27" t="n"/>
      <c r="H476" s="27" t="n"/>
      <c r="I476" s="27" t="n"/>
      <c r="J476" s="25" t="n"/>
      <c r="K476" s="25" t="n"/>
      <c r="L476" s="25" t="n"/>
      <c r="M476" s="25" t="n"/>
      <c r="N476" s="33">
        <f>IF(AND(L476="",M476=""),"",(N(L476)*60+N(M476))/86400)</f>
        <v/>
      </c>
      <c r="O476" s="27" t="n"/>
      <c r="P476" s="27" t="n"/>
      <c r="Q476" s="27" t="n"/>
      <c r="R476" s="27" t="n"/>
      <c r="S476" s="27" t="n"/>
      <c r="T476" s="27" t="n"/>
      <c r="U476" s="28" t="n"/>
      <c r="V476" s="28" t="n"/>
      <c r="W476" s="32">
        <f>IF(LEN(R476)=0,"",IF(ISNUMBER(V476),"Closed",IF(AND(ISNUMBER(U476),U476&lt;TODAY()),"Overdue","Open")))</f>
        <v/>
      </c>
      <c r="X476" s="27" t="n"/>
      <c r="Y476" s="27" t="n"/>
    </row>
    <row r="477">
      <c r="A477" s="28" t="n"/>
      <c r="B477" s="29" t="n"/>
      <c r="C477" s="27" t="n"/>
      <c r="D477" s="27" t="n"/>
      <c r="E477" s="27" t="n"/>
      <c r="F477" s="27" t="n"/>
      <c r="G477" s="27" t="n"/>
      <c r="H477" s="27" t="n"/>
      <c r="I477" s="27" t="n"/>
      <c r="J477" s="25" t="n"/>
      <c r="K477" s="25" t="n"/>
      <c r="L477" s="25" t="n"/>
      <c r="M477" s="25" t="n"/>
      <c r="N477" s="33">
        <f>IF(AND(L477="",M477=""),"",(N(L477)*60+N(M477))/86400)</f>
        <v/>
      </c>
      <c r="O477" s="27" t="n"/>
      <c r="P477" s="27" t="n"/>
      <c r="Q477" s="27" t="n"/>
      <c r="R477" s="27" t="n"/>
      <c r="S477" s="27" t="n"/>
      <c r="T477" s="27" t="n"/>
      <c r="U477" s="28" t="n"/>
      <c r="V477" s="28" t="n"/>
      <c r="W477" s="32">
        <f>IF(LEN(R477)=0,"",IF(ISNUMBER(V477),"Closed",IF(AND(ISNUMBER(U477),U477&lt;TODAY()),"Overdue","Open")))</f>
        <v/>
      </c>
      <c r="X477" s="27" t="n"/>
      <c r="Y477" s="27" t="n"/>
    </row>
    <row r="478">
      <c r="A478" s="28" t="n"/>
      <c r="B478" s="29" t="n"/>
      <c r="C478" s="27" t="n"/>
      <c r="D478" s="27" t="n"/>
      <c r="E478" s="27" t="n"/>
      <c r="F478" s="27" t="n"/>
      <c r="G478" s="27" t="n"/>
      <c r="H478" s="27" t="n"/>
      <c r="I478" s="27" t="n"/>
      <c r="J478" s="25" t="n"/>
      <c r="K478" s="25" t="n"/>
      <c r="L478" s="25" t="n"/>
      <c r="M478" s="25" t="n"/>
      <c r="N478" s="33">
        <f>IF(AND(L478="",M478=""),"",(N(L478)*60+N(M478))/86400)</f>
        <v/>
      </c>
      <c r="O478" s="27" t="n"/>
      <c r="P478" s="27" t="n"/>
      <c r="Q478" s="27" t="n"/>
      <c r="R478" s="27" t="n"/>
      <c r="S478" s="27" t="n"/>
      <c r="T478" s="27" t="n"/>
      <c r="U478" s="28" t="n"/>
      <c r="V478" s="28" t="n"/>
      <c r="W478" s="32">
        <f>IF(LEN(R478)=0,"",IF(ISNUMBER(V478),"Closed",IF(AND(ISNUMBER(U478),U478&lt;TODAY()),"Overdue","Open")))</f>
        <v/>
      </c>
      <c r="X478" s="27" t="n"/>
      <c r="Y478" s="27" t="n"/>
    </row>
    <row r="479">
      <c r="A479" s="28" t="n"/>
      <c r="B479" s="29" t="n"/>
      <c r="C479" s="27" t="n"/>
      <c r="D479" s="27" t="n"/>
      <c r="E479" s="27" t="n"/>
      <c r="F479" s="27" t="n"/>
      <c r="G479" s="27" t="n"/>
      <c r="H479" s="27" t="n"/>
      <c r="I479" s="27" t="n"/>
      <c r="J479" s="25" t="n"/>
      <c r="K479" s="25" t="n"/>
      <c r="L479" s="25" t="n"/>
      <c r="M479" s="25" t="n"/>
      <c r="N479" s="33">
        <f>IF(AND(L479="",M479=""),"",(N(L479)*60+N(M479))/86400)</f>
        <v/>
      </c>
      <c r="O479" s="27" t="n"/>
      <c r="P479" s="27" t="n"/>
      <c r="Q479" s="27" t="n"/>
      <c r="R479" s="27" t="n"/>
      <c r="S479" s="27" t="n"/>
      <c r="T479" s="27" t="n"/>
      <c r="U479" s="28" t="n"/>
      <c r="V479" s="28" t="n"/>
      <c r="W479" s="32">
        <f>IF(LEN(R479)=0,"",IF(ISNUMBER(V479),"Closed",IF(AND(ISNUMBER(U479),U479&lt;TODAY()),"Overdue","Open")))</f>
        <v/>
      </c>
      <c r="X479" s="27" t="n"/>
      <c r="Y479" s="27" t="n"/>
    </row>
    <row r="480">
      <c r="A480" s="28" t="n"/>
      <c r="B480" s="29" t="n"/>
      <c r="C480" s="27" t="n"/>
      <c r="D480" s="27" t="n"/>
      <c r="E480" s="27" t="n"/>
      <c r="F480" s="27" t="n"/>
      <c r="G480" s="27" t="n"/>
      <c r="H480" s="27" t="n"/>
      <c r="I480" s="27" t="n"/>
      <c r="J480" s="25" t="n"/>
      <c r="K480" s="25" t="n"/>
      <c r="L480" s="25" t="n"/>
      <c r="M480" s="25" t="n"/>
      <c r="N480" s="33">
        <f>IF(AND(L480="",M480=""),"",(N(L480)*60+N(M480))/86400)</f>
        <v/>
      </c>
      <c r="O480" s="27" t="n"/>
      <c r="P480" s="27" t="n"/>
      <c r="Q480" s="27" t="n"/>
      <c r="R480" s="27" t="n"/>
      <c r="S480" s="27" t="n"/>
      <c r="T480" s="27" t="n"/>
      <c r="U480" s="28" t="n"/>
      <c r="V480" s="28" t="n"/>
      <c r="W480" s="32">
        <f>IF(LEN(R480)=0,"",IF(ISNUMBER(V480),"Closed",IF(AND(ISNUMBER(U480),U480&lt;TODAY()),"Overdue","Open")))</f>
        <v/>
      </c>
      <c r="X480" s="27" t="n"/>
      <c r="Y480" s="27" t="n"/>
    </row>
    <row r="481">
      <c r="A481" s="28" t="n"/>
      <c r="B481" s="29" t="n"/>
      <c r="C481" s="27" t="n"/>
      <c r="D481" s="27" t="n"/>
      <c r="E481" s="27" t="n"/>
      <c r="F481" s="27" t="n"/>
      <c r="G481" s="27" t="n"/>
      <c r="H481" s="27" t="n"/>
      <c r="I481" s="27" t="n"/>
      <c r="J481" s="25" t="n"/>
      <c r="K481" s="25" t="n"/>
      <c r="L481" s="25" t="n"/>
      <c r="M481" s="25" t="n"/>
      <c r="N481" s="33">
        <f>IF(AND(L481="",M481=""),"",(N(L481)*60+N(M481))/86400)</f>
        <v/>
      </c>
      <c r="O481" s="27" t="n"/>
      <c r="P481" s="27" t="n"/>
      <c r="Q481" s="27" t="n"/>
      <c r="R481" s="27" t="n"/>
      <c r="S481" s="27" t="n"/>
      <c r="T481" s="27" t="n"/>
      <c r="U481" s="28" t="n"/>
      <c r="V481" s="28" t="n"/>
      <c r="W481" s="32">
        <f>IF(LEN(R481)=0,"",IF(ISNUMBER(V481),"Closed",IF(AND(ISNUMBER(U481),U481&lt;TODAY()),"Overdue","Open")))</f>
        <v/>
      </c>
      <c r="X481" s="27" t="n"/>
      <c r="Y481" s="27" t="n"/>
    </row>
    <row r="482">
      <c r="A482" s="28" t="n"/>
      <c r="B482" s="29" t="n"/>
      <c r="C482" s="27" t="n"/>
      <c r="D482" s="27" t="n"/>
      <c r="E482" s="27" t="n"/>
      <c r="F482" s="27" t="n"/>
      <c r="G482" s="27" t="n"/>
      <c r="H482" s="27" t="n"/>
      <c r="I482" s="27" t="n"/>
      <c r="J482" s="25" t="n"/>
      <c r="K482" s="25" t="n"/>
      <c r="L482" s="25" t="n"/>
      <c r="M482" s="25" t="n"/>
      <c r="N482" s="33">
        <f>IF(AND(L482="",M482=""),"",(N(L482)*60+N(M482))/86400)</f>
        <v/>
      </c>
      <c r="O482" s="27" t="n"/>
      <c r="P482" s="27" t="n"/>
      <c r="Q482" s="27" t="n"/>
      <c r="R482" s="27" t="n"/>
      <c r="S482" s="27" t="n"/>
      <c r="T482" s="27" t="n"/>
      <c r="U482" s="28" t="n"/>
      <c r="V482" s="28" t="n"/>
      <c r="W482" s="32">
        <f>IF(LEN(R482)=0,"",IF(ISNUMBER(V482),"Closed",IF(AND(ISNUMBER(U482),U482&lt;TODAY()),"Overdue","Open")))</f>
        <v/>
      </c>
      <c r="X482" s="27" t="n"/>
      <c r="Y482" s="27" t="n"/>
    </row>
    <row r="483">
      <c r="A483" s="28" t="n"/>
      <c r="B483" s="29" t="n"/>
      <c r="C483" s="27" t="n"/>
      <c r="D483" s="27" t="n"/>
      <c r="E483" s="27" t="n"/>
      <c r="F483" s="27" t="n"/>
      <c r="G483" s="27" t="n"/>
      <c r="H483" s="27" t="n"/>
      <c r="I483" s="27" t="n"/>
      <c r="J483" s="25" t="n"/>
      <c r="K483" s="25" t="n"/>
      <c r="L483" s="25" t="n"/>
      <c r="M483" s="25" t="n"/>
      <c r="N483" s="33">
        <f>IF(AND(L483="",M483=""),"",(N(L483)*60+N(M483))/86400)</f>
        <v/>
      </c>
      <c r="O483" s="27" t="n"/>
      <c r="P483" s="27" t="n"/>
      <c r="Q483" s="27" t="n"/>
      <c r="R483" s="27" t="n"/>
      <c r="S483" s="27" t="n"/>
      <c r="T483" s="27" t="n"/>
      <c r="U483" s="28" t="n"/>
      <c r="V483" s="28" t="n"/>
      <c r="W483" s="32">
        <f>IF(LEN(R483)=0,"",IF(ISNUMBER(V483),"Closed",IF(AND(ISNUMBER(U483),U483&lt;TODAY()),"Overdue","Open")))</f>
        <v/>
      </c>
      <c r="X483" s="27" t="n"/>
      <c r="Y483" s="27" t="n"/>
    </row>
    <row r="484">
      <c r="A484" s="28" t="n"/>
      <c r="B484" s="29" t="n"/>
      <c r="C484" s="27" t="n"/>
      <c r="D484" s="27" t="n"/>
      <c r="E484" s="27" t="n"/>
      <c r="F484" s="27" t="n"/>
      <c r="G484" s="27" t="n"/>
      <c r="H484" s="27" t="n"/>
      <c r="I484" s="27" t="n"/>
      <c r="J484" s="25" t="n"/>
      <c r="K484" s="25" t="n"/>
      <c r="L484" s="25" t="n"/>
      <c r="M484" s="25" t="n"/>
      <c r="N484" s="33">
        <f>IF(AND(L484="",M484=""),"",(N(L484)*60+N(M484))/86400)</f>
        <v/>
      </c>
      <c r="O484" s="27" t="n"/>
      <c r="P484" s="27" t="n"/>
      <c r="Q484" s="27" t="n"/>
      <c r="R484" s="27" t="n"/>
      <c r="S484" s="27" t="n"/>
      <c r="T484" s="27" t="n"/>
      <c r="U484" s="28" t="n"/>
      <c r="V484" s="28" t="n"/>
      <c r="W484" s="32">
        <f>IF(LEN(R484)=0,"",IF(ISNUMBER(V484),"Closed",IF(AND(ISNUMBER(U484),U484&lt;TODAY()),"Overdue","Open")))</f>
        <v/>
      </c>
      <c r="X484" s="27" t="n"/>
      <c r="Y484" s="27" t="n"/>
    </row>
    <row r="485">
      <c r="A485" s="28" t="n"/>
      <c r="B485" s="29" t="n"/>
      <c r="C485" s="27" t="n"/>
      <c r="D485" s="27" t="n"/>
      <c r="E485" s="27" t="n"/>
      <c r="F485" s="27" t="n"/>
      <c r="G485" s="27" t="n"/>
      <c r="H485" s="27" t="n"/>
      <c r="I485" s="27" t="n"/>
      <c r="J485" s="25" t="n"/>
      <c r="K485" s="25" t="n"/>
      <c r="L485" s="25" t="n"/>
      <c r="M485" s="25" t="n"/>
      <c r="N485" s="33">
        <f>IF(AND(L485="",M485=""),"",(N(L485)*60+N(M485))/86400)</f>
        <v/>
      </c>
      <c r="O485" s="27" t="n"/>
      <c r="P485" s="27" t="n"/>
      <c r="Q485" s="27" t="n"/>
      <c r="R485" s="27" t="n"/>
      <c r="S485" s="27" t="n"/>
      <c r="T485" s="27" t="n"/>
      <c r="U485" s="28" t="n"/>
      <c r="V485" s="28" t="n"/>
      <c r="W485" s="32">
        <f>IF(LEN(R485)=0,"",IF(ISNUMBER(V485),"Closed",IF(AND(ISNUMBER(U485),U485&lt;TODAY()),"Overdue","Open")))</f>
        <v/>
      </c>
      <c r="X485" s="27" t="n"/>
      <c r="Y485" s="27" t="n"/>
    </row>
    <row r="486">
      <c r="A486" s="28" t="n"/>
      <c r="B486" s="29" t="n"/>
      <c r="C486" s="27" t="n"/>
      <c r="D486" s="27" t="n"/>
      <c r="E486" s="27" t="n"/>
      <c r="F486" s="27" t="n"/>
      <c r="G486" s="27" t="n"/>
      <c r="H486" s="27" t="n"/>
      <c r="I486" s="27" t="n"/>
      <c r="J486" s="25" t="n"/>
      <c r="K486" s="25" t="n"/>
      <c r="L486" s="25" t="n"/>
      <c r="M486" s="25" t="n"/>
      <c r="N486" s="33">
        <f>IF(AND(L486="",M486=""),"",(N(L486)*60+N(M486))/86400)</f>
        <v/>
      </c>
      <c r="O486" s="27" t="n"/>
      <c r="P486" s="27" t="n"/>
      <c r="Q486" s="27" t="n"/>
      <c r="R486" s="27" t="n"/>
      <c r="S486" s="27" t="n"/>
      <c r="T486" s="27" t="n"/>
      <c r="U486" s="28" t="n"/>
      <c r="V486" s="28" t="n"/>
      <c r="W486" s="32">
        <f>IF(LEN(R486)=0,"",IF(ISNUMBER(V486),"Closed",IF(AND(ISNUMBER(U486),U486&lt;TODAY()),"Overdue","Open")))</f>
        <v/>
      </c>
      <c r="X486" s="27" t="n"/>
      <c r="Y486" s="27" t="n"/>
    </row>
    <row r="487">
      <c r="A487" s="28" t="n"/>
      <c r="B487" s="29" t="n"/>
      <c r="C487" s="27" t="n"/>
      <c r="D487" s="27" t="n"/>
      <c r="E487" s="27" t="n"/>
      <c r="F487" s="27" t="n"/>
      <c r="G487" s="27" t="n"/>
      <c r="H487" s="27" t="n"/>
      <c r="I487" s="27" t="n"/>
      <c r="J487" s="25" t="n"/>
      <c r="K487" s="25" t="n"/>
      <c r="L487" s="25" t="n"/>
      <c r="M487" s="25" t="n"/>
      <c r="N487" s="33">
        <f>IF(AND(L487="",M487=""),"",(N(L487)*60+N(M487))/86400)</f>
        <v/>
      </c>
      <c r="O487" s="27" t="n"/>
      <c r="P487" s="27" t="n"/>
      <c r="Q487" s="27" t="n"/>
      <c r="R487" s="27" t="n"/>
      <c r="S487" s="27" t="n"/>
      <c r="T487" s="27" t="n"/>
      <c r="U487" s="28" t="n"/>
      <c r="V487" s="28" t="n"/>
      <c r="W487" s="32">
        <f>IF(LEN(R487)=0,"",IF(ISNUMBER(V487),"Closed",IF(AND(ISNUMBER(U487),U487&lt;TODAY()),"Overdue","Open")))</f>
        <v/>
      </c>
      <c r="X487" s="27" t="n"/>
      <c r="Y487" s="27" t="n"/>
    </row>
    <row r="488">
      <c r="A488" s="28" t="n"/>
      <c r="B488" s="29" t="n"/>
      <c r="C488" s="27" t="n"/>
      <c r="D488" s="27" t="n"/>
      <c r="E488" s="27" t="n"/>
      <c r="F488" s="27" t="n"/>
      <c r="G488" s="27" t="n"/>
      <c r="H488" s="27" t="n"/>
      <c r="I488" s="27" t="n"/>
      <c r="J488" s="25" t="n"/>
      <c r="K488" s="25" t="n"/>
      <c r="L488" s="25" t="n"/>
      <c r="M488" s="25" t="n"/>
      <c r="N488" s="33">
        <f>IF(AND(L488="",M488=""),"",(N(L488)*60+N(M488))/86400)</f>
        <v/>
      </c>
      <c r="O488" s="27" t="n"/>
      <c r="P488" s="27" t="n"/>
      <c r="Q488" s="27" t="n"/>
      <c r="R488" s="27" t="n"/>
      <c r="S488" s="27" t="n"/>
      <c r="T488" s="27" t="n"/>
      <c r="U488" s="28" t="n"/>
      <c r="V488" s="28" t="n"/>
      <c r="W488" s="32">
        <f>IF(LEN(R488)=0,"",IF(ISNUMBER(V488),"Closed",IF(AND(ISNUMBER(U488),U488&lt;TODAY()),"Overdue","Open")))</f>
        <v/>
      </c>
      <c r="X488" s="27" t="n"/>
      <c r="Y488" s="27" t="n"/>
    </row>
    <row r="489">
      <c r="A489" s="28" t="n"/>
      <c r="B489" s="29" t="n"/>
      <c r="C489" s="27" t="n"/>
      <c r="D489" s="27" t="n"/>
      <c r="E489" s="27" t="n"/>
      <c r="F489" s="27" t="n"/>
      <c r="G489" s="27" t="n"/>
      <c r="H489" s="27" t="n"/>
      <c r="I489" s="27" t="n"/>
      <c r="J489" s="25" t="n"/>
      <c r="K489" s="25" t="n"/>
      <c r="L489" s="25" t="n"/>
      <c r="M489" s="25" t="n"/>
      <c r="N489" s="33">
        <f>IF(AND(L489="",M489=""),"",(N(L489)*60+N(M489))/86400)</f>
        <v/>
      </c>
      <c r="O489" s="27" t="n"/>
      <c r="P489" s="27" t="n"/>
      <c r="Q489" s="27" t="n"/>
      <c r="R489" s="27" t="n"/>
      <c r="S489" s="27" t="n"/>
      <c r="T489" s="27" t="n"/>
      <c r="U489" s="28" t="n"/>
      <c r="V489" s="28" t="n"/>
      <c r="W489" s="32">
        <f>IF(LEN(R489)=0,"",IF(ISNUMBER(V489),"Closed",IF(AND(ISNUMBER(U489),U489&lt;TODAY()),"Overdue","Open")))</f>
        <v/>
      </c>
      <c r="X489" s="27" t="n"/>
      <c r="Y489" s="27" t="n"/>
    </row>
    <row r="490">
      <c r="A490" s="28" t="n"/>
      <c r="B490" s="29" t="n"/>
      <c r="C490" s="27" t="n"/>
      <c r="D490" s="27" t="n"/>
      <c r="E490" s="27" t="n"/>
      <c r="F490" s="27" t="n"/>
      <c r="G490" s="27" t="n"/>
      <c r="H490" s="27" t="n"/>
      <c r="I490" s="27" t="n"/>
      <c r="J490" s="25" t="n"/>
      <c r="K490" s="25" t="n"/>
      <c r="L490" s="25" t="n"/>
      <c r="M490" s="25" t="n"/>
      <c r="N490" s="33">
        <f>IF(AND(L490="",M490=""),"",(N(L490)*60+N(M490))/86400)</f>
        <v/>
      </c>
      <c r="O490" s="27" t="n"/>
      <c r="P490" s="27" t="n"/>
      <c r="Q490" s="27" t="n"/>
      <c r="R490" s="27" t="n"/>
      <c r="S490" s="27" t="n"/>
      <c r="T490" s="27" t="n"/>
      <c r="U490" s="28" t="n"/>
      <c r="V490" s="28" t="n"/>
      <c r="W490" s="32">
        <f>IF(LEN(R490)=0,"",IF(ISNUMBER(V490),"Closed",IF(AND(ISNUMBER(U490),U490&lt;TODAY()),"Overdue","Open")))</f>
        <v/>
      </c>
      <c r="X490" s="27" t="n"/>
      <c r="Y490" s="27" t="n"/>
    </row>
    <row r="491">
      <c r="A491" s="28" t="n"/>
      <c r="B491" s="29" t="n"/>
      <c r="C491" s="27" t="n"/>
      <c r="D491" s="27" t="n"/>
      <c r="E491" s="27" t="n"/>
      <c r="F491" s="27" t="n"/>
      <c r="G491" s="27" t="n"/>
      <c r="H491" s="27" t="n"/>
      <c r="I491" s="27" t="n"/>
      <c r="J491" s="25" t="n"/>
      <c r="K491" s="25" t="n"/>
      <c r="L491" s="25" t="n"/>
      <c r="M491" s="25" t="n"/>
      <c r="N491" s="33">
        <f>IF(AND(L491="",M491=""),"",(N(L491)*60+N(M491))/86400)</f>
        <v/>
      </c>
      <c r="O491" s="27" t="n"/>
      <c r="P491" s="27" t="n"/>
      <c r="Q491" s="27" t="n"/>
      <c r="R491" s="27" t="n"/>
      <c r="S491" s="27" t="n"/>
      <c r="T491" s="27" t="n"/>
      <c r="U491" s="28" t="n"/>
      <c r="V491" s="28" t="n"/>
      <c r="W491" s="32">
        <f>IF(LEN(R491)=0,"",IF(ISNUMBER(V491),"Closed",IF(AND(ISNUMBER(U491),U491&lt;TODAY()),"Overdue","Open")))</f>
        <v/>
      </c>
      <c r="X491" s="27" t="n"/>
      <c r="Y491" s="27" t="n"/>
    </row>
    <row r="492">
      <c r="A492" s="28" t="n"/>
      <c r="B492" s="29" t="n"/>
      <c r="C492" s="27" t="n"/>
      <c r="D492" s="27" t="n"/>
      <c r="E492" s="27" t="n"/>
      <c r="F492" s="27" t="n"/>
      <c r="G492" s="27" t="n"/>
      <c r="H492" s="27" t="n"/>
      <c r="I492" s="27" t="n"/>
      <c r="J492" s="25" t="n"/>
      <c r="K492" s="25" t="n"/>
      <c r="L492" s="25" t="n"/>
      <c r="M492" s="25" t="n"/>
      <c r="N492" s="33">
        <f>IF(AND(L492="",M492=""),"",(N(L492)*60+N(M492))/86400)</f>
        <v/>
      </c>
      <c r="O492" s="27" t="n"/>
      <c r="P492" s="27" t="n"/>
      <c r="Q492" s="27" t="n"/>
      <c r="R492" s="27" t="n"/>
      <c r="S492" s="27" t="n"/>
      <c r="T492" s="27" t="n"/>
      <c r="U492" s="28" t="n"/>
      <c r="V492" s="28" t="n"/>
      <c r="W492" s="32">
        <f>IF(LEN(R492)=0,"",IF(ISNUMBER(V492),"Closed",IF(AND(ISNUMBER(U492),U492&lt;TODAY()),"Overdue","Open")))</f>
        <v/>
      </c>
      <c r="X492" s="27" t="n"/>
      <c r="Y492" s="27" t="n"/>
    </row>
    <row r="493">
      <c r="A493" s="28" t="n"/>
      <c r="B493" s="29" t="n"/>
      <c r="C493" s="27" t="n"/>
      <c r="D493" s="27" t="n"/>
      <c r="E493" s="27" t="n"/>
      <c r="F493" s="27" t="n"/>
      <c r="G493" s="27" t="n"/>
      <c r="H493" s="27" t="n"/>
      <c r="I493" s="27" t="n"/>
      <c r="J493" s="25" t="n"/>
      <c r="K493" s="25" t="n"/>
      <c r="L493" s="25" t="n"/>
      <c r="M493" s="25" t="n"/>
      <c r="N493" s="33">
        <f>IF(AND(L493="",M493=""),"",(N(L493)*60+N(M493))/86400)</f>
        <v/>
      </c>
      <c r="O493" s="27" t="n"/>
      <c r="P493" s="27" t="n"/>
      <c r="Q493" s="27" t="n"/>
      <c r="R493" s="27" t="n"/>
      <c r="S493" s="27" t="n"/>
      <c r="T493" s="27" t="n"/>
      <c r="U493" s="28" t="n"/>
      <c r="V493" s="28" t="n"/>
      <c r="W493" s="32">
        <f>IF(LEN(R493)=0,"",IF(ISNUMBER(V493),"Closed",IF(AND(ISNUMBER(U493),U493&lt;TODAY()),"Overdue","Open")))</f>
        <v/>
      </c>
      <c r="X493" s="27" t="n"/>
      <c r="Y493" s="27" t="n"/>
    </row>
    <row r="494">
      <c r="A494" s="28" t="n"/>
      <c r="B494" s="29" t="n"/>
      <c r="C494" s="27" t="n"/>
      <c r="D494" s="27" t="n"/>
      <c r="E494" s="27" t="n"/>
      <c r="F494" s="27" t="n"/>
      <c r="G494" s="27" t="n"/>
      <c r="H494" s="27" t="n"/>
      <c r="I494" s="27" t="n"/>
      <c r="J494" s="25" t="n"/>
      <c r="K494" s="25" t="n"/>
      <c r="L494" s="25" t="n"/>
      <c r="M494" s="25" t="n"/>
      <c r="N494" s="33">
        <f>IF(AND(L494="",M494=""),"",(N(L494)*60+N(M494))/86400)</f>
        <v/>
      </c>
      <c r="O494" s="27" t="n"/>
      <c r="P494" s="27" t="n"/>
      <c r="Q494" s="27" t="n"/>
      <c r="R494" s="27" t="n"/>
      <c r="S494" s="27" t="n"/>
      <c r="T494" s="27" t="n"/>
      <c r="U494" s="28" t="n"/>
      <c r="V494" s="28" t="n"/>
      <c r="W494" s="32">
        <f>IF(LEN(R494)=0,"",IF(ISNUMBER(V494),"Closed",IF(AND(ISNUMBER(U494),U494&lt;TODAY()),"Overdue","Open")))</f>
        <v/>
      </c>
      <c r="X494" s="27" t="n"/>
      <c r="Y494" s="27" t="n"/>
    </row>
    <row r="495">
      <c r="A495" s="28" t="n"/>
      <c r="B495" s="29" t="n"/>
      <c r="C495" s="27" t="n"/>
      <c r="D495" s="27" t="n"/>
      <c r="E495" s="27" t="n"/>
      <c r="F495" s="27" t="n"/>
      <c r="G495" s="27" t="n"/>
      <c r="H495" s="27" t="n"/>
      <c r="I495" s="27" t="n"/>
      <c r="J495" s="25" t="n"/>
      <c r="K495" s="25" t="n"/>
      <c r="L495" s="25" t="n"/>
      <c r="M495" s="25" t="n"/>
      <c r="N495" s="33">
        <f>IF(AND(L495="",M495=""),"",(N(L495)*60+N(M495))/86400)</f>
        <v/>
      </c>
      <c r="O495" s="27" t="n"/>
      <c r="P495" s="27" t="n"/>
      <c r="Q495" s="27" t="n"/>
      <c r="R495" s="27" t="n"/>
      <c r="S495" s="27" t="n"/>
      <c r="T495" s="27" t="n"/>
      <c r="U495" s="28" t="n"/>
      <c r="V495" s="28" t="n"/>
      <c r="W495" s="32">
        <f>IF(LEN(R495)=0,"",IF(ISNUMBER(V495),"Closed",IF(AND(ISNUMBER(U495),U495&lt;TODAY()),"Overdue","Open")))</f>
        <v/>
      </c>
      <c r="X495" s="27" t="n"/>
      <c r="Y495" s="27" t="n"/>
    </row>
    <row r="496">
      <c r="A496" s="28" t="n"/>
      <c r="B496" s="29" t="n"/>
      <c r="C496" s="27" t="n"/>
      <c r="D496" s="27" t="n"/>
      <c r="E496" s="27" t="n"/>
      <c r="F496" s="27" t="n"/>
      <c r="G496" s="27" t="n"/>
      <c r="H496" s="27" t="n"/>
      <c r="I496" s="27" t="n"/>
      <c r="J496" s="25" t="n"/>
      <c r="K496" s="25" t="n"/>
      <c r="L496" s="25" t="n"/>
      <c r="M496" s="25" t="n"/>
      <c r="N496" s="33">
        <f>IF(AND(L496="",M496=""),"",(N(L496)*60+N(M496))/86400)</f>
        <v/>
      </c>
      <c r="O496" s="27" t="n"/>
      <c r="P496" s="27" t="n"/>
      <c r="Q496" s="27" t="n"/>
      <c r="R496" s="27" t="n"/>
      <c r="S496" s="27" t="n"/>
      <c r="T496" s="27" t="n"/>
      <c r="U496" s="28" t="n"/>
      <c r="V496" s="28" t="n"/>
      <c r="W496" s="32">
        <f>IF(LEN(R496)=0,"",IF(ISNUMBER(V496),"Closed",IF(AND(ISNUMBER(U496),U496&lt;TODAY()),"Overdue","Open")))</f>
        <v/>
      </c>
      <c r="X496" s="27" t="n"/>
      <c r="Y496" s="27" t="n"/>
    </row>
    <row r="497">
      <c r="A497" s="28" t="n"/>
      <c r="B497" s="29" t="n"/>
      <c r="C497" s="27" t="n"/>
      <c r="D497" s="27" t="n"/>
      <c r="E497" s="27" t="n"/>
      <c r="F497" s="27" t="n"/>
      <c r="G497" s="27" t="n"/>
      <c r="H497" s="27" t="n"/>
      <c r="I497" s="27" t="n"/>
      <c r="J497" s="25" t="n"/>
      <c r="K497" s="25" t="n"/>
      <c r="L497" s="25" t="n"/>
      <c r="M497" s="25" t="n"/>
      <c r="N497" s="33">
        <f>IF(AND(L497="",M497=""),"",(N(L497)*60+N(M497))/86400)</f>
        <v/>
      </c>
      <c r="O497" s="27" t="n"/>
      <c r="P497" s="27" t="n"/>
      <c r="Q497" s="27" t="n"/>
      <c r="R497" s="27" t="n"/>
      <c r="S497" s="27" t="n"/>
      <c r="T497" s="27" t="n"/>
      <c r="U497" s="28" t="n"/>
      <c r="V497" s="28" t="n"/>
      <c r="W497" s="32">
        <f>IF(LEN(R497)=0,"",IF(ISNUMBER(V497),"Closed",IF(AND(ISNUMBER(U497),U497&lt;TODAY()),"Overdue","Open")))</f>
        <v/>
      </c>
      <c r="X497" s="27" t="n"/>
      <c r="Y497" s="27" t="n"/>
    </row>
    <row r="498">
      <c r="A498" s="28" t="n"/>
      <c r="B498" s="29" t="n"/>
      <c r="C498" s="27" t="n"/>
      <c r="D498" s="27" t="n"/>
      <c r="E498" s="27" t="n"/>
      <c r="F498" s="27" t="n"/>
      <c r="G498" s="27" t="n"/>
      <c r="H498" s="27" t="n"/>
      <c r="I498" s="27" t="n"/>
      <c r="J498" s="25" t="n"/>
      <c r="K498" s="25" t="n"/>
      <c r="L498" s="25" t="n"/>
      <c r="M498" s="25" t="n"/>
      <c r="N498" s="33">
        <f>IF(AND(L498="",M498=""),"",(N(L498)*60+N(M498))/86400)</f>
        <v/>
      </c>
      <c r="O498" s="27" t="n"/>
      <c r="P498" s="27" t="n"/>
      <c r="Q498" s="27" t="n"/>
      <c r="R498" s="27" t="n"/>
      <c r="S498" s="27" t="n"/>
      <c r="T498" s="27" t="n"/>
      <c r="U498" s="28" t="n"/>
      <c r="V498" s="28" t="n"/>
      <c r="W498" s="32">
        <f>IF(LEN(R498)=0,"",IF(ISNUMBER(V498),"Closed",IF(AND(ISNUMBER(U498),U498&lt;TODAY()),"Overdue","Open")))</f>
        <v/>
      </c>
      <c r="X498" s="27" t="n"/>
      <c r="Y498" s="27" t="n"/>
    </row>
    <row r="499">
      <c r="A499" s="28" t="n"/>
      <c r="B499" s="29" t="n"/>
      <c r="C499" s="27" t="n"/>
      <c r="D499" s="27" t="n"/>
      <c r="E499" s="27" t="n"/>
      <c r="F499" s="27" t="n"/>
      <c r="G499" s="27" t="n"/>
      <c r="H499" s="27" t="n"/>
      <c r="I499" s="27" t="n"/>
      <c r="J499" s="25" t="n"/>
      <c r="K499" s="25" t="n"/>
      <c r="L499" s="25" t="n"/>
      <c r="M499" s="25" t="n"/>
      <c r="N499" s="33">
        <f>IF(AND(L499="",M499=""),"",(N(L499)*60+N(M499))/86400)</f>
        <v/>
      </c>
      <c r="O499" s="27" t="n"/>
      <c r="P499" s="27" t="n"/>
      <c r="Q499" s="27" t="n"/>
      <c r="R499" s="27" t="n"/>
      <c r="S499" s="27" t="n"/>
      <c r="T499" s="27" t="n"/>
      <c r="U499" s="28" t="n"/>
      <c r="V499" s="28" t="n"/>
      <c r="W499" s="32">
        <f>IF(LEN(R499)=0,"",IF(ISNUMBER(V499),"Closed",IF(AND(ISNUMBER(U499),U499&lt;TODAY()),"Overdue","Open")))</f>
        <v/>
      </c>
      <c r="X499" s="27" t="n"/>
      <c r="Y499" s="27" t="n"/>
    </row>
    <row r="500">
      <c r="A500" s="28" t="n"/>
      <c r="B500" s="29" t="n"/>
      <c r="C500" s="27" t="n"/>
      <c r="D500" s="27" t="n"/>
      <c r="E500" s="27" t="n"/>
      <c r="F500" s="27" t="n"/>
      <c r="G500" s="27" t="n"/>
      <c r="H500" s="27" t="n"/>
      <c r="I500" s="27" t="n"/>
      <c r="J500" s="25" t="n"/>
      <c r="K500" s="25" t="n"/>
      <c r="L500" s="25" t="n"/>
      <c r="M500" s="25" t="n"/>
      <c r="N500" s="33">
        <f>IF(AND(L500="",M500=""),"",(N(L500)*60+N(M500))/86400)</f>
        <v/>
      </c>
      <c r="O500" s="27" t="n"/>
      <c r="P500" s="27" t="n"/>
      <c r="Q500" s="27" t="n"/>
      <c r="R500" s="27" t="n"/>
      <c r="S500" s="27" t="n"/>
      <c r="T500" s="27" t="n"/>
      <c r="U500" s="28" t="n"/>
      <c r="V500" s="28" t="n"/>
      <c r="W500" s="32">
        <f>IF(LEN(R500)=0,"",IF(ISNUMBER(V500),"Closed",IF(AND(ISNUMBER(U500),U500&lt;TODAY()),"Overdue","Open")))</f>
        <v/>
      </c>
      <c r="X500" s="27" t="n"/>
      <c r="Y500" s="27" t="n"/>
    </row>
    <row r="501">
      <c r="A501" s="28" t="n"/>
      <c r="B501" s="29" t="n"/>
      <c r="C501" s="27" t="n"/>
      <c r="D501" s="27" t="n"/>
      <c r="E501" s="27" t="n"/>
      <c r="F501" s="27" t="n"/>
      <c r="G501" s="27" t="n"/>
      <c r="H501" s="27" t="n"/>
      <c r="I501" s="27" t="n"/>
      <c r="J501" s="25" t="n"/>
      <c r="K501" s="25" t="n"/>
      <c r="L501" s="25" t="n"/>
      <c r="M501" s="25" t="n"/>
      <c r="N501" s="33">
        <f>IF(AND(L501="",M501=""),"",(N(L501)*60+N(M501))/86400)</f>
        <v/>
      </c>
      <c r="O501" s="27" t="n"/>
      <c r="P501" s="27" t="n"/>
      <c r="Q501" s="27" t="n"/>
      <c r="R501" s="27" t="n"/>
      <c r="S501" s="27" t="n"/>
      <c r="T501" s="27" t="n"/>
      <c r="U501" s="28" t="n"/>
      <c r="V501" s="28" t="n"/>
      <c r="W501" s="32">
        <f>IF(LEN(R501)=0,"",IF(ISNUMBER(V501),"Closed",IF(AND(ISNUMBER(U501),U501&lt;TODAY()),"Overdue","Open")))</f>
        <v/>
      </c>
      <c r="X501" s="27" t="n"/>
      <c r="Y501" s="27" t="n"/>
    </row>
    <row r="502">
      <c r="A502" s="28" t="n"/>
      <c r="B502" s="29" t="n"/>
      <c r="C502" s="27" t="n"/>
      <c r="D502" s="27" t="n"/>
      <c r="E502" s="27" t="n"/>
      <c r="F502" s="27" t="n"/>
      <c r="G502" s="27" t="n"/>
      <c r="H502" s="27" t="n"/>
      <c r="I502" s="27" t="n"/>
      <c r="J502" s="25" t="n"/>
      <c r="K502" s="25" t="n"/>
      <c r="L502" s="25" t="n"/>
      <c r="M502" s="25" t="n"/>
      <c r="N502" s="33">
        <f>IF(AND(L502="",M502=""),"",(N(L502)*60+N(M502))/86400)</f>
        <v/>
      </c>
      <c r="O502" s="27" t="n"/>
      <c r="P502" s="27" t="n"/>
      <c r="Q502" s="27" t="n"/>
      <c r="R502" s="27" t="n"/>
      <c r="S502" s="27" t="n"/>
      <c r="T502" s="27" t="n"/>
      <c r="U502" s="28" t="n"/>
      <c r="V502" s="28" t="n"/>
      <c r="W502" s="32">
        <f>IF(LEN(R502)=0,"",IF(ISNUMBER(V502),"Closed",IF(AND(ISNUMBER(U502),U502&lt;TODAY()),"Overdue","Open")))</f>
        <v/>
      </c>
      <c r="X502" s="27" t="n"/>
      <c r="Y502" s="27" t="n"/>
    </row>
    <row r="503">
      <c r="A503" s="28" t="n"/>
      <c r="B503" s="29" t="n"/>
      <c r="C503" s="27" t="n"/>
      <c r="D503" s="27" t="n"/>
      <c r="E503" s="27" t="n"/>
      <c r="F503" s="27" t="n"/>
      <c r="G503" s="27" t="n"/>
      <c r="H503" s="27" t="n"/>
      <c r="I503" s="27" t="n"/>
      <c r="J503" s="25" t="n"/>
      <c r="K503" s="25" t="n"/>
      <c r="L503" s="25" t="n"/>
      <c r="M503" s="25" t="n"/>
      <c r="N503" s="33">
        <f>IF(AND(L503="",M503=""),"",(N(L503)*60+N(M503))/86400)</f>
        <v/>
      </c>
      <c r="O503" s="27" t="n"/>
      <c r="P503" s="27" t="n"/>
      <c r="Q503" s="27" t="n"/>
      <c r="R503" s="27" t="n"/>
      <c r="S503" s="27" t="n"/>
      <c r="T503" s="27" t="n"/>
      <c r="U503" s="28" t="n"/>
      <c r="V503" s="28" t="n"/>
      <c r="W503" s="32">
        <f>IF(LEN(R503)=0,"",IF(ISNUMBER(V503),"Closed",IF(AND(ISNUMBER(U503),U503&lt;TODAY()),"Overdue","Open")))</f>
        <v/>
      </c>
      <c r="X503" s="27" t="n"/>
      <c r="Y503" s="27" t="n"/>
    </row>
  </sheetData>
  <conditionalFormatting sqref="W4:W503">
    <cfRule type="expression" priority="1" dxfId="1" stopIfTrue="1">
      <formula>$W4="Overdue"</formula>
    </cfRule>
    <cfRule type="expression" priority="2" dxfId="0" stopIfTrue="1">
      <formula>$W4="Open"</formula>
    </cfRule>
    <cfRule type="expression" priority="3" dxfId="3" stopIfTrue="1">
      <formula>$W4="Closed"</formula>
    </cfRule>
  </conditionalFormatting>
  <conditionalFormatting sqref="A4:A503 B4:B503 C4:C503 D4:D503 E4:E503 F4:F503 G4:G503 H4:H503 I4:I503 J4:J503 K4:K503 L4:L503 M4:M503 O4:O503 P4:P503 Q4:Q503 R4:R503 S4:S503 T4:T503 U4:U503 V4:V503 X4:X503 Y4:Y503">
    <cfRule type="expression" priority="4" dxfId="4">
      <formula>LEFT($E4,9)="Example –"</formula>
    </cfRule>
    <cfRule type="expression" priority="5" dxfId="7">
      <formula>MOD(ROW(),2)=0</formula>
    </cfRule>
  </conditionalFormatting>
  <dataValidations count="11">
    <dataValidation sqref="A4:A503" showDropDown="0" showInputMessage="0" showErrorMessage="1" allowBlank="1" errorTitle="Date expected" error="Type a real date, e.g. Jun 14, 2027 (or 2027-06-14). Text that only looks like a date will not calculate." type="date" errorStyle="warning" operator="greaterThan">
      <formula1>32874</formula1>
    </dataValidation>
    <dataValidation sqref="B4:B503" showDropDown="0" showInputMessage="0" showErrorMessage="1" allowBlank="1" errorTitle="Time expected" error="Type a time, e.g. 2:30 AM or 14:30." type="time" errorStyle="warning" operator="between">
      <formula1>0</formula1>
      <formula2>0.99999</formula2>
    </dataValidation>
    <dataValidation sqref="C4:C503" showDropDown="0" showInputMessage="0" showErrorMessage="1" allowBlank="1" errorTitle="Shift" error="That is not on the list. Keep it anyway, or add it to the Lists sheet." type="list" errorStyle="warning">
      <formula1>=Lists!$A$2:$A$4</formula1>
    </dataValidation>
    <dataValidation sqref="D4:D503" showDropDown="0" showInputMessage="0" showErrorMessage="1" allowBlank="1" errorTitle="Residents asleep?" error="Pick one of: Yes, No." type="list" errorStyle="stop">
      <formula1>"Yes,No"</formula1>
    </dataValidation>
    <dataValidation sqref="J4:J503" showDropDown="0" showInputMessage="0" showErrorMessage="1" allowBlank="1" errorTitle="Number expected" error="Type a number." type="decimal" errorStyle="warning" operator="greaterThanOrEqual">
      <formula1>0</formula1>
    </dataValidation>
    <dataValidation sqref="K4:K503" showDropDown="0" showInputMessage="0" showErrorMessage="1" allowBlank="1" errorTitle="Number expected" error="Type a number." type="decimal" errorStyle="warning" operator="greaterThanOrEqual">
      <formula1>0</formula1>
    </dataValidation>
    <dataValidation sqref="L4:L503" showDropDown="0" showInputMessage="0" showErrorMessage="1" allowBlank="1" errorTitle="Number expected" error="Type a number." type="decimal" errorStyle="warning" operator="greaterThanOrEqual">
      <formula1>0</formula1>
    </dataValidation>
    <dataValidation sqref="M4:M503" showDropDown="0" showInputMessage="0" showErrorMessage="1" allowBlank="1" errorTitle="Number expected" error="Type a number." type="decimal" errorStyle="warning" operator="greaterThanOrEqual">
      <formula1>0</formula1>
    </dataValidation>
    <dataValidation sqref="Q4:Q503" showDropDown="0" showInputMessage="0" showErrorMessage="1" allowBlank="1" errorTitle="Monitoring company told before &amp; after?" error="Pick one of: Yes, No, Not monitored." type="list" errorStyle="stop">
      <formula1>"Yes,No,Not monitored"</formula1>
    </dataValidation>
    <dataValidation sqref="U4:U503" showDropDown="0" showInputMessage="0" showErrorMessage="1" allowBlank="1" errorTitle="Date expected" error="Type a real date, e.g. Jun 14, 2027 (or 2027-06-14). Text that only looks like a date will not calculate." type="date" errorStyle="warning" operator="greaterThan">
      <formula1>32874</formula1>
    </dataValidation>
    <dataValidation sqref="V4:V503" showDropDown="0" showInputMessage="0" showErrorMessage="1" allowBlank="1" errorTitle="Date expected" error="Type a real date, e.g. Jun 14, 2027 (or 2027-06-14). Text that only looks like a date will not calculate." type="date" errorStyle="warning" operator="greaterThan">
      <formula1>32874</formula1>
    </dataValidation>
  </dataValidations>
  <printOptions horizontalCentered="0"/>
  <pageMargins left="0.4" right="0.4" top="0.5" bottom="0.6" header="0.5" footer="0.5"/>
  <pageSetup orientation="landscape" paperSize="1" fitToHeight="0" fitToWidth="1"/>
  <headerFooter>
    <oddHeader/>
    <oddFooter>&amp;C&amp;"Arial"&amp;8 expiryedge.com · 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7CD9AE"/>
    <outlinePr summaryBelow="1" summaryRight="1"/>
    <pageSetUpPr fitToPage="1"/>
  </sheetPr>
  <dimension ref="A1:R503"/>
  <sheetViews>
    <sheetView showGridLines="0" tabSelected="0" zoomScale="100" workbookViewId="0">
      <pane xSplit="1" ySplit="3" topLeftCell="B4" activePane="bottomRight" state="frozen"/>
      <selection pane="topRight"/>
      <selection pane="bottomLeft"/>
      <selection pane="bottomRight" activeCell="A1" sqref="A1"/>
    </sheetView>
  </sheetViews>
  <sheetFormatPr baseColWidth="8" defaultRowHeight="15"/>
  <cols>
    <col width="22" customWidth="1" min="1" max="1"/>
    <col width="22" customWidth="1" min="2" max="2"/>
    <col width="40" customWidth="1" min="3" max="3"/>
    <col width="7" customWidth="1" min="4" max="4"/>
    <col width="9" customWidth="1" min="5" max="5"/>
    <col width="15" customWidth="1" min="6" max="6"/>
    <col width="13" customWidth="1" min="7" max="7"/>
    <col width="13" customWidth="1" min="8" max="8"/>
    <col width="11" customWidth="1" min="9" max="9"/>
    <col width="13" customWidth="1" min="10" max="10"/>
    <col width="10" customWidth="1" min="11" max="11"/>
    <col width="14" customWidth="1" min="12" max="12"/>
    <col width="34" customWidth="1" min="13" max="13"/>
    <col width="16" customWidth="1" min="14" max="14"/>
    <col width="16" customWidth="1" min="15" max="15"/>
    <col width="26" customWidth="1" min="16" max="16"/>
    <col width="24" customWidth="1" min="17" max="17"/>
    <col width="36" customWidth="1" min="18" max="18"/>
  </cols>
  <sheetData>
    <row r="1" ht="24" customHeight="1">
      <c r="A1" s="18" t="inlineStr">
        <is>
          <t>Recurring fire-safety inspections (one row per check per building)</t>
        </is>
      </c>
    </row>
    <row r="2" ht="16" customHeight="1">
      <c r="A2" s="3" t="inlineStr">
        <is>
          <t>Type in the white columns. Shaded columns are calculated, so leave them alone. Rows starting "Example –" are samples: delete them (or type over them) when you add your own.</t>
        </is>
      </c>
    </row>
    <row r="3" ht="32" customHeight="1">
      <c r="A3" s="23" t="inlineStr">
        <is>
          <t>Building</t>
        </is>
      </c>
      <c r="B3" s="23" t="inlineStr">
        <is>
          <t>System</t>
        </is>
      </c>
      <c r="C3" s="23" t="inlineStr">
        <is>
          <t>Check / service</t>
        </is>
      </c>
      <c r="D3" s="23" t="inlineStr">
        <is>
          <t>Every</t>
        </is>
      </c>
      <c r="E3" s="23" t="inlineStr">
        <is>
          <t>Unit</t>
        </is>
      </c>
      <c r="F3" s="23" t="inlineStr">
        <is>
          <t>Done by</t>
        </is>
      </c>
      <c r="G3" s="23" t="inlineStr">
        <is>
          <t>Last done</t>
        </is>
      </c>
      <c r="H3" s="24" t="inlineStr">
        <is>
          <t>Next due</t>
        </is>
      </c>
      <c r="I3" s="23" t="inlineStr">
        <is>
          <t>Lead time (days)</t>
        </is>
      </c>
      <c r="J3" s="24" t="inlineStr">
        <is>
          <t>Book-by date</t>
        </is>
      </c>
      <c r="K3" s="24" t="inlineStr">
        <is>
          <t>Days left</t>
        </is>
      </c>
      <c r="L3" s="24" t="inlineStr">
        <is>
          <t>Status</t>
        </is>
      </c>
      <c r="M3" s="23" t="inlineStr">
        <is>
          <t>Standard / rule (source)</t>
        </is>
      </c>
      <c r="N3" s="23" t="inlineStr">
        <is>
          <t>Owner</t>
        </is>
      </c>
      <c r="O3" s="23" t="inlineStr">
        <is>
          <t>Backup owner</t>
        </is>
      </c>
      <c r="P3" s="23" t="inlineStr">
        <is>
          <t>Owner email</t>
        </is>
      </c>
      <c r="Q3" s="23" t="inlineStr">
        <is>
          <t>Proof link</t>
        </is>
      </c>
      <c r="R3" s="23" t="inlineStr">
        <is>
          <t>Notes</t>
        </is>
      </c>
    </row>
    <row r="4">
      <c r="A4" s="27" t="inlineStr">
        <is>
          <t>Example – Main building</t>
        </is>
      </c>
      <c r="B4" s="27" t="inlineStr">
        <is>
          <t>Fire extinguishers</t>
        </is>
      </c>
      <c r="C4" s="27" t="inlineStr">
        <is>
          <t>Visual inspection of each portable extinguisher</t>
        </is>
      </c>
      <c r="D4" s="34" t="n">
        <v>1</v>
      </c>
      <c r="E4" s="27" t="inlineStr">
        <is>
          <t>Months</t>
        </is>
      </c>
      <c r="F4" s="27" t="inlineStr">
        <is>
          <t>Staff</t>
        </is>
      </c>
      <c r="G4" s="28" t="n">
        <v>46285</v>
      </c>
      <c r="H4" s="26">
        <f>IF(AND(ISNUMBER(G4),ISNUMBER(D4)),IF(E4="Weeks",G4+7*D4,EDATE(G4,IF(E4="Years",12,1)*D4)),"")</f>
        <v/>
      </c>
      <c r="I4" s="34" t="n">
        <v>7</v>
      </c>
      <c r="J4" s="26">
        <f>IF(ISNUMBER(H4),H4-IF(ISNUMBER(I4),I4,30),"")</f>
        <v/>
      </c>
      <c r="K4" s="35">
        <f>IF(H4="","",IF(ISNUMBER(H4),H4-TODAY(),"Check date"))</f>
        <v/>
      </c>
      <c r="L4" s="32">
        <f>IF(K4="","",IF(ISNUMBER(K4),IF(K4&lt;0,"Overdue",IF(K4&lt;=30,"Due ≤30 days",IF(K4&lt;=90,"Due ≤90 days","OK"))),"Check date"))</f>
        <v/>
      </c>
      <c r="M4" s="27" t="inlineStr">
        <is>
          <t>NFPA 10 (2010) 7.2.1, via MN Dept. of Health summary</t>
        </is>
      </c>
      <c r="N4" s="27" t="n"/>
      <c r="O4" s="27" t="n"/>
      <c r="P4" s="27" t="n"/>
      <c r="Q4" s="27" t="n"/>
      <c r="R4" s="27" t="n"/>
    </row>
    <row r="5">
      <c r="A5" s="27" t="inlineStr">
        <is>
          <t>Example – Main building</t>
        </is>
      </c>
      <c r="B5" s="27" t="inlineStr">
        <is>
          <t>Fire extinguishers</t>
        </is>
      </c>
      <c r="C5" s="27" t="inlineStr">
        <is>
          <t>Annual maintenance, dated tag on each</t>
        </is>
      </c>
      <c r="D5" s="34" t="n">
        <v>1</v>
      </c>
      <c r="E5" s="27" t="inlineStr">
        <is>
          <t>Years</t>
        </is>
      </c>
      <c r="F5" s="27" t="inlineStr">
        <is>
          <t>Service company</t>
        </is>
      </c>
      <c r="G5" s="28" t="n">
        <v>45966</v>
      </c>
      <c r="H5" s="26">
        <f>IF(AND(ISNUMBER(G5),ISNUMBER(D5)),IF(E5="Weeks",G5+7*D5,EDATE(G5,IF(E5="Years",12,1)*D5)),"")</f>
        <v/>
      </c>
      <c r="I5" s="34" t="n">
        <v>60</v>
      </c>
      <c r="J5" s="26">
        <f>IF(ISNUMBER(H5),H5-IF(ISNUMBER(I5),I5,30),"")</f>
        <v/>
      </c>
      <c r="K5" s="35">
        <f>IF(H5="","",IF(ISNUMBER(H5),H5-TODAY(),"Check date"))</f>
        <v/>
      </c>
      <c r="L5" s="32">
        <f>IF(K5="","",IF(ISNUMBER(K5),IF(K5&lt;0,"Overdue",IF(K5&lt;=30,"Due ≤30 days",IF(K5&lt;=90,"Due ≤90 days","OK"))),"Check date"))</f>
        <v/>
      </c>
      <c r="M5" s="27" t="inlineStr">
        <is>
          <t>NFPA 10 (2010), via MN Dept. of Health summary; Wis. DHS 83.47(4)(a)</t>
        </is>
      </c>
      <c r="N5" s="27" t="n"/>
      <c r="O5" s="27" t="n"/>
      <c r="P5" s="27" t="n"/>
      <c r="Q5" s="27" t="n"/>
      <c r="R5" s="27" t="n"/>
    </row>
    <row r="6">
      <c r="A6" s="27" t="inlineStr">
        <is>
          <t>Example – Main building</t>
        </is>
      </c>
      <c r="B6" s="27" t="inlineStr">
        <is>
          <t>Fire extinguishers</t>
        </is>
      </c>
      <c r="C6" s="27" t="inlineStr">
        <is>
          <t>Internal examination (stored-pressure types needing a 12-year hydrostatic test)</t>
        </is>
      </c>
      <c r="D6" s="34" t="n">
        <v>6</v>
      </c>
      <c r="E6" s="27" t="inlineStr">
        <is>
          <t>Years</t>
        </is>
      </c>
      <c r="F6" s="27" t="inlineStr">
        <is>
          <t>Service company</t>
        </is>
      </c>
      <c r="G6" s="28" t="n">
        <v>44256</v>
      </c>
      <c r="H6" s="26">
        <f>IF(AND(ISNUMBER(G6),ISNUMBER(D6)),IF(E6="Weeks",G6+7*D6,EDATE(G6,IF(E6="Years",12,1)*D6)),"")</f>
        <v/>
      </c>
      <c r="I6" s="34" t="n">
        <v>90</v>
      </c>
      <c r="J6" s="26">
        <f>IF(ISNUMBER(H6),H6-IF(ISNUMBER(I6),I6,30),"")</f>
        <v/>
      </c>
      <c r="K6" s="35">
        <f>IF(H6="","",IF(ISNUMBER(H6),H6-TODAY(),"Check date"))</f>
        <v/>
      </c>
      <c r="L6" s="32">
        <f>IF(K6="","",IF(ISNUMBER(K6),IF(K6&lt;0,"Overdue",IF(K6&lt;=30,"Due ≤30 days",IF(K6&lt;=90,"Due ≤90 days","OK"))),"Check date"))</f>
        <v/>
      </c>
      <c r="M6" s="27" t="inlineStr">
        <is>
          <t>NFPA 10 (2010), via MN Dept. of Health summary</t>
        </is>
      </c>
      <c r="N6" s="27" t="n"/>
      <c r="O6" s="27" t="n"/>
      <c r="P6" s="27" t="n"/>
      <c r="Q6" s="27" t="n"/>
      <c r="R6" s="27" t="n"/>
    </row>
    <row r="7">
      <c r="A7" s="27" t="inlineStr">
        <is>
          <t>Example – Main building</t>
        </is>
      </c>
      <c r="B7" s="27" t="inlineStr">
        <is>
          <t>Fire alarm system</t>
        </is>
      </c>
      <c r="C7" s="27" t="inlineStr">
        <is>
          <t>Visual inspection of components</t>
        </is>
      </c>
      <c r="D7" s="34" t="n">
        <v>6</v>
      </c>
      <c r="E7" s="27" t="inlineStr">
        <is>
          <t>Months</t>
        </is>
      </c>
      <c r="F7" s="27" t="inlineStr">
        <is>
          <t>Service company</t>
        </is>
      </c>
      <c r="G7" s="28" t="n">
        <v>46152</v>
      </c>
      <c r="H7" s="26">
        <f>IF(AND(ISNUMBER(G7),ISNUMBER(D7)),IF(E7="Weeks",G7+7*D7,EDATE(G7,IF(E7="Years",12,1)*D7)),"")</f>
        <v/>
      </c>
      <c r="I7" s="34" t="n">
        <v>30</v>
      </c>
      <c r="J7" s="26">
        <f>IF(ISNUMBER(H7),H7-IF(ISNUMBER(I7),I7,30),"")</f>
        <v/>
      </c>
      <c r="K7" s="35">
        <f>IF(H7="","",IF(ISNUMBER(H7),H7-TODAY(),"Check date"))</f>
        <v/>
      </c>
      <c r="L7" s="32">
        <f>IF(K7="","",IF(ISNUMBER(K7),IF(K7&lt;0,"Overdue",IF(K7&lt;=30,"Due ≤30 days",IF(K7&lt;=90,"Due ≤90 days","OK"))),"Check date"))</f>
        <v/>
      </c>
      <c r="M7" s="27" t="inlineStr">
        <is>
          <t>NFPA 72 (2010) Table 14.3.1, via MN Dept. of Health summary</t>
        </is>
      </c>
      <c r="N7" s="27" t="n"/>
      <c r="O7" s="27" t="n"/>
      <c r="P7" s="27" t="n"/>
      <c r="Q7" s="27" t="n"/>
      <c r="R7" s="27" t="n"/>
    </row>
    <row r="8">
      <c r="A8" s="27" t="inlineStr">
        <is>
          <t>Example – Main building</t>
        </is>
      </c>
      <c r="B8" s="27" t="inlineStr">
        <is>
          <t>Fire alarm system</t>
        </is>
      </c>
      <c r="C8" s="27" t="inlineStr">
        <is>
          <t>Full inspection, test and maintenance by approved servicing company</t>
        </is>
      </c>
      <c r="D8" s="34" t="n">
        <v>1</v>
      </c>
      <c r="E8" s="27" t="inlineStr">
        <is>
          <t>Years</t>
        </is>
      </c>
      <c r="F8" s="27" t="inlineStr">
        <is>
          <t>Service company</t>
        </is>
      </c>
      <c r="G8" s="28" t="n">
        <v>46006</v>
      </c>
      <c r="H8" s="26">
        <f>IF(AND(ISNUMBER(G8),ISNUMBER(D8)),IF(E8="Weeks",G8+7*D8,EDATE(G8,IF(E8="Years",12,1)*D8)),"")</f>
        <v/>
      </c>
      <c r="I8" s="34" t="n">
        <v>60</v>
      </c>
      <c r="J8" s="26">
        <f>IF(ISNUMBER(H8),H8-IF(ISNUMBER(I8),I8,30),"")</f>
        <v/>
      </c>
      <c r="K8" s="35">
        <f>IF(H8="","",IF(ISNUMBER(H8),H8-TODAY(),"Check date"))</f>
        <v/>
      </c>
      <c r="L8" s="32">
        <f>IF(K8="","",IF(ISNUMBER(K8),IF(K8&lt;0,"Overdue",IF(K8&lt;=30,"Due ≤30 days",IF(K8&lt;=90,"Due ≤90 days","OK"))),"Check date"))</f>
        <v/>
      </c>
      <c r="M8" s="27" t="inlineStr">
        <is>
          <t>NFPA 72 (2010), via MN Dept. of Health summary</t>
        </is>
      </c>
      <c r="N8" s="27" t="n"/>
      <c r="O8" s="27" t="n"/>
      <c r="P8" s="27" t="n"/>
      <c r="Q8" s="27" t="n"/>
      <c r="R8" s="27" t="n"/>
    </row>
    <row r="9">
      <c r="A9" s="27" t="inlineStr">
        <is>
          <t>Example – Main building</t>
        </is>
      </c>
      <c r="B9" s="27" t="inlineStr">
        <is>
          <t>Sprinkler system</t>
        </is>
      </c>
      <c r="C9" s="27" t="inlineStr">
        <is>
          <t>Control valves visual inspection</t>
        </is>
      </c>
      <c r="D9" s="34" t="n">
        <v>1</v>
      </c>
      <c r="E9" s="27" t="inlineStr">
        <is>
          <t>Months</t>
        </is>
      </c>
      <c r="F9" s="27" t="inlineStr">
        <is>
          <t>Staff</t>
        </is>
      </c>
      <c r="G9" s="28" t="n">
        <v>46267</v>
      </c>
      <c r="H9" s="26">
        <f>IF(AND(ISNUMBER(G9),ISNUMBER(D9)),IF(E9="Weeks",G9+7*D9,EDATE(G9,IF(E9="Years",12,1)*D9)),"")</f>
        <v/>
      </c>
      <c r="I9" s="34" t="n">
        <v>7</v>
      </c>
      <c r="J9" s="26">
        <f>IF(ISNUMBER(H9),H9-IF(ISNUMBER(I9),I9,30),"")</f>
        <v/>
      </c>
      <c r="K9" s="35">
        <f>IF(H9="","",IF(ISNUMBER(H9),H9-TODAY(),"Check date"))</f>
        <v/>
      </c>
      <c r="L9" s="32">
        <f>IF(K9="","",IF(ISNUMBER(K9),IF(K9&lt;0,"Overdue",IF(K9&lt;=30,"Due ≤30 days",IF(K9&lt;=90,"Due ≤90 days","OK"))),"Check date"))</f>
        <v/>
      </c>
      <c r="M9" s="27" t="inlineStr">
        <is>
          <t>NFPA 25 (2011), via MN Dept. of Health summary</t>
        </is>
      </c>
      <c r="N9" s="27" t="n"/>
      <c r="O9" s="27" t="n"/>
      <c r="P9" s="27" t="n"/>
      <c r="Q9" s="27" t="n"/>
      <c r="R9" s="27" t="n"/>
    </row>
    <row r="10">
      <c r="A10" s="27" t="inlineStr">
        <is>
          <t>Example – Main building</t>
        </is>
      </c>
      <c r="B10" s="27" t="inlineStr">
        <is>
          <t>Sprinkler system</t>
        </is>
      </c>
      <c r="C10" s="27" t="inlineStr">
        <is>
          <t>Wet-pipe system gauges visual inspection</t>
        </is>
      </c>
      <c r="D10" s="34" t="n">
        <v>1</v>
      </c>
      <c r="E10" s="27" t="inlineStr">
        <is>
          <t>Months</t>
        </is>
      </c>
      <c r="F10" s="27" t="inlineStr">
        <is>
          <t>Staff</t>
        </is>
      </c>
      <c r="G10" s="28" t="n">
        <v>46297</v>
      </c>
      <c r="H10" s="26">
        <f>IF(AND(ISNUMBER(G10),ISNUMBER(D10)),IF(E10="Weeks",G10+7*D10,EDATE(G10,IF(E10="Years",12,1)*D10)),"")</f>
        <v/>
      </c>
      <c r="I10" s="34" t="n">
        <v>7</v>
      </c>
      <c r="J10" s="26">
        <f>IF(ISNUMBER(H10),H10-IF(ISNUMBER(I10),I10,30),"")</f>
        <v/>
      </c>
      <c r="K10" s="35">
        <f>IF(H10="","",IF(ISNUMBER(H10),H10-TODAY(),"Check date"))</f>
        <v/>
      </c>
      <c r="L10" s="32">
        <f>IF(K10="","",IF(ISNUMBER(K10),IF(K10&lt;0,"Overdue",IF(K10&lt;=30,"Due ≤30 days",IF(K10&lt;=90,"Due ≤90 days","OK"))),"Check date"))</f>
        <v/>
      </c>
      <c r="M10" s="27" t="inlineStr">
        <is>
          <t>NFPA 25 (2011), via MN Dept. of Health summary</t>
        </is>
      </c>
      <c r="N10" s="27" t="n"/>
      <c r="O10" s="27" t="n"/>
      <c r="P10" s="27" t="n"/>
      <c r="Q10" s="27" t="n"/>
      <c r="R10" s="27" t="n"/>
    </row>
    <row r="11">
      <c r="A11" s="27" t="inlineStr">
        <is>
          <t>Example – Main building</t>
        </is>
      </c>
      <c r="B11" s="27" t="inlineStr">
        <is>
          <t>Sprinkler system</t>
        </is>
      </c>
      <c r="C11" s="27" t="inlineStr">
        <is>
          <t>Annual inspection, testing and maintenance</t>
        </is>
      </c>
      <c r="D11" s="34" t="n">
        <v>1</v>
      </c>
      <c r="E11" s="27" t="inlineStr">
        <is>
          <t>Years</t>
        </is>
      </c>
      <c r="F11" s="27" t="inlineStr">
        <is>
          <t>Service company</t>
        </is>
      </c>
      <c r="G11" s="28" t="n">
        <v>46099</v>
      </c>
      <c r="H11" s="26">
        <f>IF(AND(ISNUMBER(G11),ISNUMBER(D11)),IF(E11="Weeks",G11+7*D11,EDATE(G11,IF(E11="Years",12,1)*D11)),"")</f>
        <v/>
      </c>
      <c r="I11" s="34" t="n">
        <v>60</v>
      </c>
      <c r="J11" s="26">
        <f>IF(ISNUMBER(H11),H11-IF(ISNUMBER(I11),I11,30),"")</f>
        <v/>
      </c>
      <c r="K11" s="35">
        <f>IF(H11="","",IF(ISNUMBER(H11),H11-TODAY(),"Check date"))</f>
        <v/>
      </c>
      <c r="L11" s="32">
        <f>IF(K11="","",IF(ISNUMBER(K11),IF(K11&lt;0,"Overdue",IF(K11&lt;=30,"Due ≤30 days",IF(K11&lt;=90,"Due ≤90 days","OK"))),"Check date"))</f>
        <v/>
      </c>
      <c r="M11" s="27" t="inlineStr">
        <is>
          <t>NFPA 25 (2011), via MN Dept. of Health summary</t>
        </is>
      </c>
      <c r="N11" s="27" t="n"/>
      <c r="O11" s="27" t="n"/>
      <c r="P11" s="27" t="n"/>
      <c r="Q11" s="27" t="n"/>
      <c r="R11" s="27" t="n"/>
    </row>
    <row r="12">
      <c r="A12" s="27" t="inlineStr">
        <is>
          <t>Example – Main building</t>
        </is>
      </c>
      <c r="B12" s="27" t="inlineStr">
        <is>
          <t>Sprinkler system</t>
        </is>
      </c>
      <c r="C12" s="27" t="inlineStr">
        <is>
          <t>Internal inspection of piping and branch lines</t>
        </is>
      </c>
      <c r="D12" s="34" t="n">
        <v>5</v>
      </c>
      <c r="E12" s="27" t="inlineStr">
        <is>
          <t>Years</t>
        </is>
      </c>
      <c r="F12" s="27" t="inlineStr">
        <is>
          <t>Service company</t>
        </is>
      </c>
      <c r="G12" s="28" t="n">
        <v>44713</v>
      </c>
      <c r="H12" s="26">
        <f>IF(AND(ISNUMBER(G12),ISNUMBER(D12)),IF(E12="Weeks",G12+7*D12,EDATE(G12,IF(E12="Years",12,1)*D12)),"")</f>
        <v/>
      </c>
      <c r="I12" s="34" t="n">
        <v>90</v>
      </c>
      <c r="J12" s="26">
        <f>IF(ISNUMBER(H12),H12-IF(ISNUMBER(I12),I12,30),"")</f>
        <v/>
      </c>
      <c r="K12" s="35">
        <f>IF(H12="","",IF(ISNUMBER(H12),H12-TODAY(),"Check date"))</f>
        <v/>
      </c>
      <c r="L12" s="32">
        <f>IF(K12="","",IF(ISNUMBER(K12),IF(K12&lt;0,"Overdue",IF(K12&lt;=30,"Due ≤30 days",IF(K12&lt;=90,"Due ≤90 days","OK"))),"Check date"))</f>
        <v/>
      </c>
      <c r="M12" s="27" t="inlineStr">
        <is>
          <t>NFPA 25 (2011) 14.2.1, via MN Dept. of Health summary</t>
        </is>
      </c>
      <c r="N12" s="27" t="n"/>
      <c r="O12" s="27" t="n"/>
      <c r="P12" s="27" t="n"/>
      <c r="Q12" s="27" t="n"/>
      <c r="R12" s="27" t="n"/>
    </row>
    <row r="13">
      <c r="A13" s="27" t="inlineStr">
        <is>
          <t>Example – Main building</t>
        </is>
      </c>
      <c r="B13" s="27" t="inlineStr">
        <is>
          <t>Kitchen hood suppression</t>
        </is>
      </c>
      <c r="C13" s="27" t="inlineStr">
        <is>
          <t>Inspection of hood extinguishing system</t>
        </is>
      </c>
      <c r="D13" s="34" t="n">
        <v>1</v>
      </c>
      <c r="E13" s="27" t="inlineStr">
        <is>
          <t>Months</t>
        </is>
      </c>
      <c r="F13" s="27" t="inlineStr">
        <is>
          <t>Staff</t>
        </is>
      </c>
      <c r="G13" s="28" t="n">
        <v>46296</v>
      </c>
      <c r="H13" s="26">
        <f>IF(AND(ISNUMBER(G13),ISNUMBER(D13)),IF(E13="Weeks",G13+7*D13,EDATE(G13,IF(E13="Years",12,1)*D13)),"")</f>
        <v/>
      </c>
      <c r="I13" s="34" t="n">
        <v>7</v>
      </c>
      <c r="J13" s="26">
        <f>IF(ISNUMBER(H13),H13-IF(ISNUMBER(I13),I13,30),"")</f>
        <v/>
      </c>
      <c r="K13" s="35">
        <f>IF(H13="","",IF(ISNUMBER(H13),H13-TODAY(),"Check date"))</f>
        <v/>
      </c>
      <c r="L13" s="32">
        <f>IF(K13="","",IF(ISNUMBER(K13),IF(K13&lt;0,"Overdue",IF(K13&lt;=30,"Due ≤30 days",IF(K13&lt;=90,"Due ≤90 days","OK"))),"Check date"))</f>
        <v/>
      </c>
      <c r="M13" s="27" t="inlineStr">
        <is>
          <t>NFPA 17/17A (2009), via MN Dept. of Health summary</t>
        </is>
      </c>
      <c r="N13" s="27" t="n"/>
      <c r="O13" s="27" t="n"/>
      <c r="P13" s="27" t="n"/>
      <c r="Q13" s="27" t="n"/>
      <c r="R13" s="27" t="n"/>
    </row>
    <row r="14">
      <c r="A14" s="27" t="inlineStr">
        <is>
          <t>Example – Main building</t>
        </is>
      </c>
      <c r="B14" s="27" t="inlineStr">
        <is>
          <t>Kitchen hood suppression</t>
        </is>
      </c>
      <c r="C14" s="27" t="inlineStr">
        <is>
          <t>Service by a trained, qualified person</t>
        </is>
      </c>
      <c r="D14" s="34" t="n">
        <v>6</v>
      </c>
      <c r="E14" s="27" t="inlineStr">
        <is>
          <t>Months</t>
        </is>
      </c>
      <c r="F14" s="27" t="inlineStr">
        <is>
          <t>Service company</t>
        </is>
      </c>
      <c r="G14" s="28" t="n">
        <v>46132</v>
      </c>
      <c r="H14" s="26">
        <f>IF(AND(ISNUMBER(G14),ISNUMBER(D14)),IF(E14="Weeks",G14+7*D14,EDATE(G14,IF(E14="Years",12,1)*D14)),"")</f>
        <v/>
      </c>
      <c r="I14" s="34" t="n">
        <v>30</v>
      </c>
      <c r="J14" s="26">
        <f>IF(ISNUMBER(H14),H14-IF(ISNUMBER(I14),I14,30),"")</f>
        <v/>
      </c>
      <c r="K14" s="35">
        <f>IF(H14="","",IF(ISNUMBER(H14),H14-TODAY(),"Check date"))</f>
        <v/>
      </c>
      <c r="L14" s="32">
        <f>IF(K14="","",IF(ISNUMBER(K14),IF(K14&lt;0,"Overdue",IF(K14&lt;=30,"Due ≤30 days",IF(K14&lt;=90,"Due ≤90 days","OK"))),"Check date"))</f>
        <v/>
      </c>
      <c r="M14" s="27" t="inlineStr">
        <is>
          <t>NFPA 96 (2011) 11.2.1, via MN Dept. of Health summary</t>
        </is>
      </c>
      <c r="N14" s="27" t="n"/>
      <c r="O14" s="27" t="n"/>
      <c r="P14" s="27" t="n"/>
      <c r="Q14" s="27" t="n"/>
      <c r="R14" s="27" t="n"/>
    </row>
    <row r="15">
      <c r="A15" s="27" t="inlineStr">
        <is>
          <t>Example – Main building</t>
        </is>
      </c>
      <c r="B15" s="27" t="inlineStr">
        <is>
          <t>Kitchen hood suppression</t>
        </is>
      </c>
      <c r="C15" s="27" t="inlineStr">
        <is>
          <t>Hydrostatic test of system cylinders</t>
        </is>
      </c>
      <c r="D15" s="34" t="n">
        <v>12</v>
      </c>
      <c r="E15" s="27" t="inlineStr">
        <is>
          <t>Years</t>
        </is>
      </c>
      <c r="F15" s="27" t="inlineStr">
        <is>
          <t>Service company</t>
        </is>
      </c>
      <c r="G15" s="28" t="n">
        <v>42583</v>
      </c>
      <c r="H15" s="26">
        <f>IF(AND(ISNUMBER(G15),ISNUMBER(D15)),IF(E15="Weeks",G15+7*D15,EDATE(G15,IF(E15="Years",12,1)*D15)),"")</f>
        <v/>
      </c>
      <c r="I15" s="34" t="n">
        <v>90</v>
      </c>
      <c r="J15" s="26">
        <f>IF(ISNUMBER(H15),H15-IF(ISNUMBER(I15),I15,30),"")</f>
        <v/>
      </c>
      <c r="K15" s="35">
        <f>IF(H15="","",IF(ISNUMBER(H15),H15-TODAY(),"Check date"))</f>
        <v/>
      </c>
      <c r="L15" s="32">
        <f>IF(K15="","",IF(ISNUMBER(K15),IF(K15&lt;0,"Overdue",IF(K15&lt;=30,"Due ≤30 days",IF(K15&lt;=90,"Due ≤90 days","OK"))),"Check date"))</f>
        <v/>
      </c>
      <c r="M15" s="27" t="inlineStr">
        <is>
          <t>NFPA 17/17A (2009), via MN Dept. of Health summary</t>
        </is>
      </c>
      <c r="N15" s="27" t="n"/>
      <c r="O15" s="27" t="n"/>
      <c r="P15" s="27" t="n"/>
      <c r="Q15" s="27" t="n"/>
      <c r="R15" s="27" t="n"/>
    </row>
    <row r="16">
      <c r="A16" s="27" t="inlineStr">
        <is>
          <t>Example – Main building</t>
        </is>
      </c>
      <c r="B16" s="27" t="inlineStr">
        <is>
          <t>Kitchen exhaust</t>
        </is>
      </c>
      <c r="C16" s="27" t="inlineStr">
        <is>
          <t>Inspection for grease build-up</t>
        </is>
      </c>
      <c r="D16" s="34" t="n">
        <v>6</v>
      </c>
      <c r="E16" s="27" t="inlineStr">
        <is>
          <t>Months</t>
        </is>
      </c>
      <c r="F16" s="27" t="inlineStr">
        <is>
          <t>Service company</t>
        </is>
      </c>
      <c r="G16" s="28" t="n">
        <v>46188</v>
      </c>
      <c r="H16" s="26">
        <f>IF(AND(ISNUMBER(G16),ISNUMBER(D16)),IF(E16="Weeks",G16+7*D16,EDATE(G16,IF(E16="Years",12,1)*D16)),"")</f>
        <v/>
      </c>
      <c r="I16" s="34" t="n">
        <v>30</v>
      </c>
      <c r="J16" s="26">
        <f>IF(ISNUMBER(H16),H16-IF(ISNUMBER(I16),I16,30),"")</f>
        <v/>
      </c>
      <c r="K16" s="35">
        <f>IF(H16="","",IF(ISNUMBER(H16),H16-TODAY(),"Check date"))</f>
        <v/>
      </c>
      <c r="L16" s="32">
        <f>IF(K16="","",IF(ISNUMBER(K16),IF(K16&lt;0,"Overdue",IF(K16&lt;=30,"Due ≤30 days",IF(K16&lt;=90,"Due ≤90 days","OK"))),"Check date"))</f>
        <v/>
      </c>
      <c r="M16" s="27" t="inlineStr">
        <is>
          <t>NFPA 96 (2011), via MN Dept. of Health summary</t>
        </is>
      </c>
      <c r="N16" s="27" t="n"/>
      <c r="O16" s="27" t="n"/>
      <c r="P16" s="27" t="n"/>
      <c r="Q16" s="27" t="n"/>
      <c r="R16" s="27" t="n"/>
    </row>
    <row r="17">
      <c r="A17" s="27" t="inlineStr">
        <is>
          <t>Example – Main building</t>
        </is>
      </c>
      <c r="B17" s="27" t="inlineStr">
        <is>
          <t>Emergency generator</t>
        </is>
      </c>
      <c r="C17" s="27" t="inlineStr">
        <is>
          <t>Generator inspection</t>
        </is>
      </c>
      <c r="D17" s="34" t="n">
        <v>1</v>
      </c>
      <c r="E17" s="27" t="inlineStr">
        <is>
          <t>Weeks</t>
        </is>
      </c>
      <c r="F17" s="27" t="inlineStr">
        <is>
          <t>Staff</t>
        </is>
      </c>
      <c r="G17" s="28" t="n">
        <v>46303</v>
      </c>
      <c r="H17" s="26">
        <f>IF(AND(ISNUMBER(G17),ISNUMBER(D17)),IF(E17="Weeks",G17+7*D17,EDATE(G17,IF(E17="Years",12,1)*D17)),"")</f>
        <v/>
      </c>
      <c r="I17" s="34" t="n">
        <v>1</v>
      </c>
      <c r="J17" s="26">
        <f>IF(ISNUMBER(H17),H17-IF(ISNUMBER(I17),I17,30),"")</f>
        <v/>
      </c>
      <c r="K17" s="35">
        <f>IF(H17="","",IF(ISNUMBER(H17),H17-TODAY(),"Check date"))</f>
        <v/>
      </c>
      <c r="L17" s="32">
        <f>IF(K17="","",IF(ISNUMBER(K17),IF(K17&lt;0,"Overdue",IF(K17&lt;=30,"Due ≤30 days",IF(K17&lt;=90,"Due ≤90 days","OK"))),"Check date"))</f>
        <v/>
      </c>
      <c r="M17" s="27" t="inlineStr">
        <is>
          <t>NFPA 110 (2010) 8.4.1, via MN Dept. of Health summary</t>
        </is>
      </c>
      <c r="N17" s="27" t="n"/>
      <c r="O17" s="27" t="n"/>
      <c r="P17" s="27" t="n"/>
      <c r="Q17" s="27" t="n"/>
      <c r="R17" s="27" t="n"/>
    </row>
    <row r="18">
      <c r="A18" s="27" t="inlineStr">
        <is>
          <t>Example – Main building</t>
        </is>
      </c>
      <c r="B18" s="27" t="inlineStr">
        <is>
          <t>Emergency generator</t>
        </is>
      </c>
      <c r="C18" s="27" t="inlineStr">
        <is>
          <t>Diesel set exercised under load, at least 30 minutes</t>
        </is>
      </c>
      <c r="D18" s="34" t="n">
        <v>1</v>
      </c>
      <c r="E18" s="27" t="inlineStr">
        <is>
          <t>Months</t>
        </is>
      </c>
      <c r="F18" s="27" t="inlineStr">
        <is>
          <t>Staff</t>
        </is>
      </c>
      <c r="G18" s="28" t="n">
        <v>46290</v>
      </c>
      <c r="H18" s="26">
        <f>IF(AND(ISNUMBER(G18),ISNUMBER(D18)),IF(E18="Weeks",G18+7*D18,EDATE(G18,IF(E18="Years",12,1)*D18)),"")</f>
        <v/>
      </c>
      <c r="I18" s="34" t="n">
        <v>7</v>
      </c>
      <c r="J18" s="26">
        <f>IF(ISNUMBER(H18),H18-IF(ISNUMBER(I18),I18,30),"")</f>
        <v/>
      </c>
      <c r="K18" s="35">
        <f>IF(H18="","",IF(ISNUMBER(H18),H18-TODAY(),"Check date"))</f>
        <v/>
      </c>
      <c r="L18" s="32">
        <f>IF(K18="","",IF(ISNUMBER(K18),IF(K18&lt;0,"Overdue",IF(K18&lt;=30,"Due ≤30 days",IF(K18&lt;=90,"Due ≤90 days","OK"))),"Check date"))</f>
        <v/>
      </c>
      <c r="M18" s="27" t="inlineStr">
        <is>
          <t>NFPA 110 (2010), via MN Dept. of Health summary</t>
        </is>
      </c>
      <c r="N18" s="27" t="n"/>
      <c r="O18" s="27" t="n"/>
      <c r="P18" s="27" t="n"/>
      <c r="Q18" s="27" t="n"/>
      <c r="R18" s="27" t="n"/>
    </row>
    <row r="19">
      <c r="A19" s="27" t="inlineStr">
        <is>
          <t>Example – Main building</t>
        </is>
      </c>
      <c r="B19" s="27" t="inlineStr">
        <is>
          <t>Smoke detectors</t>
        </is>
      </c>
      <c r="C19" s="27" t="inlineStr">
        <is>
          <t>Staff test of building-powered smoke detectors (Wisconsin CBRF)</t>
        </is>
      </c>
      <c r="D19" s="34" t="n">
        <v>2</v>
      </c>
      <c r="E19" s="27" t="inlineStr">
        <is>
          <t>Months</t>
        </is>
      </c>
      <c r="F19" s="27" t="inlineStr">
        <is>
          <t>Staff</t>
        </is>
      </c>
      <c r="G19" s="28" t="n">
        <v>46264</v>
      </c>
      <c r="H19" s="26">
        <f>IF(AND(ISNUMBER(G19),ISNUMBER(D19)),IF(E19="Weeks",G19+7*D19,EDATE(G19,IF(E19="Years",12,1)*D19)),"")</f>
        <v/>
      </c>
      <c r="I19" s="34" t="n">
        <v>7</v>
      </c>
      <c r="J19" s="26">
        <f>IF(ISNUMBER(H19),H19-IF(ISNUMBER(I19),I19,30),"")</f>
        <v/>
      </c>
      <c r="K19" s="35">
        <f>IF(H19="","",IF(ISNUMBER(H19),H19-TODAY(),"Check date"))</f>
        <v/>
      </c>
      <c r="L19" s="32">
        <f>IF(K19="","",IF(ISNUMBER(K19),IF(K19&lt;0,"Overdue",IF(K19&lt;=30,"Due ≤30 days",IF(K19&lt;=90,"Due ≤90 days","OK"))),"Check date"))</f>
        <v/>
      </c>
      <c r="M19" s="27" t="inlineStr">
        <is>
          <t>Wis. DHS 83.48(1)(b): at least every other month</t>
        </is>
      </c>
      <c r="N19" s="27" t="n"/>
      <c r="O19" s="27" t="n"/>
      <c r="P19" s="27" t="n"/>
      <c r="Q19" s="27" t="n"/>
      <c r="R19" s="27" t="n"/>
    </row>
    <row r="20">
      <c r="A20" s="27" t="inlineStr">
        <is>
          <t>Example – Main building</t>
        </is>
      </c>
      <c r="B20" s="27" t="inlineStr">
        <is>
          <t>Fire alarm system</t>
        </is>
      </c>
      <c r="C20" s="27" t="inlineStr">
        <is>
          <t>Fire detection system inspected, cleaned and tested (Wisconsin CBRF)</t>
        </is>
      </c>
      <c r="D20" s="34" t="n">
        <v>1</v>
      </c>
      <c r="E20" s="27" t="inlineStr">
        <is>
          <t>Years</t>
        </is>
      </c>
      <c r="F20" s="27" t="inlineStr">
        <is>
          <t>Service company</t>
        </is>
      </c>
      <c r="G20" s="28" t="n">
        <v>46063</v>
      </c>
      <c r="H20" s="26">
        <f>IF(AND(ISNUMBER(G20),ISNUMBER(D20)),IF(E20="Weeks",G20+7*D20,EDATE(G20,IF(E20="Years",12,1)*D20)),"")</f>
        <v/>
      </c>
      <c r="I20" s="34" t="n">
        <v>60</v>
      </c>
      <c r="J20" s="26">
        <f>IF(ISNUMBER(H20),H20-IF(ISNUMBER(I20),I20,30),"")</f>
        <v/>
      </c>
      <c r="K20" s="35">
        <f>IF(H20="","",IF(ISNUMBER(H20),H20-TODAY(),"Check date"))</f>
        <v/>
      </c>
      <c r="L20" s="32">
        <f>IF(K20="","",IF(ISNUMBER(K20),IF(K20&lt;0,"Overdue",IF(K20&lt;=30,"Due ≤30 days",IF(K20&lt;=90,"Due ≤90 days","OK"))),"Check date"))</f>
        <v/>
      </c>
      <c r="M20" s="27" t="inlineStr">
        <is>
          <t>Wis. DHS 83.48(3)(a)</t>
        </is>
      </c>
      <c r="N20" s="27" t="n"/>
      <c r="O20" s="27" t="n"/>
      <c r="P20" s="27" t="n"/>
      <c r="Q20" s="27" t="n"/>
      <c r="R20" s="27" t="n"/>
    </row>
    <row r="21">
      <c r="A21" s="27" t="inlineStr">
        <is>
          <t>Example – Main building</t>
        </is>
      </c>
      <c r="B21" s="27" t="inlineStr">
        <is>
          <t>Fire inspection</t>
        </is>
      </c>
      <c r="C21" s="27" t="inlineStr">
        <is>
          <t>Annual inspection by local fire authority or certified inspector; keep reports 2 years (Wisconsin CBRF)</t>
        </is>
      </c>
      <c r="D21" s="34" t="n">
        <v>1</v>
      </c>
      <c r="E21" s="27" t="inlineStr">
        <is>
          <t>Years</t>
        </is>
      </c>
      <c r="F21" s="27" t="inlineStr">
        <is>
          <t>Fire authority</t>
        </is>
      </c>
      <c r="G21" s="28" t="n">
        <v>46044</v>
      </c>
      <c r="H21" s="26">
        <f>IF(AND(ISNUMBER(G21),ISNUMBER(D21)),IF(E21="Weeks",G21+7*D21,EDATE(G21,IF(E21="Years",12,1)*D21)),"")</f>
        <v/>
      </c>
      <c r="I21" s="34" t="n">
        <v>60</v>
      </c>
      <c r="J21" s="26">
        <f>IF(ISNUMBER(H21),H21-IF(ISNUMBER(I21),I21,30),"")</f>
        <v/>
      </c>
      <c r="K21" s="35">
        <f>IF(H21="","",IF(ISNUMBER(H21),H21-TODAY(),"Check date"))</f>
        <v/>
      </c>
      <c r="L21" s="32">
        <f>IF(K21="","",IF(ISNUMBER(K21),IF(K21&lt;0,"Overdue",IF(K21&lt;=30,"Due ≤30 days",IF(K21&lt;=90,"Due ≤90 days","OK"))),"Check date"))</f>
        <v/>
      </c>
      <c r="M21" s="27" t="inlineStr">
        <is>
          <t>Wis. DHS 83.47(3)</t>
        </is>
      </c>
      <c r="N21" s="27" t="n"/>
      <c r="O21" s="27" t="n"/>
      <c r="P21" s="27" t="n"/>
      <c r="Q21" s="27" t="n"/>
      <c r="R21" s="27" t="n"/>
    </row>
    <row r="22">
      <c r="A22" s="27" t="inlineStr">
        <is>
          <t>Example – Main building</t>
        </is>
      </c>
      <c r="B22" s="27" t="inlineStr">
        <is>
          <t>Fire inspection</t>
        </is>
      </c>
      <c r="C22" s="27" t="inlineStr">
        <is>
          <t>Annual fire safety inspection; send copy to AHCA within 30 days (Florida ALF)</t>
        </is>
      </c>
      <c r="D22" s="34" t="n">
        <v>1</v>
      </c>
      <c r="E22" s="27" t="inlineStr">
        <is>
          <t>Years</t>
        </is>
      </c>
      <c r="F22" s="27" t="inlineStr">
        <is>
          <t>Fire authority</t>
        </is>
      </c>
      <c r="G22" s="28" t="n">
        <v>46044</v>
      </c>
      <c r="H22" s="26">
        <f>IF(AND(ISNUMBER(G22),ISNUMBER(D22)),IF(E22="Weeks",G22+7*D22,EDATE(G22,IF(E22="Years",12,1)*D22)),"")</f>
        <v/>
      </c>
      <c r="I22" s="34" t="n">
        <v>60</v>
      </c>
      <c r="J22" s="26">
        <f>IF(ISNUMBER(H22),H22-IF(ISNUMBER(I22),I22,30),"")</f>
        <v/>
      </c>
      <c r="K22" s="35">
        <f>IF(H22="","",IF(ISNUMBER(H22),H22-TODAY(),"Check date"))</f>
        <v/>
      </c>
      <c r="L22" s="32">
        <f>IF(K22="","",IF(ISNUMBER(K22),IF(K22&lt;0,"Overdue",IF(K22&lt;=30,"Due ≤30 days",IF(K22&lt;=90,"Due ≤90 days","OK"))),"Check date"))</f>
        <v/>
      </c>
      <c r="M22" s="27" t="inlineStr">
        <is>
          <t>Fla. Admin. Code 59A-36.004(5)</t>
        </is>
      </c>
      <c r="N22" s="27" t="n"/>
      <c r="O22" s="27" t="n"/>
      <c r="P22" s="27" t="n"/>
      <c r="Q22" s="27" t="n"/>
      <c r="R22" s="27" t="n"/>
    </row>
    <row r="23">
      <c r="A23" s="27" t="n"/>
      <c r="B23" s="27" t="n"/>
      <c r="C23" s="27" t="n"/>
      <c r="D23" s="34" t="n"/>
      <c r="E23" s="27" t="n"/>
      <c r="F23" s="27" t="n"/>
      <c r="G23" s="28" t="n"/>
      <c r="H23" s="26">
        <f>IF(AND(ISNUMBER(G23),ISNUMBER(D23)),IF(E23="Weeks",G23+7*D23,EDATE(G23,IF(E23="Years",12,1)*D23)),"")</f>
        <v/>
      </c>
      <c r="I23" s="34" t="n"/>
      <c r="J23" s="26">
        <f>IF(ISNUMBER(H23),H23-IF(ISNUMBER(I23),I23,30),"")</f>
        <v/>
      </c>
      <c r="K23" s="35">
        <f>IF(H23="","",IF(ISNUMBER(H23),H23-TODAY(),"Check date"))</f>
        <v/>
      </c>
      <c r="L23" s="32">
        <f>IF(K23="","",IF(ISNUMBER(K23),IF(K23&lt;0,"Overdue",IF(K23&lt;=30,"Due ≤30 days",IF(K23&lt;=90,"Due ≤90 days","OK"))),"Check date"))</f>
        <v/>
      </c>
      <c r="M23" s="27" t="n"/>
      <c r="N23" s="27" t="n"/>
      <c r="O23" s="27" t="n"/>
      <c r="P23" s="27" t="n"/>
      <c r="Q23" s="27" t="n"/>
      <c r="R23" s="27" t="n"/>
    </row>
    <row r="24">
      <c r="A24" s="27" t="n"/>
      <c r="B24" s="27" t="n"/>
      <c r="C24" s="27" t="n"/>
      <c r="D24" s="34" t="n"/>
      <c r="E24" s="27" t="n"/>
      <c r="F24" s="27" t="n"/>
      <c r="G24" s="28" t="n"/>
      <c r="H24" s="26">
        <f>IF(AND(ISNUMBER(G24),ISNUMBER(D24)),IF(E24="Weeks",G24+7*D24,EDATE(G24,IF(E24="Years",12,1)*D24)),"")</f>
        <v/>
      </c>
      <c r="I24" s="34" t="n"/>
      <c r="J24" s="26">
        <f>IF(ISNUMBER(H24),H24-IF(ISNUMBER(I24),I24,30),"")</f>
        <v/>
      </c>
      <c r="K24" s="35">
        <f>IF(H24="","",IF(ISNUMBER(H24),H24-TODAY(),"Check date"))</f>
        <v/>
      </c>
      <c r="L24" s="32">
        <f>IF(K24="","",IF(ISNUMBER(K24),IF(K24&lt;0,"Overdue",IF(K24&lt;=30,"Due ≤30 days",IF(K24&lt;=90,"Due ≤90 days","OK"))),"Check date"))</f>
        <v/>
      </c>
      <c r="M24" s="27" t="n"/>
      <c r="N24" s="27" t="n"/>
      <c r="O24" s="27" t="n"/>
      <c r="P24" s="27" t="n"/>
      <c r="Q24" s="27" t="n"/>
      <c r="R24" s="27" t="n"/>
    </row>
    <row r="25">
      <c r="A25" s="27" t="n"/>
      <c r="B25" s="27" t="n"/>
      <c r="C25" s="27" t="n"/>
      <c r="D25" s="34" t="n"/>
      <c r="E25" s="27" t="n"/>
      <c r="F25" s="27" t="n"/>
      <c r="G25" s="28" t="n"/>
      <c r="H25" s="26">
        <f>IF(AND(ISNUMBER(G25),ISNUMBER(D25)),IF(E25="Weeks",G25+7*D25,EDATE(G25,IF(E25="Years",12,1)*D25)),"")</f>
        <v/>
      </c>
      <c r="I25" s="34" t="n"/>
      <c r="J25" s="26">
        <f>IF(ISNUMBER(H25),H25-IF(ISNUMBER(I25),I25,30),"")</f>
        <v/>
      </c>
      <c r="K25" s="35">
        <f>IF(H25="","",IF(ISNUMBER(H25),H25-TODAY(),"Check date"))</f>
        <v/>
      </c>
      <c r="L25" s="32">
        <f>IF(K25="","",IF(ISNUMBER(K25),IF(K25&lt;0,"Overdue",IF(K25&lt;=30,"Due ≤30 days",IF(K25&lt;=90,"Due ≤90 days","OK"))),"Check date"))</f>
        <v/>
      </c>
      <c r="M25" s="27" t="n"/>
      <c r="N25" s="27" t="n"/>
      <c r="O25" s="27" t="n"/>
      <c r="P25" s="27" t="n"/>
      <c r="Q25" s="27" t="n"/>
      <c r="R25" s="27" t="n"/>
    </row>
    <row r="26">
      <c r="A26" s="27" t="n"/>
      <c r="B26" s="27" t="n"/>
      <c r="C26" s="27" t="n"/>
      <c r="D26" s="34" t="n"/>
      <c r="E26" s="27" t="n"/>
      <c r="F26" s="27" t="n"/>
      <c r="G26" s="28" t="n"/>
      <c r="H26" s="26">
        <f>IF(AND(ISNUMBER(G26),ISNUMBER(D26)),IF(E26="Weeks",G26+7*D26,EDATE(G26,IF(E26="Years",12,1)*D26)),"")</f>
        <v/>
      </c>
      <c r="I26" s="34" t="n"/>
      <c r="J26" s="26">
        <f>IF(ISNUMBER(H26),H26-IF(ISNUMBER(I26),I26,30),"")</f>
        <v/>
      </c>
      <c r="K26" s="35">
        <f>IF(H26="","",IF(ISNUMBER(H26),H26-TODAY(),"Check date"))</f>
        <v/>
      </c>
      <c r="L26" s="32">
        <f>IF(K26="","",IF(ISNUMBER(K26),IF(K26&lt;0,"Overdue",IF(K26&lt;=30,"Due ≤30 days",IF(K26&lt;=90,"Due ≤90 days","OK"))),"Check date"))</f>
        <v/>
      </c>
      <c r="M26" s="27" t="n"/>
      <c r="N26" s="27" t="n"/>
      <c r="O26" s="27" t="n"/>
      <c r="P26" s="27" t="n"/>
      <c r="Q26" s="27" t="n"/>
      <c r="R26" s="27" t="n"/>
    </row>
    <row r="27">
      <c r="A27" s="27" t="n"/>
      <c r="B27" s="27" t="n"/>
      <c r="C27" s="27" t="n"/>
      <c r="D27" s="34" t="n"/>
      <c r="E27" s="27" t="n"/>
      <c r="F27" s="27" t="n"/>
      <c r="G27" s="28" t="n"/>
      <c r="H27" s="26">
        <f>IF(AND(ISNUMBER(G27),ISNUMBER(D27)),IF(E27="Weeks",G27+7*D27,EDATE(G27,IF(E27="Years",12,1)*D27)),"")</f>
        <v/>
      </c>
      <c r="I27" s="34" t="n"/>
      <c r="J27" s="26">
        <f>IF(ISNUMBER(H27),H27-IF(ISNUMBER(I27),I27,30),"")</f>
        <v/>
      </c>
      <c r="K27" s="35">
        <f>IF(H27="","",IF(ISNUMBER(H27),H27-TODAY(),"Check date"))</f>
        <v/>
      </c>
      <c r="L27" s="32">
        <f>IF(K27="","",IF(ISNUMBER(K27),IF(K27&lt;0,"Overdue",IF(K27&lt;=30,"Due ≤30 days",IF(K27&lt;=90,"Due ≤90 days","OK"))),"Check date"))</f>
        <v/>
      </c>
      <c r="M27" s="27" t="n"/>
      <c r="N27" s="27" t="n"/>
      <c r="O27" s="27" t="n"/>
      <c r="P27" s="27" t="n"/>
      <c r="Q27" s="27" t="n"/>
      <c r="R27" s="27" t="n"/>
    </row>
    <row r="28">
      <c r="A28" s="27" t="n"/>
      <c r="B28" s="27" t="n"/>
      <c r="C28" s="27" t="n"/>
      <c r="D28" s="34" t="n"/>
      <c r="E28" s="27" t="n"/>
      <c r="F28" s="27" t="n"/>
      <c r="G28" s="28" t="n"/>
      <c r="H28" s="26">
        <f>IF(AND(ISNUMBER(G28),ISNUMBER(D28)),IF(E28="Weeks",G28+7*D28,EDATE(G28,IF(E28="Years",12,1)*D28)),"")</f>
        <v/>
      </c>
      <c r="I28" s="34" t="n"/>
      <c r="J28" s="26">
        <f>IF(ISNUMBER(H28),H28-IF(ISNUMBER(I28),I28,30),"")</f>
        <v/>
      </c>
      <c r="K28" s="35">
        <f>IF(H28="","",IF(ISNUMBER(H28),H28-TODAY(),"Check date"))</f>
        <v/>
      </c>
      <c r="L28" s="32">
        <f>IF(K28="","",IF(ISNUMBER(K28),IF(K28&lt;0,"Overdue",IF(K28&lt;=30,"Due ≤30 days",IF(K28&lt;=90,"Due ≤90 days","OK"))),"Check date"))</f>
        <v/>
      </c>
      <c r="M28" s="27" t="n"/>
      <c r="N28" s="27" t="n"/>
      <c r="O28" s="27" t="n"/>
      <c r="P28" s="27" t="n"/>
      <c r="Q28" s="27" t="n"/>
      <c r="R28" s="27" t="n"/>
    </row>
    <row r="29">
      <c r="A29" s="27" t="n"/>
      <c r="B29" s="27" t="n"/>
      <c r="C29" s="27" t="n"/>
      <c r="D29" s="34" t="n"/>
      <c r="E29" s="27" t="n"/>
      <c r="F29" s="27" t="n"/>
      <c r="G29" s="28" t="n"/>
      <c r="H29" s="26">
        <f>IF(AND(ISNUMBER(G29),ISNUMBER(D29)),IF(E29="Weeks",G29+7*D29,EDATE(G29,IF(E29="Years",12,1)*D29)),"")</f>
        <v/>
      </c>
      <c r="I29" s="34" t="n"/>
      <c r="J29" s="26">
        <f>IF(ISNUMBER(H29),H29-IF(ISNUMBER(I29),I29,30),"")</f>
        <v/>
      </c>
      <c r="K29" s="35">
        <f>IF(H29="","",IF(ISNUMBER(H29),H29-TODAY(),"Check date"))</f>
        <v/>
      </c>
      <c r="L29" s="32">
        <f>IF(K29="","",IF(ISNUMBER(K29),IF(K29&lt;0,"Overdue",IF(K29&lt;=30,"Due ≤30 days",IF(K29&lt;=90,"Due ≤90 days","OK"))),"Check date"))</f>
        <v/>
      </c>
      <c r="M29" s="27" t="n"/>
      <c r="N29" s="27" t="n"/>
      <c r="O29" s="27" t="n"/>
      <c r="P29" s="27" t="n"/>
      <c r="Q29" s="27" t="n"/>
      <c r="R29" s="27" t="n"/>
    </row>
    <row r="30">
      <c r="A30" s="27" t="n"/>
      <c r="B30" s="27" t="n"/>
      <c r="C30" s="27" t="n"/>
      <c r="D30" s="34" t="n"/>
      <c r="E30" s="27" t="n"/>
      <c r="F30" s="27" t="n"/>
      <c r="G30" s="28" t="n"/>
      <c r="H30" s="26">
        <f>IF(AND(ISNUMBER(G30),ISNUMBER(D30)),IF(E30="Weeks",G30+7*D30,EDATE(G30,IF(E30="Years",12,1)*D30)),"")</f>
        <v/>
      </c>
      <c r="I30" s="34" t="n"/>
      <c r="J30" s="26">
        <f>IF(ISNUMBER(H30),H30-IF(ISNUMBER(I30),I30,30),"")</f>
        <v/>
      </c>
      <c r="K30" s="35">
        <f>IF(H30="","",IF(ISNUMBER(H30),H30-TODAY(),"Check date"))</f>
        <v/>
      </c>
      <c r="L30" s="32">
        <f>IF(K30="","",IF(ISNUMBER(K30),IF(K30&lt;0,"Overdue",IF(K30&lt;=30,"Due ≤30 days",IF(K30&lt;=90,"Due ≤90 days","OK"))),"Check date"))</f>
        <v/>
      </c>
      <c r="M30" s="27" t="n"/>
      <c r="N30" s="27" t="n"/>
      <c r="O30" s="27" t="n"/>
      <c r="P30" s="27" t="n"/>
      <c r="Q30" s="27" t="n"/>
      <c r="R30" s="27" t="n"/>
    </row>
    <row r="31">
      <c r="A31" s="27" t="n"/>
      <c r="B31" s="27" t="n"/>
      <c r="C31" s="27" t="n"/>
      <c r="D31" s="34" t="n"/>
      <c r="E31" s="27" t="n"/>
      <c r="F31" s="27" t="n"/>
      <c r="G31" s="28" t="n"/>
      <c r="H31" s="26">
        <f>IF(AND(ISNUMBER(G31),ISNUMBER(D31)),IF(E31="Weeks",G31+7*D31,EDATE(G31,IF(E31="Years",12,1)*D31)),"")</f>
        <v/>
      </c>
      <c r="I31" s="34" t="n"/>
      <c r="J31" s="26">
        <f>IF(ISNUMBER(H31),H31-IF(ISNUMBER(I31),I31,30),"")</f>
        <v/>
      </c>
      <c r="K31" s="35">
        <f>IF(H31="","",IF(ISNUMBER(H31),H31-TODAY(),"Check date"))</f>
        <v/>
      </c>
      <c r="L31" s="32">
        <f>IF(K31="","",IF(ISNUMBER(K31),IF(K31&lt;0,"Overdue",IF(K31&lt;=30,"Due ≤30 days",IF(K31&lt;=90,"Due ≤90 days","OK"))),"Check date"))</f>
        <v/>
      </c>
      <c r="M31" s="27" t="n"/>
      <c r="N31" s="27" t="n"/>
      <c r="O31" s="27" t="n"/>
      <c r="P31" s="27" t="n"/>
      <c r="Q31" s="27" t="n"/>
      <c r="R31" s="27" t="n"/>
    </row>
    <row r="32">
      <c r="A32" s="27" t="n"/>
      <c r="B32" s="27" t="n"/>
      <c r="C32" s="27" t="n"/>
      <c r="D32" s="34" t="n"/>
      <c r="E32" s="27" t="n"/>
      <c r="F32" s="27" t="n"/>
      <c r="G32" s="28" t="n"/>
      <c r="H32" s="26">
        <f>IF(AND(ISNUMBER(G32),ISNUMBER(D32)),IF(E32="Weeks",G32+7*D32,EDATE(G32,IF(E32="Years",12,1)*D32)),"")</f>
        <v/>
      </c>
      <c r="I32" s="34" t="n"/>
      <c r="J32" s="26">
        <f>IF(ISNUMBER(H32),H32-IF(ISNUMBER(I32),I32,30),"")</f>
        <v/>
      </c>
      <c r="K32" s="35">
        <f>IF(H32="","",IF(ISNUMBER(H32),H32-TODAY(),"Check date"))</f>
        <v/>
      </c>
      <c r="L32" s="32">
        <f>IF(K32="","",IF(ISNUMBER(K32),IF(K32&lt;0,"Overdue",IF(K32&lt;=30,"Due ≤30 days",IF(K32&lt;=90,"Due ≤90 days","OK"))),"Check date"))</f>
        <v/>
      </c>
      <c r="M32" s="27" t="n"/>
      <c r="N32" s="27" t="n"/>
      <c r="O32" s="27" t="n"/>
      <c r="P32" s="27" t="n"/>
      <c r="Q32" s="27" t="n"/>
      <c r="R32" s="27" t="n"/>
    </row>
    <row r="33">
      <c r="A33" s="27" t="n"/>
      <c r="B33" s="27" t="n"/>
      <c r="C33" s="27" t="n"/>
      <c r="D33" s="34" t="n"/>
      <c r="E33" s="27" t="n"/>
      <c r="F33" s="27" t="n"/>
      <c r="G33" s="28" t="n"/>
      <c r="H33" s="26">
        <f>IF(AND(ISNUMBER(G33),ISNUMBER(D33)),IF(E33="Weeks",G33+7*D33,EDATE(G33,IF(E33="Years",12,1)*D33)),"")</f>
        <v/>
      </c>
      <c r="I33" s="34" t="n"/>
      <c r="J33" s="26">
        <f>IF(ISNUMBER(H33),H33-IF(ISNUMBER(I33),I33,30),"")</f>
        <v/>
      </c>
      <c r="K33" s="35">
        <f>IF(H33="","",IF(ISNUMBER(H33),H33-TODAY(),"Check date"))</f>
        <v/>
      </c>
      <c r="L33" s="32">
        <f>IF(K33="","",IF(ISNUMBER(K33),IF(K33&lt;0,"Overdue",IF(K33&lt;=30,"Due ≤30 days",IF(K33&lt;=90,"Due ≤90 days","OK"))),"Check date"))</f>
        <v/>
      </c>
      <c r="M33" s="27" t="n"/>
      <c r="N33" s="27" t="n"/>
      <c r="O33" s="27" t="n"/>
      <c r="P33" s="27" t="n"/>
      <c r="Q33" s="27" t="n"/>
      <c r="R33" s="27" t="n"/>
    </row>
    <row r="34">
      <c r="A34" s="27" t="n"/>
      <c r="B34" s="27" t="n"/>
      <c r="C34" s="27" t="n"/>
      <c r="D34" s="34" t="n"/>
      <c r="E34" s="27" t="n"/>
      <c r="F34" s="27" t="n"/>
      <c r="G34" s="28" t="n"/>
      <c r="H34" s="26">
        <f>IF(AND(ISNUMBER(G34),ISNUMBER(D34)),IF(E34="Weeks",G34+7*D34,EDATE(G34,IF(E34="Years",12,1)*D34)),"")</f>
        <v/>
      </c>
      <c r="I34" s="34" t="n"/>
      <c r="J34" s="26">
        <f>IF(ISNUMBER(H34),H34-IF(ISNUMBER(I34),I34,30),"")</f>
        <v/>
      </c>
      <c r="K34" s="35">
        <f>IF(H34="","",IF(ISNUMBER(H34),H34-TODAY(),"Check date"))</f>
        <v/>
      </c>
      <c r="L34" s="32">
        <f>IF(K34="","",IF(ISNUMBER(K34),IF(K34&lt;0,"Overdue",IF(K34&lt;=30,"Due ≤30 days",IF(K34&lt;=90,"Due ≤90 days","OK"))),"Check date"))</f>
        <v/>
      </c>
      <c r="M34" s="27" t="n"/>
      <c r="N34" s="27" t="n"/>
      <c r="O34" s="27" t="n"/>
      <c r="P34" s="27" t="n"/>
      <c r="Q34" s="27" t="n"/>
      <c r="R34" s="27" t="n"/>
    </row>
    <row r="35">
      <c r="A35" s="27" t="n"/>
      <c r="B35" s="27" t="n"/>
      <c r="C35" s="27" t="n"/>
      <c r="D35" s="34" t="n"/>
      <c r="E35" s="27" t="n"/>
      <c r="F35" s="27" t="n"/>
      <c r="G35" s="28" t="n"/>
      <c r="H35" s="26">
        <f>IF(AND(ISNUMBER(G35),ISNUMBER(D35)),IF(E35="Weeks",G35+7*D35,EDATE(G35,IF(E35="Years",12,1)*D35)),"")</f>
        <v/>
      </c>
      <c r="I35" s="34" t="n"/>
      <c r="J35" s="26">
        <f>IF(ISNUMBER(H35),H35-IF(ISNUMBER(I35),I35,30),"")</f>
        <v/>
      </c>
      <c r="K35" s="35">
        <f>IF(H35="","",IF(ISNUMBER(H35),H35-TODAY(),"Check date"))</f>
        <v/>
      </c>
      <c r="L35" s="32">
        <f>IF(K35="","",IF(ISNUMBER(K35),IF(K35&lt;0,"Overdue",IF(K35&lt;=30,"Due ≤30 days",IF(K35&lt;=90,"Due ≤90 days","OK"))),"Check date"))</f>
        <v/>
      </c>
      <c r="M35" s="27" t="n"/>
      <c r="N35" s="27" t="n"/>
      <c r="O35" s="27" t="n"/>
      <c r="P35" s="27" t="n"/>
      <c r="Q35" s="27" t="n"/>
      <c r="R35" s="27" t="n"/>
    </row>
    <row r="36">
      <c r="A36" s="27" t="n"/>
      <c r="B36" s="27" t="n"/>
      <c r="C36" s="27" t="n"/>
      <c r="D36" s="34" t="n"/>
      <c r="E36" s="27" t="n"/>
      <c r="F36" s="27" t="n"/>
      <c r="G36" s="28" t="n"/>
      <c r="H36" s="26">
        <f>IF(AND(ISNUMBER(G36),ISNUMBER(D36)),IF(E36="Weeks",G36+7*D36,EDATE(G36,IF(E36="Years",12,1)*D36)),"")</f>
        <v/>
      </c>
      <c r="I36" s="34" t="n"/>
      <c r="J36" s="26">
        <f>IF(ISNUMBER(H36),H36-IF(ISNUMBER(I36),I36,30),"")</f>
        <v/>
      </c>
      <c r="K36" s="35">
        <f>IF(H36="","",IF(ISNUMBER(H36),H36-TODAY(),"Check date"))</f>
        <v/>
      </c>
      <c r="L36" s="32">
        <f>IF(K36="","",IF(ISNUMBER(K36),IF(K36&lt;0,"Overdue",IF(K36&lt;=30,"Due ≤30 days",IF(K36&lt;=90,"Due ≤90 days","OK"))),"Check date"))</f>
        <v/>
      </c>
      <c r="M36" s="27" t="n"/>
      <c r="N36" s="27" t="n"/>
      <c r="O36" s="27" t="n"/>
      <c r="P36" s="27" t="n"/>
      <c r="Q36" s="27" t="n"/>
      <c r="R36" s="27" t="n"/>
    </row>
    <row r="37">
      <c r="A37" s="27" t="n"/>
      <c r="B37" s="27" t="n"/>
      <c r="C37" s="27" t="n"/>
      <c r="D37" s="34" t="n"/>
      <c r="E37" s="27" t="n"/>
      <c r="F37" s="27" t="n"/>
      <c r="G37" s="28" t="n"/>
      <c r="H37" s="26">
        <f>IF(AND(ISNUMBER(G37),ISNUMBER(D37)),IF(E37="Weeks",G37+7*D37,EDATE(G37,IF(E37="Years",12,1)*D37)),"")</f>
        <v/>
      </c>
      <c r="I37" s="34" t="n"/>
      <c r="J37" s="26">
        <f>IF(ISNUMBER(H37),H37-IF(ISNUMBER(I37),I37,30),"")</f>
        <v/>
      </c>
      <c r="K37" s="35">
        <f>IF(H37="","",IF(ISNUMBER(H37),H37-TODAY(),"Check date"))</f>
        <v/>
      </c>
      <c r="L37" s="32">
        <f>IF(K37="","",IF(ISNUMBER(K37),IF(K37&lt;0,"Overdue",IF(K37&lt;=30,"Due ≤30 days",IF(K37&lt;=90,"Due ≤90 days","OK"))),"Check date"))</f>
        <v/>
      </c>
      <c r="M37" s="27" t="n"/>
      <c r="N37" s="27" t="n"/>
      <c r="O37" s="27" t="n"/>
      <c r="P37" s="27" t="n"/>
      <c r="Q37" s="27" t="n"/>
      <c r="R37" s="27" t="n"/>
    </row>
    <row r="38">
      <c r="A38" s="27" t="n"/>
      <c r="B38" s="27" t="n"/>
      <c r="C38" s="27" t="n"/>
      <c r="D38" s="34" t="n"/>
      <c r="E38" s="27" t="n"/>
      <c r="F38" s="27" t="n"/>
      <c r="G38" s="28" t="n"/>
      <c r="H38" s="26">
        <f>IF(AND(ISNUMBER(G38),ISNUMBER(D38)),IF(E38="Weeks",G38+7*D38,EDATE(G38,IF(E38="Years",12,1)*D38)),"")</f>
        <v/>
      </c>
      <c r="I38" s="34" t="n"/>
      <c r="J38" s="26">
        <f>IF(ISNUMBER(H38),H38-IF(ISNUMBER(I38),I38,30),"")</f>
        <v/>
      </c>
      <c r="K38" s="35">
        <f>IF(H38="","",IF(ISNUMBER(H38),H38-TODAY(),"Check date"))</f>
        <v/>
      </c>
      <c r="L38" s="32">
        <f>IF(K38="","",IF(ISNUMBER(K38),IF(K38&lt;0,"Overdue",IF(K38&lt;=30,"Due ≤30 days",IF(K38&lt;=90,"Due ≤90 days","OK"))),"Check date"))</f>
        <v/>
      </c>
      <c r="M38" s="27" t="n"/>
      <c r="N38" s="27" t="n"/>
      <c r="O38" s="27" t="n"/>
      <c r="P38" s="27" t="n"/>
      <c r="Q38" s="27" t="n"/>
      <c r="R38" s="27" t="n"/>
    </row>
    <row r="39">
      <c r="A39" s="27" t="n"/>
      <c r="B39" s="27" t="n"/>
      <c r="C39" s="27" t="n"/>
      <c r="D39" s="34" t="n"/>
      <c r="E39" s="27" t="n"/>
      <c r="F39" s="27" t="n"/>
      <c r="G39" s="28" t="n"/>
      <c r="H39" s="26">
        <f>IF(AND(ISNUMBER(G39),ISNUMBER(D39)),IF(E39="Weeks",G39+7*D39,EDATE(G39,IF(E39="Years",12,1)*D39)),"")</f>
        <v/>
      </c>
      <c r="I39" s="34" t="n"/>
      <c r="J39" s="26">
        <f>IF(ISNUMBER(H39),H39-IF(ISNUMBER(I39),I39,30),"")</f>
        <v/>
      </c>
      <c r="K39" s="35">
        <f>IF(H39="","",IF(ISNUMBER(H39),H39-TODAY(),"Check date"))</f>
        <v/>
      </c>
      <c r="L39" s="32">
        <f>IF(K39="","",IF(ISNUMBER(K39),IF(K39&lt;0,"Overdue",IF(K39&lt;=30,"Due ≤30 days",IF(K39&lt;=90,"Due ≤90 days","OK"))),"Check date"))</f>
        <v/>
      </c>
      <c r="M39" s="27" t="n"/>
      <c r="N39" s="27" t="n"/>
      <c r="O39" s="27" t="n"/>
      <c r="P39" s="27" t="n"/>
      <c r="Q39" s="27" t="n"/>
      <c r="R39" s="27" t="n"/>
    </row>
    <row r="40">
      <c r="A40" s="27" t="n"/>
      <c r="B40" s="27" t="n"/>
      <c r="C40" s="27" t="n"/>
      <c r="D40" s="34" t="n"/>
      <c r="E40" s="27" t="n"/>
      <c r="F40" s="27" t="n"/>
      <c r="G40" s="28" t="n"/>
      <c r="H40" s="26">
        <f>IF(AND(ISNUMBER(G40),ISNUMBER(D40)),IF(E40="Weeks",G40+7*D40,EDATE(G40,IF(E40="Years",12,1)*D40)),"")</f>
        <v/>
      </c>
      <c r="I40" s="34" t="n"/>
      <c r="J40" s="26">
        <f>IF(ISNUMBER(H40),H40-IF(ISNUMBER(I40),I40,30),"")</f>
        <v/>
      </c>
      <c r="K40" s="35">
        <f>IF(H40="","",IF(ISNUMBER(H40),H40-TODAY(),"Check date"))</f>
        <v/>
      </c>
      <c r="L40" s="32">
        <f>IF(K40="","",IF(ISNUMBER(K40),IF(K40&lt;0,"Overdue",IF(K40&lt;=30,"Due ≤30 days",IF(K40&lt;=90,"Due ≤90 days","OK"))),"Check date"))</f>
        <v/>
      </c>
      <c r="M40" s="27" t="n"/>
      <c r="N40" s="27" t="n"/>
      <c r="O40" s="27" t="n"/>
      <c r="P40" s="27" t="n"/>
      <c r="Q40" s="27" t="n"/>
      <c r="R40" s="27" t="n"/>
    </row>
    <row r="41">
      <c r="A41" s="27" t="n"/>
      <c r="B41" s="27" t="n"/>
      <c r="C41" s="27" t="n"/>
      <c r="D41" s="34" t="n"/>
      <c r="E41" s="27" t="n"/>
      <c r="F41" s="27" t="n"/>
      <c r="G41" s="28" t="n"/>
      <c r="H41" s="26">
        <f>IF(AND(ISNUMBER(G41),ISNUMBER(D41)),IF(E41="Weeks",G41+7*D41,EDATE(G41,IF(E41="Years",12,1)*D41)),"")</f>
        <v/>
      </c>
      <c r="I41" s="34" t="n"/>
      <c r="J41" s="26">
        <f>IF(ISNUMBER(H41),H41-IF(ISNUMBER(I41),I41,30),"")</f>
        <v/>
      </c>
      <c r="K41" s="35">
        <f>IF(H41="","",IF(ISNUMBER(H41),H41-TODAY(),"Check date"))</f>
        <v/>
      </c>
      <c r="L41" s="32">
        <f>IF(K41="","",IF(ISNUMBER(K41),IF(K41&lt;0,"Overdue",IF(K41&lt;=30,"Due ≤30 days",IF(K41&lt;=90,"Due ≤90 days","OK"))),"Check date"))</f>
        <v/>
      </c>
      <c r="M41" s="27" t="n"/>
      <c r="N41" s="27" t="n"/>
      <c r="O41" s="27" t="n"/>
      <c r="P41" s="27" t="n"/>
      <c r="Q41" s="27" t="n"/>
      <c r="R41" s="27" t="n"/>
    </row>
    <row r="42">
      <c r="A42" s="27" t="n"/>
      <c r="B42" s="27" t="n"/>
      <c r="C42" s="27" t="n"/>
      <c r="D42" s="34" t="n"/>
      <c r="E42" s="27" t="n"/>
      <c r="F42" s="27" t="n"/>
      <c r="G42" s="28" t="n"/>
      <c r="H42" s="26">
        <f>IF(AND(ISNUMBER(G42),ISNUMBER(D42)),IF(E42="Weeks",G42+7*D42,EDATE(G42,IF(E42="Years",12,1)*D42)),"")</f>
        <v/>
      </c>
      <c r="I42" s="34" t="n"/>
      <c r="J42" s="26">
        <f>IF(ISNUMBER(H42),H42-IF(ISNUMBER(I42),I42,30),"")</f>
        <v/>
      </c>
      <c r="K42" s="35">
        <f>IF(H42="","",IF(ISNUMBER(H42),H42-TODAY(),"Check date"))</f>
        <v/>
      </c>
      <c r="L42" s="32">
        <f>IF(K42="","",IF(ISNUMBER(K42),IF(K42&lt;0,"Overdue",IF(K42&lt;=30,"Due ≤30 days",IF(K42&lt;=90,"Due ≤90 days","OK"))),"Check date"))</f>
        <v/>
      </c>
      <c r="M42" s="27" t="n"/>
      <c r="N42" s="27" t="n"/>
      <c r="O42" s="27" t="n"/>
      <c r="P42" s="27" t="n"/>
      <c r="Q42" s="27" t="n"/>
      <c r="R42" s="27" t="n"/>
    </row>
    <row r="43">
      <c r="A43" s="27" t="n"/>
      <c r="B43" s="27" t="n"/>
      <c r="C43" s="27" t="n"/>
      <c r="D43" s="34" t="n"/>
      <c r="E43" s="27" t="n"/>
      <c r="F43" s="27" t="n"/>
      <c r="G43" s="28" t="n"/>
      <c r="H43" s="26">
        <f>IF(AND(ISNUMBER(G43),ISNUMBER(D43)),IF(E43="Weeks",G43+7*D43,EDATE(G43,IF(E43="Years",12,1)*D43)),"")</f>
        <v/>
      </c>
      <c r="I43" s="34" t="n"/>
      <c r="J43" s="26">
        <f>IF(ISNUMBER(H43),H43-IF(ISNUMBER(I43),I43,30),"")</f>
        <v/>
      </c>
      <c r="K43" s="35">
        <f>IF(H43="","",IF(ISNUMBER(H43),H43-TODAY(),"Check date"))</f>
        <v/>
      </c>
      <c r="L43" s="32">
        <f>IF(K43="","",IF(ISNUMBER(K43),IF(K43&lt;0,"Overdue",IF(K43&lt;=30,"Due ≤30 days",IF(K43&lt;=90,"Due ≤90 days","OK"))),"Check date"))</f>
        <v/>
      </c>
      <c r="M43" s="27" t="n"/>
      <c r="N43" s="27" t="n"/>
      <c r="O43" s="27" t="n"/>
      <c r="P43" s="27" t="n"/>
      <c r="Q43" s="27" t="n"/>
      <c r="R43" s="27" t="n"/>
    </row>
    <row r="44">
      <c r="A44" s="27" t="n"/>
      <c r="B44" s="27" t="n"/>
      <c r="C44" s="27" t="n"/>
      <c r="D44" s="34" t="n"/>
      <c r="E44" s="27" t="n"/>
      <c r="F44" s="27" t="n"/>
      <c r="G44" s="28" t="n"/>
      <c r="H44" s="26">
        <f>IF(AND(ISNUMBER(G44),ISNUMBER(D44)),IF(E44="Weeks",G44+7*D44,EDATE(G44,IF(E44="Years",12,1)*D44)),"")</f>
        <v/>
      </c>
      <c r="I44" s="34" t="n"/>
      <c r="J44" s="26">
        <f>IF(ISNUMBER(H44),H44-IF(ISNUMBER(I44),I44,30),"")</f>
        <v/>
      </c>
      <c r="K44" s="35">
        <f>IF(H44="","",IF(ISNUMBER(H44),H44-TODAY(),"Check date"))</f>
        <v/>
      </c>
      <c r="L44" s="32">
        <f>IF(K44="","",IF(ISNUMBER(K44),IF(K44&lt;0,"Overdue",IF(K44&lt;=30,"Due ≤30 days",IF(K44&lt;=90,"Due ≤90 days","OK"))),"Check date"))</f>
        <v/>
      </c>
      <c r="M44" s="27" t="n"/>
      <c r="N44" s="27" t="n"/>
      <c r="O44" s="27" t="n"/>
      <c r="P44" s="27" t="n"/>
      <c r="Q44" s="27" t="n"/>
      <c r="R44" s="27" t="n"/>
    </row>
    <row r="45">
      <c r="A45" s="27" t="n"/>
      <c r="B45" s="27" t="n"/>
      <c r="C45" s="27" t="n"/>
      <c r="D45" s="34" t="n"/>
      <c r="E45" s="27" t="n"/>
      <c r="F45" s="27" t="n"/>
      <c r="G45" s="28" t="n"/>
      <c r="H45" s="26">
        <f>IF(AND(ISNUMBER(G45),ISNUMBER(D45)),IF(E45="Weeks",G45+7*D45,EDATE(G45,IF(E45="Years",12,1)*D45)),"")</f>
        <v/>
      </c>
      <c r="I45" s="34" t="n"/>
      <c r="J45" s="26">
        <f>IF(ISNUMBER(H45),H45-IF(ISNUMBER(I45),I45,30),"")</f>
        <v/>
      </c>
      <c r="K45" s="35">
        <f>IF(H45="","",IF(ISNUMBER(H45),H45-TODAY(),"Check date"))</f>
        <v/>
      </c>
      <c r="L45" s="32">
        <f>IF(K45="","",IF(ISNUMBER(K45),IF(K45&lt;0,"Overdue",IF(K45&lt;=30,"Due ≤30 days",IF(K45&lt;=90,"Due ≤90 days","OK"))),"Check date"))</f>
        <v/>
      </c>
      <c r="M45" s="27" t="n"/>
      <c r="N45" s="27" t="n"/>
      <c r="O45" s="27" t="n"/>
      <c r="P45" s="27" t="n"/>
      <c r="Q45" s="27" t="n"/>
      <c r="R45" s="27" t="n"/>
    </row>
    <row r="46">
      <c r="A46" s="27" t="n"/>
      <c r="B46" s="27" t="n"/>
      <c r="C46" s="27" t="n"/>
      <c r="D46" s="34" t="n"/>
      <c r="E46" s="27" t="n"/>
      <c r="F46" s="27" t="n"/>
      <c r="G46" s="28" t="n"/>
      <c r="H46" s="26">
        <f>IF(AND(ISNUMBER(G46),ISNUMBER(D46)),IF(E46="Weeks",G46+7*D46,EDATE(G46,IF(E46="Years",12,1)*D46)),"")</f>
        <v/>
      </c>
      <c r="I46" s="34" t="n"/>
      <c r="J46" s="26">
        <f>IF(ISNUMBER(H46),H46-IF(ISNUMBER(I46),I46,30),"")</f>
        <v/>
      </c>
      <c r="K46" s="35">
        <f>IF(H46="","",IF(ISNUMBER(H46),H46-TODAY(),"Check date"))</f>
        <v/>
      </c>
      <c r="L46" s="32">
        <f>IF(K46="","",IF(ISNUMBER(K46),IF(K46&lt;0,"Overdue",IF(K46&lt;=30,"Due ≤30 days",IF(K46&lt;=90,"Due ≤90 days","OK"))),"Check date"))</f>
        <v/>
      </c>
      <c r="M46" s="27" t="n"/>
      <c r="N46" s="27" t="n"/>
      <c r="O46" s="27" t="n"/>
      <c r="P46" s="27" t="n"/>
      <c r="Q46" s="27" t="n"/>
      <c r="R46" s="27" t="n"/>
    </row>
    <row r="47">
      <c r="A47" s="27" t="n"/>
      <c r="B47" s="27" t="n"/>
      <c r="C47" s="27" t="n"/>
      <c r="D47" s="34" t="n"/>
      <c r="E47" s="27" t="n"/>
      <c r="F47" s="27" t="n"/>
      <c r="G47" s="28" t="n"/>
      <c r="H47" s="26">
        <f>IF(AND(ISNUMBER(G47),ISNUMBER(D47)),IF(E47="Weeks",G47+7*D47,EDATE(G47,IF(E47="Years",12,1)*D47)),"")</f>
        <v/>
      </c>
      <c r="I47" s="34" t="n"/>
      <c r="J47" s="26">
        <f>IF(ISNUMBER(H47),H47-IF(ISNUMBER(I47),I47,30),"")</f>
        <v/>
      </c>
      <c r="K47" s="35">
        <f>IF(H47="","",IF(ISNUMBER(H47),H47-TODAY(),"Check date"))</f>
        <v/>
      </c>
      <c r="L47" s="32">
        <f>IF(K47="","",IF(ISNUMBER(K47),IF(K47&lt;0,"Overdue",IF(K47&lt;=30,"Due ≤30 days",IF(K47&lt;=90,"Due ≤90 days","OK"))),"Check date"))</f>
        <v/>
      </c>
      <c r="M47" s="27" t="n"/>
      <c r="N47" s="27" t="n"/>
      <c r="O47" s="27" t="n"/>
      <c r="P47" s="27" t="n"/>
      <c r="Q47" s="27" t="n"/>
      <c r="R47" s="27" t="n"/>
    </row>
    <row r="48">
      <c r="A48" s="27" t="n"/>
      <c r="B48" s="27" t="n"/>
      <c r="C48" s="27" t="n"/>
      <c r="D48" s="34" t="n"/>
      <c r="E48" s="27" t="n"/>
      <c r="F48" s="27" t="n"/>
      <c r="G48" s="28" t="n"/>
      <c r="H48" s="26">
        <f>IF(AND(ISNUMBER(G48),ISNUMBER(D48)),IF(E48="Weeks",G48+7*D48,EDATE(G48,IF(E48="Years",12,1)*D48)),"")</f>
        <v/>
      </c>
      <c r="I48" s="34" t="n"/>
      <c r="J48" s="26">
        <f>IF(ISNUMBER(H48),H48-IF(ISNUMBER(I48),I48,30),"")</f>
        <v/>
      </c>
      <c r="K48" s="35">
        <f>IF(H48="","",IF(ISNUMBER(H48),H48-TODAY(),"Check date"))</f>
        <v/>
      </c>
      <c r="L48" s="32">
        <f>IF(K48="","",IF(ISNUMBER(K48),IF(K48&lt;0,"Overdue",IF(K48&lt;=30,"Due ≤30 days",IF(K48&lt;=90,"Due ≤90 days","OK"))),"Check date"))</f>
        <v/>
      </c>
      <c r="M48" s="27" t="n"/>
      <c r="N48" s="27" t="n"/>
      <c r="O48" s="27" t="n"/>
      <c r="P48" s="27" t="n"/>
      <c r="Q48" s="27" t="n"/>
      <c r="R48" s="27" t="n"/>
    </row>
    <row r="49">
      <c r="A49" s="27" t="n"/>
      <c r="B49" s="27" t="n"/>
      <c r="C49" s="27" t="n"/>
      <c r="D49" s="34" t="n"/>
      <c r="E49" s="27" t="n"/>
      <c r="F49" s="27" t="n"/>
      <c r="G49" s="28" t="n"/>
      <c r="H49" s="26">
        <f>IF(AND(ISNUMBER(G49),ISNUMBER(D49)),IF(E49="Weeks",G49+7*D49,EDATE(G49,IF(E49="Years",12,1)*D49)),"")</f>
        <v/>
      </c>
      <c r="I49" s="34" t="n"/>
      <c r="J49" s="26">
        <f>IF(ISNUMBER(H49),H49-IF(ISNUMBER(I49),I49,30),"")</f>
        <v/>
      </c>
      <c r="K49" s="35">
        <f>IF(H49="","",IF(ISNUMBER(H49),H49-TODAY(),"Check date"))</f>
        <v/>
      </c>
      <c r="L49" s="32">
        <f>IF(K49="","",IF(ISNUMBER(K49),IF(K49&lt;0,"Overdue",IF(K49&lt;=30,"Due ≤30 days",IF(K49&lt;=90,"Due ≤90 days","OK"))),"Check date"))</f>
        <v/>
      </c>
      <c r="M49" s="27" t="n"/>
      <c r="N49" s="27" t="n"/>
      <c r="O49" s="27" t="n"/>
      <c r="P49" s="27" t="n"/>
      <c r="Q49" s="27" t="n"/>
      <c r="R49" s="27" t="n"/>
    </row>
    <row r="50">
      <c r="A50" s="27" t="n"/>
      <c r="B50" s="27" t="n"/>
      <c r="C50" s="27" t="n"/>
      <c r="D50" s="34" t="n"/>
      <c r="E50" s="27" t="n"/>
      <c r="F50" s="27" t="n"/>
      <c r="G50" s="28" t="n"/>
      <c r="H50" s="26">
        <f>IF(AND(ISNUMBER(G50),ISNUMBER(D50)),IF(E50="Weeks",G50+7*D50,EDATE(G50,IF(E50="Years",12,1)*D50)),"")</f>
        <v/>
      </c>
      <c r="I50" s="34" t="n"/>
      <c r="J50" s="26">
        <f>IF(ISNUMBER(H50),H50-IF(ISNUMBER(I50),I50,30),"")</f>
        <v/>
      </c>
      <c r="K50" s="35">
        <f>IF(H50="","",IF(ISNUMBER(H50),H50-TODAY(),"Check date"))</f>
        <v/>
      </c>
      <c r="L50" s="32">
        <f>IF(K50="","",IF(ISNUMBER(K50),IF(K50&lt;0,"Overdue",IF(K50&lt;=30,"Due ≤30 days",IF(K50&lt;=90,"Due ≤90 days","OK"))),"Check date"))</f>
        <v/>
      </c>
      <c r="M50" s="27" t="n"/>
      <c r="N50" s="27" t="n"/>
      <c r="O50" s="27" t="n"/>
      <c r="P50" s="27" t="n"/>
      <c r="Q50" s="27" t="n"/>
      <c r="R50" s="27" t="n"/>
    </row>
    <row r="51">
      <c r="A51" s="27" t="n"/>
      <c r="B51" s="27" t="n"/>
      <c r="C51" s="27" t="n"/>
      <c r="D51" s="34" t="n"/>
      <c r="E51" s="27" t="n"/>
      <c r="F51" s="27" t="n"/>
      <c r="G51" s="28" t="n"/>
      <c r="H51" s="26">
        <f>IF(AND(ISNUMBER(G51),ISNUMBER(D51)),IF(E51="Weeks",G51+7*D51,EDATE(G51,IF(E51="Years",12,1)*D51)),"")</f>
        <v/>
      </c>
      <c r="I51" s="34" t="n"/>
      <c r="J51" s="26">
        <f>IF(ISNUMBER(H51),H51-IF(ISNUMBER(I51),I51,30),"")</f>
        <v/>
      </c>
      <c r="K51" s="35">
        <f>IF(H51="","",IF(ISNUMBER(H51),H51-TODAY(),"Check date"))</f>
        <v/>
      </c>
      <c r="L51" s="32">
        <f>IF(K51="","",IF(ISNUMBER(K51),IF(K51&lt;0,"Overdue",IF(K51&lt;=30,"Due ≤30 days",IF(K51&lt;=90,"Due ≤90 days","OK"))),"Check date"))</f>
        <v/>
      </c>
      <c r="M51" s="27" t="n"/>
      <c r="N51" s="27" t="n"/>
      <c r="O51" s="27" t="n"/>
      <c r="P51" s="27" t="n"/>
      <c r="Q51" s="27" t="n"/>
      <c r="R51" s="27" t="n"/>
    </row>
    <row r="52">
      <c r="A52" s="27" t="n"/>
      <c r="B52" s="27" t="n"/>
      <c r="C52" s="27" t="n"/>
      <c r="D52" s="34" t="n"/>
      <c r="E52" s="27" t="n"/>
      <c r="F52" s="27" t="n"/>
      <c r="G52" s="28" t="n"/>
      <c r="H52" s="26">
        <f>IF(AND(ISNUMBER(G52),ISNUMBER(D52)),IF(E52="Weeks",G52+7*D52,EDATE(G52,IF(E52="Years",12,1)*D52)),"")</f>
        <v/>
      </c>
      <c r="I52" s="34" t="n"/>
      <c r="J52" s="26">
        <f>IF(ISNUMBER(H52),H52-IF(ISNUMBER(I52),I52,30),"")</f>
        <v/>
      </c>
      <c r="K52" s="35">
        <f>IF(H52="","",IF(ISNUMBER(H52),H52-TODAY(),"Check date"))</f>
        <v/>
      </c>
      <c r="L52" s="32">
        <f>IF(K52="","",IF(ISNUMBER(K52),IF(K52&lt;0,"Overdue",IF(K52&lt;=30,"Due ≤30 days",IF(K52&lt;=90,"Due ≤90 days","OK"))),"Check date"))</f>
        <v/>
      </c>
      <c r="M52" s="27" t="n"/>
      <c r="N52" s="27" t="n"/>
      <c r="O52" s="27" t="n"/>
      <c r="P52" s="27" t="n"/>
      <c r="Q52" s="27" t="n"/>
      <c r="R52" s="27" t="n"/>
    </row>
    <row r="53">
      <c r="A53" s="27" t="n"/>
      <c r="B53" s="27" t="n"/>
      <c r="C53" s="27" t="n"/>
      <c r="D53" s="34" t="n"/>
      <c r="E53" s="27" t="n"/>
      <c r="F53" s="27" t="n"/>
      <c r="G53" s="28" t="n"/>
      <c r="H53" s="26">
        <f>IF(AND(ISNUMBER(G53),ISNUMBER(D53)),IF(E53="Weeks",G53+7*D53,EDATE(G53,IF(E53="Years",12,1)*D53)),"")</f>
        <v/>
      </c>
      <c r="I53" s="34" t="n"/>
      <c r="J53" s="26">
        <f>IF(ISNUMBER(H53),H53-IF(ISNUMBER(I53),I53,30),"")</f>
        <v/>
      </c>
      <c r="K53" s="35">
        <f>IF(H53="","",IF(ISNUMBER(H53),H53-TODAY(),"Check date"))</f>
        <v/>
      </c>
      <c r="L53" s="32">
        <f>IF(K53="","",IF(ISNUMBER(K53),IF(K53&lt;0,"Overdue",IF(K53&lt;=30,"Due ≤30 days",IF(K53&lt;=90,"Due ≤90 days","OK"))),"Check date"))</f>
        <v/>
      </c>
      <c r="M53" s="27" t="n"/>
      <c r="N53" s="27" t="n"/>
      <c r="O53" s="27" t="n"/>
      <c r="P53" s="27" t="n"/>
      <c r="Q53" s="27" t="n"/>
      <c r="R53" s="27" t="n"/>
    </row>
    <row r="54">
      <c r="A54" s="27" t="n"/>
      <c r="B54" s="27" t="n"/>
      <c r="C54" s="27" t="n"/>
      <c r="D54" s="34" t="n"/>
      <c r="E54" s="27" t="n"/>
      <c r="F54" s="27" t="n"/>
      <c r="G54" s="28" t="n"/>
      <c r="H54" s="26">
        <f>IF(AND(ISNUMBER(G54),ISNUMBER(D54)),IF(E54="Weeks",G54+7*D54,EDATE(G54,IF(E54="Years",12,1)*D54)),"")</f>
        <v/>
      </c>
      <c r="I54" s="34" t="n"/>
      <c r="J54" s="26">
        <f>IF(ISNUMBER(H54),H54-IF(ISNUMBER(I54),I54,30),"")</f>
        <v/>
      </c>
      <c r="K54" s="35">
        <f>IF(H54="","",IF(ISNUMBER(H54),H54-TODAY(),"Check date"))</f>
        <v/>
      </c>
      <c r="L54" s="32">
        <f>IF(K54="","",IF(ISNUMBER(K54),IF(K54&lt;0,"Overdue",IF(K54&lt;=30,"Due ≤30 days",IF(K54&lt;=90,"Due ≤90 days","OK"))),"Check date"))</f>
        <v/>
      </c>
      <c r="M54" s="27" t="n"/>
      <c r="N54" s="27" t="n"/>
      <c r="O54" s="27" t="n"/>
      <c r="P54" s="27" t="n"/>
      <c r="Q54" s="27" t="n"/>
      <c r="R54" s="27" t="n"/>
    </row>
    <row r="55">
      <c r="A55" s="27" t="n"/>
      <c r="B55" s="27" t="n"/>
      <c r="C55" s="27" t="n"/>
      <c r="D55" s="34" t="n"/>
      <c r="E55" s="27" t="n"/>
      <c r="F55" s="27" t="n"/>
      <c r="G55" s="28" t="n"/>
      <c r="H55" s="26">
        <f>IF(AND(ISNUMBER(G55),ISNUMBER(D55)),IF(E55="Weeks",G55+7*D55,EDATE(G55,IF(E55="Years",12,1)*D55)),"")</f>
        <v/>
      </c>
      <c r="I55" s="34" t="n"/>
      <c r="J55" s="26">
        <f>IF(ISNUMBER(H55),H55-IF(ISNUMBER(I55),I55,30),"")</f>
        <v/>
      </c>
      <c r="K55" s="35">
        <f>IF(H55="","",IF(ISNUMBER(H55),H55-TODAY(),"Check date"))</f>
        <v/>
      </c>
      <c r="L55" s="32">
        <f>IF(K55="","",IF(ISNUMBER(K55),IF(K55&lt;0,"Overdue",IF(K55&lt;=30,"Due ≤30 days",IF(K55&lt;=90,"Due ≤90 days","OK"))),"Check date"))</f>
        <v/>
      </c>
      <c r="M55" s="27" t="n"/>
      <c r="N55" s="27" t="n"/>
      <c r="O55" s="27" t="n"/>
      <c r="P55" s="27" t="n"/>
      <c r="Q55" s="27" t="n"/>
      <c r="R55" s="27" t="n"/>
    </row>
    <row r="56">
      <c r="A56" s="27" t="n"/>
      <c r="B56" s="27" t="n"/>
      <c r="C56" s="27" t="n"/>
      <c r="D56" s="34" t="n"/>
      <c r="E56" s="27" t="n"/>
      <c r="F56" s="27" t="n"/>
      <c r="G56" s="28" t="n"/>
      <c r="H56" s="26">
        <f>IF(AND(ISNUMBER(G56),ISNUMBER(D56)),IF(E56="Weeks",G56+7*D56,EDATE(G56,IF(E56="Years",12,1)*D56)),"")</f>
        <v/>
      </c>
      <c r="I56" s="34" t="n"/>
      <c r="J56" s="26">
        <f>IF(ISNUMBER(H56),H56-IF(ISNUMBER(I56),I56,30),"")</f>
        <v/>
      </c>
      <c r="K56" s="35">
        <f>IF(H56="","",IF(ISNUMBER(H56),H56-TODAY(),"Check date"))</f>
        <v/>
      </c>
      <c r="L56" s="32">
        <f>IF(K56="","",IF(ISNUMBER(K56),IF(K56&lt;0,"Overdue",IF(K56&lt;=30,"Due ≤30 days",IF(K56&lt;=90,"Due ≤90 days","OK"))),"Check date"))</f>
        <v/>
      </c>
      <c r="M56" s="27" t="n"/>
      <c r="N56" s="27" t="n"/>
      <c r="O56" s="27" t="n"/>
      <c r="P56" s="27" t="n"/>
      <c r="Q56" s="27" t="n"/>
      <c r="R56" s="27" t="n"/>
    </row>
    <row r="57">
      <c r="A57" s="27" t="n"/>
      <c r="B57" s="27" t="n"/>
      <c r="C57" s="27" t="n"/>
      <c r="D57" s="34" t="n"/>
      <c r="E57" s="27" t="n"/>
      <c r="F57" s="27" t="n"/>
      <c r="G57" s="28" t="n"/>
      <c r="H57" s="26">
        <f>IF(AND(ISNUMBER(G57),ISNUMBER(D57)),IF(E57="Weeks",G57+7*D57,EDATE(G57,IF(E57="Years",12,1)*D57)),"")</f>
        <v/>
      </c>
      <c r="I57" s="34" t="n"/>
      <c r="J57" s="26">
        <f>IF(ISNUMBER(H57),H57-IF(ISNUMBER(I57),I57,30),"")</f>
        <v/>
      </c>
      <c r="K57" s="35">
        <f>IF(H57="","",IF(ISNUMBER(H57),H57-TODAY(),"Check date"))</f>
        <v/>
      </c>
      <c r="L57" s="32">
        <f>IF(K57="","",IF(ISNUMBER(K57),IF(K57&lt;0,"Overdue",IF(K57&lt;=30,"Due ≤30 days",IF(K57&lt;=90,"Due ≤90 days","OK"))),"Check date"))</f>
        <v/>
      </c>
      <c r="M57" s="27" t="n"/>
      <c r="N57" s="27" t="n"/>
      <c r="O57" s="27" t="n"/>
      <c r="P57" s="27" t="n"/>
      <c r="Q57" s="27" t="n"/>
      <c r="R57" s="27" t="n"/>
    </row>
    <row r="58">
      <c r="A58" s="27" t="n"/>
      <c r="B58" s="27" t="n"/>
      <c r="C58" s="27" t="n"/>
      <c r="D58" s="34" t="n"/>
      <c r="E58" s="27" t="n"/>
      <c r="F58" s="27" t="n"/>
      <c r="G58" s="28" t="n"/>
      <c r="H58" s="26">
        <f>IF(AND(ISNUMBER(G58),ISNUMBER(D58)),IF(E58="Weeks",G58+7*D58,EDATE(G58,IF(E58="Years",12,1)*D58)),"")</f>
        <v/>
      </c>
      <c r="I58" s="34" t="n"/>
      <c r="J58" s="26">
        <f>IF(ISNUMBER(H58),H58-IF(ISNUMBER(I58),I58,30),"")</f>
        <v/>
      </c>
      <c r="K58" s="35">
        <f>IF(H58="","",IF(ISNUMBER(H58),H58-TODAY(),"Check date"))</f>
        <v/>
      </c>
      <c r="L58" s="32">
        <f>IF(K58="","",IF(ISNUMBER(K58),IF(K58&lt;0,"Overdue",IF(K58&lt;=30,"Due ≤30 days",IF(K58&lt;=90,"Due ≤90 days","OK"))),"Check date"))</f>
        <v/>
      </c>
      <c r="M58" s="27" t="n"/>
      <c r="N58" s="27" t="n"/>
      <c r="O58" s="27" t="n"/>
      <c r="P58" s="27" t="n"/>
      <c r="Q58" s="27" t="n"/>
      <c r="R58" s="27" t="n"/>
    </row>
    <row r="59">
      <c r="A59" s="27" t="n"/>
      <c r="B59" s="27" t="n"/>
      <c r="C59" s="27" t="n"/>
      <c r="D59" s="34" t="n"/>
      <c r="E59" s="27" t="n"/>
      <c r="F59" s="27" t="n"/>
      <c r="G59" s="28" t="n"/>
      <c r="H59" s="26">
        <f>IF(AND(ISNUMBER(G59),ISNUMBER(D59)),IF(E59="Weeks",G59+7*D59,EDATE(G59,IF(E59="Years",12,1)*D59)),"")</f>
        <v/>
      </c>
      <c r="I59" s="34" t="n"/>
      <c r="J59" s="26">
        <f>IF(ISNUMBER(H59),H59-IF(ISNUMBER(I59),I59,30),"")</f>
        <v/>
      </c>
      <c r="K59" s="35">
        <f>IF(H59="","",IF(ISNUMBER(H59),H59-TODAY(),"Check date"))</f>
        <v/>
      </c>
      <c r="L59" s="32">
        <f>IF(K59="","",IF(ISNUMBER(K59),IF(K59&lt;0,"Overdue",IF(K59&lt;=30,"Due ≤30 days",IF(K59&lt;=90,"Due ≤90 days","OK"))),"Check date"))</f>
        <v/>
      </c>
      <c r="M59" s="27" t="n"/>
      <c r="N59" s="27" t="n"/>
      <c r="O59" s="27" t="n"/>
      <c r="P59" s="27" t="n"/>
      <c r="Q59" s="27" t="n"/>
      <c r="R59" s="27" t="n"/>
    </row>
    <row r="60">
      <c r="A60" s="27" t="n"/>
      <c r="B60" s="27" t="n"/>
      <c r="C60" s="27" t="n"/>
      <c r="D60" s="34" t="n"/>
      <c r="E60" s="27" t="n"/>
      <c r="F60" s="27" t="n"/>
      <c r="G60" s="28" t="n"/>
      <c r="H60" s="26">
        <f>IF(AND(ISNUMBER(G60),ISNUMBER(D60)),IF(E60="Weeks",G60+7*D60,EDATE(G60,IF(E60="Years",12,1)*D60)),"")</f>
        <v/>
      </c>
      <c r="I60" s="34" t="n"/>
      <c r="J60" s="26">
        <f>IF(ISNUMBER(H60),H60-IF(ISNUMBER(I60),I60,30),"")</f>
        <v/>
      </c>
      <c r="K60" s="35">
        <f>IF(H60="","",IF(ISNUMBER(H60),H60-TODAY(),"Check date"))</f>
        <v/>
      </c>
      <c r="L60" s="32">
        <f>IF(K60="","",IF(ISNUMBER(K60),IF(K60&lt;0,"Overdue",IF(K60&lt;=30,"Due ≤30 days",IF(K60&lt;=90,"Due ≤90 days","OK"))),"Check date"))</f>
        <v/>
      </c>
      <c r="M60" s="27" t="n"/>
      <c r="N60" s="27" t="n"/>
      <c r="O60" s="27" t="n"/>
      <c r="P60" s="27" t="n"/>
      <c r="Q60" s="27" t="n"/>
      <c r="R60" s="27" t="n"/>
    </row>
    <row r="61">
      <c r="A61" s="27" t="n"/>
      <c r="B61" s="27" t="n"/>
      <c r="C61" s="27" t="n"/>
      <c r="D61" s="34" t="n"/>
      <c r="E61" s="27" t="n"/>
      <c r="F61" s="27" t="n"/>
      <c r="G61" s="28" t="n"/>
      <c r="H61" s="26">
        <f>IF(AND(ISNUMBER(G61),ISNUMBER(D61)),IF(E61="Weeks",G61+7*D61,EDATE(G61,IF(E61="Years",12,1)*D61)),"")</f>
        <v/>
      </c>
      <c r="I61" s="34" t="n"/>
      <c r="J61" s="26">
        <f>IF(ISNUMBER(H61),H61-IF(ISNUMBER(I61),I61,30),"")</f>
        <v/>
      </c>
      <c r="K61" s="35">
        <f>IF(H61="","",IF(ISNUMBER(H61),H61-TODAY(),"Check date"))</f>
        <v/>
      </c>
      <c r="L61" s="32">
        <f>IF(K61="","",IF(ISNUMBER(K61),IF(K61&lt;0,"Overdue",IF(K61&lt;=30,"Due ≤30 days",IF(K61&lt;=90,"Due ≤90 days","OK"))),"Check date"))</f>
        <v/>
      </c>
      <c r="M61" s="27" t="n"/>
      <c r="N61" s="27" t="n"/>
      <c r="O61" s="27" t="n"/>
      <c r="P61" s="27" t="n"/>
      <c r="Q61" s="27" t="n"/>
      <c r="R61" s="27" t="n"/>
    </row>
    <row r="62">
      <c r="A62" s="27" t="n"/>
      <c r="B62" s="27" t="n"/>
      <c r="C62" s="27" t="n"/>
      <c r="D62" s="34" t="n"/>
      <c r="E62" s="27" t="n"/>
      <c r="F62" s="27" t="n"/>
      <c r="G62" s="28" t="n"/>
      <c r="H62" s="26">
        <f>IF(AND(ISNUMBER(G62),ISNUMBER(D62)),IF(E62="Weeks",G62+7*D62,EDATE(G62,IF(E62="Years",12,1)*D62)),"")</f>
        <v/>
      </c>
      <c r="I62" s="34" t="n"/>
      <c r="J62" s="26">
        <f>IF(ISNUMBER(H62),H62-IF(ISNUMBER(I62),I62,30),"")</f>
        <v/>
      </c>
      <c r="K62" s="35">
        <f>IF(H62="","",IF(ISNUMBER(H62),H62-TODAY(),"Check date"))</f>
        <v/>
      </c>
      <c r="L62" s="32">
        <f>IF(K62="","",IF(ISNUMBER(K62),IF(K62&lt;0,"Overdue",IF(K62&lt;=30,"Due ≤30 days",IF(K62&lt;=90,"Due ≤90 days","OK"))),"Check date"))</f>
        <v/>
      </c>
      <c r="M62" s="27" t="n"/>
      <c r="N62" s="27" t="n"/>
      <c r="O62" s="27" t="n"/>
      <c r="P62" s="27" t="n"/>
      <c r="Q62" s="27" t="n"/>
      <c r="R62" s="27" t="n"/>
    </row>
    <row r="63">
      <c r="A63" s="27" t="n"/>
      <c r="B63" s="27" t="n"/>
      <c r="C63" s="27" t="n"/>
      <c r="D63" s="34" t="n"/>
      <c r="E63" s="27" t="n"/>
      <c r="F63" s="27" t="n"/>
      <c r="G63" s="28" t="n"/>
      <c r="H63" s="26">
        <f>IF(AND(ISNUMBER(G63),ISNUMBER(D63)),IF(E63="Weeks",G63+7*D63,EDATE(G63,IF(E63="Years",12,1)*D63)),"")</f>
        <v/>
      </c>
      <c r="I63" s="34" t="n"/>
      <c r="J63" s="26">
        <f>IF(ISNUMBER(H63),H63-IF(ISNUMBER(I63),I63,30),"")</f>
        <v/>
      </c>
      <c r="K63" s="35">
        <f>IF(H63="","",IF(ISNUMBER(H63),H63-TODAY(),"Check date"))</f>
        <v/>
      </c>
      <c r="L63" s="32">
        <f>IF(K63="","",IF(ISNUMBER(K63),IF(K63&lt;0,"Overdue",IF(K63&lt;=30,"Due ≤30 days",IF(K63&lt;=90,"Due ≤90 days","OK"))),"Check date"))</f>
        <v/>
      </c>
      <c r="M63" s="27" t="n"/>
      <c r="N63" s="27" t="n"/>
      <c r="O63" s="27" t="n"/>
      <c r="P63" s="27" t="n"/>
      <c r="Q63" s="27" t="n"/>
      <c r="R63" s="27" t="n"/>
    </row>
    <row r="64">
      <c r="A64" s="27" t="n"/>
      <c r="B64" s="27" t="n"/>
      <c r="C64" s="27" t="n"/>
      <c r="D64" s="34" t="n"/>
      <c r="E64" s="27" t="n"/>
      <c r="F64" s="27" t="n"/>
      <c r="G64" s="28" t="n"/>
      <c r="H64" s="26">
        <f>IF(AND(ISNUMBER(G64),ISNUMBER(D64)),IF(E64="Weeks",G64+7*D64,EDATE(G64,IF(E64="Years",12,1)*D64)),"")</f>
        <v/>
      </c>
      <c r="I64" s="34" t="n"/>
      <c r="J64" s="26">
        <f>IF(ISNUMBER(H64),H64-IF(ISNUMBER(I64),I64,30),"")</f>
        <v/>
      </c>
      <c r="K64" s="35">
        <f>IF(H64="","",IF(ISNUMBER(H64),H64-TODAY(),"Check date"))</f>
        <v/>
      </c>
      <c r="L64" s="32">
        <f>IF(K64="","",IF(ISNUMBER(K64),IF(K64&lt;0,"Overdue",IF(K64&lt;=30,"Due ≤30 days",IF(K64&lt;=90,"Due ≤90 days","OK"))),"Check date"))</f>
        <v/>
      </c>
      <c r="M64" s="27" t="n"/>
      <c r="N64" s="27" t="n"/>
      <c r="O64" s="27" t="n"/>
      <c r="P64" s="27" t="n"/>
      <c r="Q64" s="27" t="n"/>
      <c r="R64" s="27" t="n"/>
    </row>
    <row r="65">
      <c r="A65" s="27" t="n"/>
      <c r="B65" s="27" t="n"/>
      <c r="C65" s="27" t="n"/>
      <c r="D65" s="34" t="n"/>
      <c r="E65" s="27" t="n"/>
      <c r="F65" s="27" t="n"/>
      <c r="G65" s="28" t="n"/>
      <c r="H65" s="26">
        <f>IF(AND(ISNUMBER(G65),ISNUMBER(D65)),IF(E65="Weeks",G65+7*D65,EDATE(G65,IF(E65="Years",12,1)*D65)),"")</f>
        <v/>
      </c>
      <c r="I65" s="34" t="n"/>
      <c r="J65" s="26">
        <f>IF(ISNUMBER(H65),H65-IF(ISNUMBER(I65),I65,30),"")</f>
        <v/>
      </c>
      <c r="K65" s="35">
        <f>IF(H65="","",IF(ISNUMBER(H65),H65-TODAY(),"Check date"))</f>
        <v/>
      </c>
      <c r="L65" s="32">
        <f>IF(K65="","",IF(ISNUMBER(K65),IF(K65&lt;0,"Overdue",IF(K65&lt;=30,"Due ≤30 days",IF(K65&lt;=90,"Due ≤90 days","OK"))),"Check date"))</f>
        <v/>
      </c>
      <c r="M65" s="27" t="n"/>
      <c r="N65" s="27" t="n"/>
      <c r="O65" s="27" t="n"/>
      <c r="P65" s="27" t="n"/>
      <c r="Q65" s="27" t="n"/>
      <c r="R65" s="27" t="n"/>
    </row>
    <row r="66">
      <c r="A66" s="27" t="n"/>
      <c r="B66" s="27" t="n"/>
      <c r="C66" s="27" t="n"/>
      <c r="D66" s="34" t="n"/>
      <c r="E66" s="27" t="n"/>
      <c r="F66" s="27" t="n"/>
      <c r="G66" s="28" t="n"/>
      <c r="H66" s="26">
        <f>IF(AND(ISNUMBER(G66),ISNUMBER(D66)),IF(E66="Weeks",G66+7*D66,EDATE(G66,IF(E66="Years",12,1)*D66)),"")</f>
        <v/>
      </c>
      <c r="I66" s="34" t="n"/>
      <c r="J66" s="26">
        <f>IF(ISNUMBER(H66),H66-IF(ISNUMBER(I66),I66,30),"")</f>
        <v/>
      </c>
      <c r="K66" s="35">
        <f>IF(H66="","",IF(ISNUMBER(H66),H66-TODAY(),"Check date"))</f>
        <v/>
      </c>
      <c r="L66" s="32">
        <f>IF(K66="","",IF(ISNUMBER(K66),IF(K66&lt;0,"Overdue",IF(K66&lt;=30,"Due ≤30 days",IF(K66&lt;=90,"Due ≤90 days","OK"))),"Check date"))</f>
        <v/>
      </c>
      <c r="M66" s="27" t="n"/>
      <c r="N66" s="27" t="n"/>
      <c r="O66" s="27" t="n"/>
      <c r="P66" s="27" t="n"/>
      <c r="Q66" s="27" t="n"/>
      <c r="R66" s="27" t="n"/>
    </row>
    <row r="67">
      <c r="A67" s="27" t="n"/>
      <c r="B67" s="27" t="n"/>
      <c r="C67" s="27" t="n"/>
      <c r="D67" s="34" t="n"/>
      <c r="E67" s="27" t="n"/>
      <c r="F67" s="27" t="n"/>
      <c r="G67" s="28" t="n"/>
      <c r="H67" s="26">
        <f>IF(AND(ISNUMBER(G67),ISNUMBER(D67)),IF(E67="Weeks",G67+7*D67,EDATE(G67,IF(E67="Years",12,1)*D67)),"")</f>
        <v/>
      </c>
      <c r="I67" s="34" t="n"/>
      <c r="J67" s="26">
        <f>IF(ISNUMBER(H67),H67-IF(ISNUMBER(I67),I67,30),"")</f>
        <v/>
      </c>
      <c r="K67" s="35">
        <f>IF(H67="","",IF(ISNUMBER(H67),H67-TODAY(),"Check date"))</f>
        <v/>
      </c>
      <c r="L67" s="32">
        <f>IF(K67="","",IF(ISNUMBER(K67),IF(K67&lt;0,"Overdue",IF(K67&lt;=30,"Due ≤30 days",IF(K67&lt;=90,"Due ≤90 days","OK"))),"Check date"))</f>
        <v/>
      </c>
      <c r="M67" s="27" t="n"/>
      <c r="N67" s="27" t="n"/>
      <c r="O67" s="27" t="n"/>
      <c r="P67" s="27" t="n"/>
      <c r="Q67" s="27" t="n"/>
      <c r="R67" s="27" t="n"/>
    </row>
    <row r="68">
      <c r="A68" s="27" t="n"/>
      <c r="B68" s="27" t="n"/>
      <c r="C68" s="27" t="n"/>
      <c r="D68" s="34" t="n"/>
      <c r="E68" s="27" t="n"/>
      <c r="F68" s="27" t="n"/>
      <c r="G68" s="28" t="n"/>
      <c r="H68" s="26">
        <f>IF(AND(ISNUMBER(G68),ISNUMBER(D68)),IF(E68="Weeks",G68+7*D68,EDATE(G68,IF(E68="Years",12,1)*D68)),"")</f>
        <v/>
      </c>
      <c r="I68" s="34" t="n"/>
      <c r="J68" s="26">
        <f>IF(ISNUMBER(H68),H68-IF(ISNUMBER(I68),I68,30),"")</f>
        <v/>
      </c>
      <c r="K68" s="35">
        <f>IF(H68="","",IF(ISNUMBER(H68),H68-TODAY(),"Check date"))</f>
        <v/>
      </c>
      <c r="L68" s="32">
        <f>IF(K68="","",IF(ISNUMBER(K68),IF(K68&lt;0,"Overdue",IF(K68&lt;=30,"Due ≤30 days",IF(K68&lt;=90,"Due ≤90 days","OK"))),"Check date"))</f>
        <v/>
      </c>
      <c r="M68" s="27" t="n"/>
      <c r="N68" s="27" t="n"/>
      <c r="O68" s="27" t="n"/>
      <c r="P68" s="27" t="n"/>
      <c r="Q68" s="27" t="n"/>
      <c r="R68" s="27" t="n"/>
    </row>
    <row r="69">
      <c r="A69" s="27" t="n"/>
      <c r="B69" s="27" t="n"/>
      <c r="C69" s="27" t="n"/>
      <c r="D69" s="34" t="n"/>
      <c r="E69" s="27" t="n"/>
      <c r="F69" s="27" t="n"/>
      <c r="G69" s="28" t="n"/>
      <c r="H69" s="26">
        <f>IF(AND(ISNUMBER(G69),ISNUMBER(D69)),IF(E69="Weeks",G69+7*D69,EDATE(G69,IF(E69="Years",12,1)*D69)),"")</f>
        <v/>
      </c>
      <c r="I69" s="34" t="n"/>
      <c r="J69" s="26">
        <f>IF(ISNUMBER(H69),H69-IF(ISNUMBER(I69),I69,30),"")</f>
        <v/>
      </c>
      <c r="K69" s="35">
        <f>IF(H69="","",IF(ISNUMBER(H69),H69-TODAY(),"Check date"))</f>
        <v/>
      </c>
      <c r="L69" s="32">
        <f>IF(K69="","",IF(ISNUMBER(K69),IF(K69&lt;0,"Overdue",IF(K69&lt;=30,"Due ≤30 days",IF(K69&lt;=90,"Due ≤90 days","OK"))),"Check date"))</f>
        <v/>
      </c>
      <c r="M69" s="27" t="n"/>
      <c r="N69" s="27" t="n"/>
      <c r="O69" s="27" t="n"/>
      <c r="P69" s="27" t="n"/>
      <c r="Q69" s="27" t="n"/>
      <c r="R69" s="27" t="n"/>
    </row>
    <row r="70">
      <c r="A70" s="27" t="n"/>
      <c r="B70" s="27" t="n"/>
      <c r="C70" s="27" t="n"/>
      <c r="D70" s="34" t="n"/>
      <c r="E70" s="27" t="n"/>
      <c r="F70" s="27" t="n"/>
      <c r="G70" s="28" t="n"/>
      <c r="H70" s="26">
        <f>IF(AND(ISNUMBER(G70),ISNUMBER(D70)),IF(E70="Weeks",G70+7*D70,EDATE(G70,IF(E70="Years",12,1)*D70)),"")</f>
        <v/>
      </c>
      <c r="I70" s="34" t="n"/>
      <c r="J70" s="26">
        <f>IF(ISNUMBER(H70),H70-IF(ISNUMBER(I70),I70,30),"")</f>
        <v/>
      </c>
      <c r="K70" s="35">
        <f>IF(H70="","",IF(ISNUMBER(H70),H70-TODAY(),"Check date"))</f>
        <v/>
      </c>
      <c r="L70" s="32">
        <f>IF(K70="","",IF(ISNUMBER(K70),IF(K70&lt;0,"Overdue",IF(K70&lt;=30,"Due ≤30 days",IF(K70&lt;=90,"Due ≤90 days","OK"))),"Check date"))</f>
        <v/>
      </c>
      <c r="M70" s="27" t="n"/>
      <c r="N70" s="27" t="n"/>
      <c r="O70" s="27" t="n"/>
      <c r="P70" s="27" t="n"/>
      <c r="Q70" s="27" t="n"/>
      <c r="R70" s="27" t="n"/>
    </row>
    <row r="71">
      <c r="A71" s="27" t="n"/>
      <c r="B71" s="27" t="n"/>
      <c r="C71" s="27" t="n"/>
      <c r="D71" s="34" t="n"/>
      <c r="E71" s="27" t="n"/>
      <c r="F71" s="27" t="n"/>
      <c r="G71" s="28" t="n"/>
      <c r="H71" s="26">
        <f>IF(AND(ISNUMBER(G71),ISNUMBER(D71)),IF(E71="Weeks",G71+7*D71,EDATE(G71,IF(E71="Years",12,1)*D71)),"")</f>
        <v/>
      </c>
      <c r="I71" s="34" t="n"/>
      <c r="J71" s="26">
        <f>IF(ISNUMBER(H71),H71-IF(ISNUMBER(I71),I71,30),"")</f>
        <v/>
      </c>
      <c r="K71" s="35">
        <f>IF(H71="","",IF(ISNUMBER(H71),H71-TODAY(),"Check date"))</f>
        <v/>
      </c>
      <c r="L71" s="32">
        <f>IF(K71="","",IF(ISNUMBER(K71),IF(K71&lt;0,"Overdue",IF(K71&lt;=30,"Due ≤30 days",IF(K71&lt;=90,"Due ≤90 days","OK"))),"Check date"))</f>
        <v/>
      </c>
      <c r="M71" s="27" t="n"/>
      <c r="N71" s="27" t="n"/>
      <c r="O71" s="27" t="n"/>
      <c r="P71" s="27" t="n"/>
      <c r="Q71" s="27" t="n"/>
      <c r="R71" s="27" t="n"/>
    </row>
    <row r="72">
      <c r="A72" s="27" t="n"/>
      <c r="B72" s="27" t="n"/>
      <c r="C72" s="27" t="n"/>
      <c r="D72" s="34" t="n"/>
      <c r="E72" s="27" t="n"/>
      <c r="F72" s="27" t="n"/>
      <c r="G72" s="28" t="n"/>
      <c r="H72" s="26">
        <f>IF(AND(ISNUMBER(G72),ISNUMBER(D72)),IF(E72="Weeks",G72+7*D72,EDATE(G72,IF(E72="Years",12,1)*D72)),"")</f>
        <v/>
      </c>
      <c r="I72" s="34" t="n"/>
      <c r="J72" s="26">
        <f>IF(ISNUMBER(H72),H72-IF(ISNUMBER(I72),I72,30),"")</f>
        <v/>
      </c>
      <c r="K72" s="35">
        <f>IF(H72="","",IF(ISNUMBER(H72),H72-TODAY(),"Check date"))</f>
        <v/>
      </c>
      <c r="L72" s="32">
        <f>IF(K72="","",IF(ISNUMBER(K72),IF(K72&lt;0,"Overdue",IF(K72&lt;=30,"Due ≤30 days",IF(K72&lt;=90,"Due ≤90 days","OK"))),"Check date"))</f>
        <v/>
      </c>
      <c r="M72" s="27" t="n"/>
      <c r="N72" s="27" t="n"/>
      <c r="O72" s="27" t="n"/>
      <c r="P72" s="27" t="n"/>
      <c r="Q72" s="27" t="n"/>
      <c r="R72" s="27" t="n"/>
    </row>
    <row r="73">
      <c r="A73" s="27" t="n"/>
      <c r="B73" s="27" t="n"/>
      <c r="C73" s="27" t="n"/>
      <c r="D73" s="34" t="n"/>
      <c r="E73" s="27" t="n"/>
      <c r="F73" s="27" t="n"/>
      <c r="G73" s="28" t="n"/>
      <c r="H73" s="26">
        <f>IF(AND(ISNUMBER(G73),ISNUMBER(D73)),IF(E73="Weeks",G73+7*D73,EDATE(G73,IF(E73="Years",12,1)*D73)),"")</f>
        <v/>
      </c>
      <c r="I73" s="34" t="n"/>
      <c r="J73" s="26">
        <f>IF(ISNUMBER(H73),H73-IF(ISNUMBER(I73),I73,30),"")</f>
        <v/>
      </c>
      <c r="K73" s="35">
        <f>IF(H73="","",IF(ISNUMBER(H73),H73-TODAY(),"Check date"))</f>
        <v/>
      </c>
      <c r="L73" s="32">
        <f>IF(K73="","",IF(ISNUMBER(K73),IF(K73&lt;0,"Overdue",IF(K73&lt;=30,"Due ≤30 days",IF(K73&lt;=90,"Due ≤90 days","OK"))),"Check date"))</f>
        <v/>
      </c>
      <c r="M73" s="27" t="n"/>
      <c r="N73" s="27" t="n"/>
      <c r="O73" s="27" t="n"/>
      <c r="P73" s="27" t="n"/>
      <c r="Q73" s="27" t="n"/>
      <c r="R73" s="27" t="n"/>
    </row>
    <row r="74">
      <c r="A74" s="27" t="n"/>
      <c r="B74" s="27" t="n"/>
      <c r="C74" s="27" t="n"/>
      <c r="D74" s="34" t="n"/>
      <c r="E74" s="27" t="n"/>
      <c r="F74" s="27" t="n"/>
      <c r="G74" s="28" t="n"/>
      <c r="H74" s="26">
        <f>IF(AND(ISNUMBER(G74),ISNUMBER(D74)),IF(E74="Weeks",G74+7*D74,EDATE(G74,IF(E74="Years",12,1)*D74)),"")</f>
        <v/>
      </c>
      <c r="I74" s="34" t="n"/>
      <c r="J74" s="26">
        <f>IF(ISNUMBER(H74),H74-IF(ISNUMBER(I74),I74,30),"")</f>
        <v/>
      </c>
      <c r="K74" s="35">
        <f>IF(H74="","",IF(ISNUMBER(H74),H74-TODAY(),"Check date"))</f>
        <v/>
      </c>
      <c r="L74" s="32">
        <f>IF(K74="","",IF(ISNUMBER(K74),IF(K74&lt;0,"Overdue",IF(K74&lt;=30,"Due ≤30 days",IF(K74&lt;=90,"Due ≤90 days","OK"))),"Check date"))</f>
        <v/>
      </c>
      <c r="M74" s="27" t="n"/>
      <c r="N74" s="27" t="n"/>
      <c r="O74" s="27" t="n"/>
      <c r="P74" s="27" t="n"/>
      <c r="Q74" s="27" t="n"/>
      <c r="R74" s="27" t="n"/>
    </row>
    <row r="75">
      <c r="A75" s="27" t="n"/>
      <c r="B75" s="27" t="n"/>
      <c r="C75" s="27" t="n"/>
      <c r="D75" s="34" t="n"/>
      <c r="E75" s="27" t="n"/>
      <c r="F75" s="27" t="n"/>
      <c r="G75" s="28" t="n"/>
      <c r="H75" s="26">
        <f>IF(AND(ISNUMBER(G75),ISNUMBER(D75)),IF(E75="Weeks",G75+7*D75,EDATE(G75,IF(E75="Years",12,1)*D75)),"")</f>
        <v/>
      </c>
      <c r="I75" s="34" t="n"/>
      <c r="J75" s="26">
        <f>IF(ISNUMBER(H75),H75-IF(ISNUMBER(I75),I75,30),"")</f>
        <v/>
      </c>
      <c r="K75" s="35">
        <f>IF(H75="","",IF(ISNUMBER(H75),H75-TODAY(),"Check date"))</f>
        <v/>
      </c>
      <c r="L75" s="32">
        <f>IF(K75="","",IF(ISNUMBER(K75),IF(K75&lt;0,"Overdue",IF(K75&lt;=30,"Due ≤30 days",IF(K75&lt;=90,"Due ≤90 days","OK"))),"Check date"))</f>
        <v/>
      </c>
      <c r="M75" s="27" t="n"/>
      <c r="N75" s="27" t="n"/>
      <c r="O75" s="27" t="n"/>
      <c r="P75" s="27" t="n"/>
      <c r="Q75" s="27" t="n"/>
      <c r="R75" s="27" t="n"/>
    </row>
    <row r="76">
      <c r="A76" s="27" t="n"/>
      <c r="B76" s="27" t="n"/>
      <c r="C76" s="27" t="n"/>
      <c r="D76" s="34" t="n"/>
      <c r="E76" s="27" t="n"/>
      <c r="F76" s="27" t="n"/>
      <c r="G76" s="28" t="n"/>
      <c r="H76" s="26">
        <f>IF(AND(ISNUMBER(G76),ISNUMBER(D76)),IF(E76="Weeks",G76+7*D76,EDATE(G76,IF(E76="Years",12,1)*D76)),"")</f>
        <v/>
      </c>
      <c r="I76" s="34" t="n"/>
      <c r="J76" s="26">
        <f>IF(ISNUMBER(H76),H76-IF(ISNUMBER(I76),I76,30),"")</f>
        <v/>
      </c>
      <c r="K76" s="35">
        <f>IF(H76="","",IF(ISNUMBER(H76),H76-TODAY(),"Check date"))</f>
        <v/>
      </c>
      <c r="L76" s="32">
        <f>IF(K76="","",IF(ISNUMBER(K76),IF(K76&lt;0,"Overdue",IF(K76&lt;=30,"Due ≤30 days",IF(K76&lt;=90,"Due ≤90 days","OK"))),"Check date"))</f>
        <v/>
      </c>
      <c r="M76" s="27" t="n"/>
      <c r="N76" s="27" t="n"/>
      <c r="O76" s="27" t="n"/>
      <c r="P76" s="27" t="n"/>
      <c r="Q76" s="27" t="n"/>
      <c r="R76" s="27" t="n"/>
    </row>
    <row r="77">
      <c r="A77" s="27" t="n"/>
      <c r="B77" s="27" t="n"/>
      <c r="C77" s="27" t="n"/>
      <c r="D77" s="34" t="n"/>
      <c r="E77" s="27" t="n"/>
      <c r="F77" s="27" t="n"/>
      <c r="G77" s="28" t="n"/>
      <c r="H77" s="26">
        <f>IF(AND(ISNUMBER(G77),ISNUMBER(D77)),IF(E77="Weeks",G77+7*D77,EDATE(G77,IF(E77="Years",12,1)*D77)),"")</f>
        <v/>
      </c>
      <c r="I77" s="34" t="n"/>
      <c r="J77" s="26">
        <f>IF(ISNUMBER(H77),H77-IF(ISNUMBER(I77),I77,30),"")</f>
        <v/>
      </c>
      <c r="K77" s="35">
        <f>IF(H77="","",IF(ISNUMBER(H77),H77-TODAY(),"Check date"))</f>
        <v/>
      </c>
      <c r="L77" s="32">
        <f>IF(K77="","",IF(ISNUMBER(K77),IF(K77&lt;0,"Overdue",IF(K77&lt;=30,"Due ≤30 days",IF(K77&lt;=90,"Due ≤90 days","OK"))),"Check date"))</f>
        <v/>
      </c>
      <c r="M77" s="27" t="n"/>
      <c r="N77" s="27" t="n"/>
      <c r="O77" s="27" t="n"/>
      <c r="P77" s="27" t="n"/>
      <c r="Q77" s="27" t="n"/>
      <c r="R77" s="27" t="n"/>
    </row>
    <row r="78">
      <c r="A78" s="27" t="n"/>
      <c r="B78" s="27" t="n"/>
      <c r="C78" s="27" t="n"/>
      <c r="D78" s="34" t="n"/>
      <c r="E78" s="27" t="n"/>
      <c r="F78" s="27" t="n"/>
      <c r="G78" s="28" t="n"/>
      <c r="H78" s="26">
        <f>IF(AND(ISNUMBER(G78),ISNUMBER(D78)),IF(E78="Weeks",G78+7*D78,EDATE(G78,IF(E78="Years",12,1)*D78)),"")</f>
        <v/>
      </c>
      <c r="I78" s="34" t="n"/>
      <c r="J78" s="26">
        <f>IF(ISNUMBER(H78),H78-IF(ISNUMBER(I78),I78,30),"")</f>
        <v/>
      </c>
      <c r="K78" s="35">
        <f>IF(H78="","",IF(ISNUMBER(H78),H78-TODAY(),"Check date"))</f>
        <v/>
      </c>
      <c r="L78" s="32">
        <f>IF(K78="","",IF(ISNUMBER(K78),IF(K78&lt;0,"Overdue",IF(K78&lt;=30,"Due ≤30 days",IF(K78&lt;=90,"Due ≤90 days","OK"))),"Check date"))</f>
        <v/>
      </c>
      <c r="M78" s="27" t="n"/>
      <c r="N78" s="27" t="n"/>
      <c r="O78" s="27" t="n"/>
      <c r="P78" s="27" t="n"/>
      <c r="Q78" s="27" t="n"/>
      <c r="R78" s="27" t="n"/>
    </row>
    <row r="79">
      <c r="A79" s="27" t="n"/>
      <c r="B79" s="27" t="n"/>
      <c r="C79" s="27" t="n"/>
      <c r="D79" s="34" t="n"/>
      <c r="E79" s="27" t="n"/>
      <c r="F79" s="27" t="n"/>
      <c r="G79" s="28" t="n"/>
      <c r="H79" s="26">
        <f>IF(AND(ISNUMBER(G79),ISNUMBER(D79)),IF(E79="Weeks",G79+7*D79,EDATE(G79,IF(E79="Years",12,1)*D79)),"")</f>
        <v/>
      </c>
      <c r="I79" s="34" t="n"/>
      <c r="J79" s="26">
        <f>IF(ISNUMBER(H79),H79-IF(ISNUMBER(I79),I79,30),"")</f>
        <v/>
      </c>
      <c r="K79" s="35">
        <f>IF(H79="","",IF(ISNUMBER(H79),H79-TODAY(),"Check date"))</f>
        <v/>
      </c>
      <c r="L79" s="32">
        <f>IF(K79="","",IF(ISNUMBER(K79),IF(K79&lt;0,"Overdue",IF(K79&lt;=30,"Due ≤30 days",IF(K79&lt;=90,"Due ≤90 days","OK"))),"Check date"))</f>
        <v/>
      </c>
      <c r="M79" s="27" t="n"/>
      <c r="N79" s="27" t="n"/>
      <c r="O79" s="27" t="n"/>
      <c r="P79" s="27" t="n"/>
      <c r="Q79" s="27" t="n"/>
      <c r="R79" s="27" t="n"/>
    </row>
    <row r="80">
      <c r="A80" s="27" t="n"/>
      <c r="B80" s="27" t="n"/>
      <c r="C80" s="27" t="n"/>
      <c r="D80" s="34" t="n"/>
      <c r="E80" s="27" t="n"/>
      <c r="F80" s="27" t="n"/>
      <c r="G80" s="28" t="n"/>
      <c r="H80" s="26">
        <f>IF(AND(ISNUMBER(G80),ISNUMBER(D80)),IF(E80="Weeks",G80+7*D80,EDATE(G80,IF(E80="Years",12,1)*D80)),"")</f>
        <v/>
      </c>
      <c r="I80" s="34" t="n"/>
      <c r="J80" s="26">
        <f>IF(ISNUMBER(H80),H80-IF(ISNUMBER(I80),I80,30),"")</f>
        <v/>
      </c>
      <c r="K80" s="35">
        <f>IF(H80="","",IF(ISNUMBER(H80),H80-TODAY(),"Check date"))</f>
        <v/>
      </c>
      <c r="L80" s="32">
        <f>IF(K80="","",IF(ISNUMBER(K80),IF(K80&lt;0,"Overdue",IF(K80&lt;=30,"Due ≤30 days",IF(K80&lt;=90,"Due ≤90 days","OK"))),"Check date"))</f>
        <v/>
      </c>
      <c r="M80" s="27" t="n"/>
      <c r="N80" s="27" t="n"/>
      <c r="O80" s="27" t="n"/>
      <c r="P80" s="27" t="n"/>
      <c r="Q80" s="27" t="n"/>
      <c r="R80" s="27" t="n"/>
    </row>
    <row r="81">
      <c r="A81" s="27" t="n"/>
      <c r="B81" s="27" t="n"/>
      <c r="C81" s="27" t="n"/>
      <c r="D81" s="34" t="n"/>
      <c r="E81" s="27" t="n"/>
      <c r="F81" s="27" t="n"/>
      <c r="G81" s="28" t="n"/>
      <c r="H81" s="26">
        <f>IF(AND(ISNUMBER(G81),ISNUMBER(D81)),IF(E81="Weeks",G81+7*D81,EDATE(G81,IF(E81="Years",12,1)*D81)),"")</f>
        <v/>
      </c>
      <c r="I81" s="34" t="n"/>
      <c r="J81" s="26">
        <f>IF(ISNUMBER(H81),H81-IF(ISNUMBER(I81),I81,30),"")</f>
        <v/>
      </c>
      <c r="K81" s="35">
        <f>IF(H81="","",IF(ISNUMBER(H81),H81-TODAY(),"Check date"))</f>
        <v/>
      </c>
      <c r="L81" s="32">
        <f>IF(K81="","",IF(ISNUMBER(K81),IF(K81&lt;0,"Overdue",IF(K81&lt;=30,"Due ≤30 days",IF(K81&lt;=90,"Due ≤90 days","OK"))),"Check date"))</f>
        <v/>
      </c>
      <c r="M81" s="27" t="n"/>
      <c r="N81" s="27" t="n"/>
      <c r="O81" s="27" t="n"/>
      <c r="P81" s="27" t="n"/>
      <c r="Q81" s="27" t="n"/>
      <c r="R81" s="27" t="n"/>
    </row>
    <row r="82">
      <c r="A82" s="27" t="n"/>
      <c r="B82" s="27" t="n"/>
      <c r="C82" s="27" t="n"/>
      <c r="D82" s="34" t="n"/>
      <c r="E82" s="27" t="n"/>
      <c r="F82" s="27" t="n"/>
      <c r="G82" s="28" t="n"/>
      <c r="H82" s="26">
        <f>IF(AND(ISNUMBER(G82),ISNUMBER(D82)),IF(E82="Weeks",G82+7*D82,EDATE(G82,IF(E82="Years",12,1)*D82)),"")</f>
        <v/>
      </c>
      <c r="I82" s="34" t="n"/>
      <c r="J82" s="26">
        <f>IF(ISNUMBER(H82),H82-IF(ISNUMBER(I82),I82,30),"")</f>
        <v/>
      </c>
      <c r="K82" s="35">
        <f>IF(H82="","",IF(ISNUMBER(H82),H82-TODAY(),"Check date"))</f>
        <v/>
      </c>
      <c r="L82" s="32">
        <f>IF(K82="","",IF(ISNUMBER(K82),IF(K82&lt;0,"Overdue",IF(K82&lt;=30,"Due ≤30 days",IF(K82&lt;=90,"Due ≤90 days","OK"))),"Check date"))</f>
        <v/>
      </c>
      <c r="M82" s="27" t="n"/>
      <c r="N82" s="27" t="n"/>
      <c r="O82" s="27" t="n"/>
      <c r="P82" s="27" t="n"/>
      <c r="Q82" s="27" t="n"/>
      <c r="R82" s="27" t="n"/>
    </row>
    <row r="83">
      <c r="A83" s="27" t="n"/>
      <c r="B83" s="27" t="n"/>
      <c r="C83" s="27" t="n"/>
      <c r="D83" s="34" t="n"/>
      <c r="E83" s="27" t="n"/>
      <c r="F83" s="27" t="n"/>
      <c r="G83" s="28" t="n"/>
      <c r="H83" s="26">
        <f>IF(AND(ISNUMBER(G83),ISNUMBER(D83)),IF(E83="Weeks",G83+7*D83,EDATE(G83,IF(E83="Years",12,1)*D83)),"")</f>
        <v/>
      </c>
      <c r="I83" s="34" t="n"/>
      <c r="J83" s="26">
        <f>IF(ISNUMBER(H83),H83-IF(ISNUMBER(I83),I83,30),"")</f>
        <v/>
      </c>
      <c r="K83" s="35">
        <f>IF(H83="","",IF(ISNUMBER(H83),H83-TODAY(),"Check date"))</f>
        <v/>
      </c>
      <c r="L83" s="32">
        <f>IF(K83="","",IF(ISNUMBER(K83),IF(K83&lt;0,"Overdue",IF(K83&lt;=30,"Due ≤30 days",IF(K83&lt;=90,"Due ≤90 days","OK"))),"Check date"))</f>
        <v/>
      </c>
      <c r="M83" s="27" t="n"/>
      <c r="N83" s="27" t="n"/>
      <c r="O83" s="27" t="n"/>
      <c r="P83" s="27" t="n"/>
      <c r="Q83" s="27" t="n"/>
      <c r="R83" s="27" t="n"/>
    </row>
    <row r="84">
      <c r="A84" s="27" t="n"/>
      <c r="B84" s="27" t="n"/>
      <c r="C84" s="27" t="n"/>
      <c r="D84" s="34" t="n"/>
      <c r="E84" s="27" t="n"/>
      <c r="F84" s="27" t="n"/>
      <c r="G84" s="28" t="n"/>
      <c r="H84" s="26">
        <f>IF(AND(ISNUMBER(G84),ISNUMBER(D84)),IF(E84="Weeks",G84+7*D84,EDATE(G84,IF(E84="Years",12,1)*D84)),"")</f>
        <v/>
      </c>
      <c r="I84" s="34" t="n"/>
      <c r="J84" s="26">
        <f>IF(ISNUMBER(H84),H84-IF(ISNUMBER(I84),I84,30),"")</f>
        <v/>
      </c>
      <c r="K84" s="35">
        <f>IF(H84="","",IF(ISNUMBER(H84),H84-TODAY(),"Check date"))</f>
        <v/>
      </c>
      <c r="L84" s="32">
        <f>IF(K84="","",IF(ISNUMBER(K84),IF(K84&lt;0,"Overdue",IF(K84&lt;=30,"Due ≤30 days",IF(K84&lt;=90,"Due ≤90 days","OK"))),"Check date"))</f>
        <v/>
      </c>
      <c r="M84" s="27" t="n"/>
      <c r="N84" s="27" t="n"/>
      <c r="O84" s="27" t="n"/>
      <c r="P84" s="27" t="n"/>
      <c r="Q84" s="27" t="n"/>
      <c r="R84" s="27" t="n"/>
    </row>
    <row r="85">
      <c r="A85" s="27" t="n"/>
      <c r="B85" s="27" t="n"/>
      <c r="C85" s="27" t="n"/>
      <c r="D85" s="34" t="n"/>
      <c r="E85" s="27" t="n"/>
      <c r="F85" s="27" t="n"/>
      <c r="G85" s="28" t="n"/>
      <c r="H85" s="26">
        <f>IF(AND(ISNUMBER(G85),ISNUMBER(D85)),IF(E85="Weeks",G85+7*D85,EDATE(G85,IF(E85="Years",12,1)*D85)),"")</f>
        <v/>
      </c>
      <c r="I85" s="34" t="n"/>
      <c r="J85" s="26">
        <f>IF(ISNUMBER(H85),H85-IF(ISNUMBER(I85),I85,30),"")</f>
        <v/>
      </c>
      <c r="K85" s="35">
        <f>IF(H85="","",IF(ISNUMBER(H85),H85-TODAY(),"Check date"))</f>
        <v/>
      </c>
      <c r="L85" s="32">
        <f>IF(K85="","",IF(ISNUMBER(K85),IF(K85&lt;0,"Overdue",IF(K85&lt;=30,"Due ≤30 days",IF(K85&lt;=90,"Due ≤90 days","OK"))),"Check date"))</f>
        <v/>
      </c>
      <c r="M85" s="27" t="n"/>
      <c r="N85" s="27" t="n"/>
      <c r="O85" s="27" t="n"/>
      <c r="P85" s="27" t="n"/>
      <c r="Q85" s="27" t="n"/>
      <c r="R85" s="27" t="n"/>
    </row>
    <row r="86">
      <c r="A86" s="27" t="n"/>
      <c r="B86" s="27" t="n"/>
      <c r="C86" s="27" t="n"/>
      <c r="D86" s="34" t="n"/>
      <c r="E86" s="27" t="n"/>
      <c r="F86" s="27" t="n"/>
      <c r="G86" s="28" t="n"/>
      <c r="H86" s="26">
        <f>IF(AND(ISNUMBER(G86),ISNUMBER(D86)),IF(E86="Weeks",G86+7*D86,EDATE(G86,IF(E86="Years",12,1)*D86)),"")</f>
        <v/>
      </c>
      <c r="I86" s="34" t="n"/>
      <c r="J86" s="26">
        <f>IF(ISNUMBER(H86),H86-IF(ISNUMBER(I86),I86,30),"")</f>
        <v/>
      </c>
      <c r="K86" s="35">
        <f>IF(H86="","",IF(ISNUMBER(H86),H86-TODAY(),"Check date"))</f>
        <v/>
      </c>
      <c r="L86" s="32">
        <f>IF(K86="","",IF(ISNUMBER(K86),IF(K86&lt;0,"Overdue",IF(K86&lt;=30,"Due ≤30 days",IF(K86&lt;=90,"Due ≤90 days","OK"))),"Check date"))</f>
        <v/>
      </c>
      <c r="M86" s="27" t="n"/>
      <c r="N86" s="27" t="n"/>
      <c r="O86" s="27" t="n"/>
      <c r="P86" s="27" t="n"/>
      <c r="Q86" s="27" t="n"/>
      <c r="R86" s="27" t="n"/>
    </row>
    <row r="87">
      <c r="A87" s="27" t="n"/>
      <c r="B87" s="27" t="n"/>
      <c r="C87" s="27" t="n"/>
      <c r="D87" s="34" t="n"/>
      <c r="E87" s="27" t="n"/>
      <c r="F87" s="27" t="n"/>
      <c r="G87" s="28" t="n"/>
      <c r="H87" s="26">
        <f>IF(AND(ISNUMBER(G87),ISNUMBER(D87)),IF(E87="Weeks",G87+7*D87,EDATE(G87,IF(E87="Years",12,1)*D87)),"")</f>
        <v/>
      </c>
      <c r="I87" s="34" t="n"/>
      <c r="J87" s="26">
        <f>IF(ISNUMBER(H87),H87-IF(ISNUMBER(I87),I87,30),"")</f>
        <v/>
      </c>
      <c r="K87" s="35">
        <f>IF(H87="","",IF(ISNUMBER(H87),H87-TODAY(),"Check date"))</f>
        <v/>
      </c>
      <c r="L87" s="32">
        <f>IF(K87="","",IF(ISNUMBER(K87),IF(K87&lt;0,"Overdue",IF(K87&lt;=30,"Due ≤30 days",IF(K87&lt;=90,"Due ≤90 days","OK"))),"Check date"))</f>
        <v/>
      </c>
      <c r="M87" s="27" t="n"/>
      <c r="N87" s="27" t="n"/>
      <c r="O87" s="27" t="n"/>
      <c r="P87" s="27" t="n"/>
      <c r="Q87" s="27" t="n"/>
      <c r="R87" s="27" t="n"/>
    </row>
    <row r="88">
      <c r="A88" s="27" t="n"/>
      <c r="B88" s="27" t="n"/>
      <c r="C88" s="27" t="n"/>
      <c r="D88" s="34" t="n"/>
      <c r="E88" s="27" t="n"/>
      <c r="F88" s="27" t="n"/>
      <c r="G88" s="28" t="n"/>
      <c r="H88" s="26">
        <f>IF(AND(ISNUMBER(G88),ISNUMBER(D88)),IF(E88="Weeks",G88+7*D88,EDATE(G88,IF(E88="Years",12,1)*D88)),"")</f>
        <v/>
      </c>
      <c r="I88" s="34" t="n"/>
      <c r="J88" s="26">
        <f>IF(ISNUMBER(H88),H88-IF(ISNUMBER(I88),I88,30),"")</f>
        <v/>
      </c>
      <c r="K88" s="35">
        <f>IF(H88="","",IF(ISNUMBER(H88),H88-TODAY(),"Check date"))</f>
        <v/>
      </c>
      <c r="L88" s="32">
        <f>IF(K88="","",IF(ISNUMBER(K88),IF(K88&lt;0,"Overdue",IF(K88&lt;=30,"Due ≤30 days",IF(K88&lt;=90,"Due ≤90 days","OK"))),"Check date"))</f>
        <v/>
      </c>
      <c r="M88" s="27" t="n"/>
      <c r="N88" s="27" t="n"/>
      <c r="O88" s="27" t="n"/>
      <c r="P88" s="27" t="n"/>
      <c r="Q88" s="27" t="n"/>
      <c r="R88" s="27" t="n"/>
    </row>
    <row r="89">
      <c r="A89" s="27" t="n"/>
      <c r="B89" s="27" t="n"/>
      <c r="C89" s="27" t="n"/>
      <c r="D89" s="34" t="n"/>
      <c r="E89" s="27" t="n"/>
      <c r="F89" s="27" t="n"/>
      <c r="G89" s="28" t="n"/>
      <c r="H89" s="26">
        <f>IF(AND(ISNUMBER(G89),ISNUMBER(D89)),IF(E89="Weeks",G89+7*D89,EDATE(G89,IF(E89="Years",12,1)*D89)),"")</f>
        <v/>
      </c>
      <c r="I89" s="34" t="n"/>
      <c r="J89" s="26">
        <f>IF(ISNUMBER(H89),H89-IF(ISNUMBER(I89),I89,30),"")</f>
        <v/>
      </c>
      <c r="K89" s="35">
        <f>IF(H89="","",IF(ISNUMBER(H89),H89-TODAY(),"Check date"))</f>
        <v/>
      </c>
      <c r="L89" s="32">
        <f>IF(K89="","",IF(ISNUMBER(K89),IF(K89&lt;0,"Overdue",IF(K89&lt;=30,"Due ≤30 days",IF(K89&lt;=90,"Due ≤90 days","OK"))),"Check date"))</f>
        <v/>
      </c>
      <c r="M89" s="27" t="n"/>
      <c r="N89" s="27" t="n"/>
      <c r="O89" s="27" t="n"/>
      <c r="P89" s="27" t="n"/>
      <c r="Q89" s="27" t="n"/>
      <c r="R89" s="27" t="n"/>
    </row>
    <row r="90">
      <c r="A90" s="27" t="n"/>
      <c r="B90" s="27" t="n"/>
      <c r="C90" s="27" t="n"/>
      <c r="D90" s="34" t="n"/>
      <c r="E90" s="27" t="n"/>
      <c r="F90" s="27" t="n"/>
      <c r="G90" s="28" t="n"/>
      <c r="H90" s="26">
        <f>IF(AND(ISNUMBER(G90),ISNUMBER(D90)),IF(E90="Weeks",G90+7*D90,EDATE(G90,IF(E90="Years",12,1)*D90)),"")</f>
        <v/>
      </c>
      <c r="I90" s="34" t="n"/>
      <c r="J90" s="26">
        <f>IF(ISNUMBER(H90),H90-IF(ISNUMBER(I90),I90,30),"")</f>
        <v/>
      </c>
      <c r="K90" s="35">
        <f>IF(H90="","",IF(ISNUMBER(H90),H90-TODAY(),"Check date"))</f>
        <v/>
      </c>
      <c r="L90" s="32">
        <f>IF(K90="","",IF(ISNUMBER(K90),IF(K90&lt;0,"Overdue",IF(K90&lt;=30,"Due ≤30 days",IF(K90&lt;=90,"Due ≤90 days","OK"))),"Check date"))</f>
        <v/>
      </c>
      <c r="M90" s="27" t="n"/>
      <c r="N90" s="27" t="n"/>
      <c r="O90" s="27" t="n"/>
      <c r="P90" s="27" t="n"/>
      <c r="Q90" s="27" t="n"/>
      <c r="R90" s="27" t="n"/>
    </row>
    <row r="91">
      <c r="A91" s="27" t="n"/>
      <c r="B91" s="27" t="n"/>
      <c r="C91" s="27" t="n"/>
      <c r="D91" s="34" t="n"/>
      <c r="E91" s="27" t="n"/>
      <c r="F91" s="27" t="n"/>
      <c r="G91" s="28" t="n"/>
      <c r="H91" s="26">
        <f>IF(AND(ISNUMBER(G91),ISNUMBER(D91)),IF(E91="Weeks",G91+7*D91,EDATE(G91,IF(E91="Years",12,1)*D91)),"")</f>
        <v/>
      </c>
      <c r="I91" s="34" t="n"/>
      <c r="J91" s="26">
        <f>IF(ISNUMBER(H91),H91-IF(ISNUMBER(I91),I91,30),"")</f>
        <v/>
      </c>
      <c r="K91" s="35">
        <f>IF(H91="","",IF(ISNUMBER(H91),H91-TODAY(),"Check date"))</f>
        <v/>
      </c>
      <c r="L91" s="32">
        <f>IF(K91="","",IF(ISNUMBER(K91),IF(K91&lt;0,"Overdue",IF(K91&lt;=30,"Due ≤30 days",IF(K91&lt;=90,"Due ≤90 days","OK"))),"Check date"))</f>
        <v/>
      </c>
      <c r="M91" s="27" t="n"/>
      <c r="N91" s="27" t="n"/>
      <c r="O91" s="27" t="n"/>
      <c r="P91" s="27" t="n"/>
      <c r="Q91" s="27" t="n"/>
      <c r="R91" s="27" t="n"/>
    </row>
    <row r="92">
      <c r="A92" s="27" t="n"/>
      <c r="B92" s="27" t="n"/>
      <c r="C92" s="27" t="n"/>
      <c r="D92" s="34" t="n"/>
      <c r="E92" s="27" t="n"/>
      <c r="F92" s="27" t="n"/>
      <c r="G92" s="28" t="n"/>
      <c r="H92" s="26">
        <f>IF(AND(ISNUMBER(G92),ISNUMBER(D92)),IF(E92="Weeks",G92+7*D92,EDATE(G92,IF(E92="Years",12,1)*D92)),"")</f>
        <v/>
      </c>
      <c r="I92" s="34" t="n"/>
      <c r="J92" s="26">
        <f>IF(ISNUMBER(H92),H92-IF(ISNUMBER(I92),I92,30),"")</f>
        <v/>
      </c>
      <c r="K92" s="35">
        <f>IF(H92="","",IF(ISNUMBER(H92),H92-TODAY(),"Check date"))</f>
        <v/>
      </c>
      <c r="L92" s="32">
        <f>IF(K92="","",IF(ISNUMBER(K92),IF(K92&lt;0,"Overdue",IF(K92&lt;=30,"Due ≤30 days",IF(K92&lt;=90,"Due ≤90 days","OK"))),"Check date"))</f>
        <v/>
      </c>
      <c r="M92" s="27" t="n"/>
      <c r="N92" s="27" t="n"/>
      <c r="O92" s="27" t="n"/>
      <c r="P92" s="27" t="n"/>
      <c r="Q92" s="27" t="n"/>
      <c r="R92" s="27" t="n"/>
    </row>
    <row r="93">
      <c r="A93" s="27" t="n"/>
      <c r="B93" s="27" t="n"/>
      <c r="C93" s="27" t="n"/>
      <c r="D93" s="34" t="n"/>
      <c r="E93" s="27" t="n"/>
      <c r="F93" s="27" t="n"/>
      <c r="G93" s="28" t="n"/>
      <c r="H93" s="26">
        <f>IF(AND(ISNUMBER(G93),ISNUMBER(D93)),IF(E93="Weeks",G93+7*D93,EDATE(G93,IF(E93="Years",12,1)*D93)),"")</f>
        <v/>
      </c>
      <c r="I93" s="34" t="n"/>
      <c r="J93" s="26">
        <f>IF(ISNUMBER(H93),H93-IF(ISNUMBER(I93),I93,30),"")</f>
        <v/>
      </c>
      <c r="K93" s="35">
        <f>IF(H93="","",IF(ISNUMBER(H93),H93-TODAY(),"Check date"))</f>
        <v/>
      </c>
      <c r="L93" s="32">
        <f>IF(K93="","",IF(ISNUMBER(K93),IF(K93&lt;0,"Overdue",IF(K93&lt;=30,"Due ≤30 days",IF(K93&lt;=90,"Due ≤90 days","OK"))),"Check date"))</f>
        <v/>
      </c>
      <c r="M93" s="27" t="n"/>
      <c r="N93" s="27" t="n"/>
      <c r="O93" s="27" t="n"/>
      <c r="P93" s="27" t="n"/>
      <c r="Q93" s="27" t="n"/>
      <c r="R93" s="27" t="n"/>
    </row>
    <row r="94">
      <c r="A94" s="27" t="n"/>
      <c r="B94" s="27" t="n"/>
      <c r="C94" s="27" t="n"/>
      <c r="D94" s="34" t="n"/>
      <c r="E94" s="27" t="n"/>
      <c r="F94" s="27" t="n"/>
      <c r="G94" s="28" t="n"/>
      <c r="H94" s="26">
        <f>IF(AND(ISNUMBER(G94),ISNUMBER(D94)),IF(E94="Weeks",G94+7*D94,EDATE(G94,IF(E94="Years",12,1)*D94)),"")</f>
        <v/>
      </c>
      <c r="I94" s="34" t="n"/>
      <c r="J94" s="26">
        <f>IF(ISNUMBER(H94),H94-IF(ISNUMBER(I94),I94,30),"")</f>
        <v/>
      </c>
      <c r="K94" s="35">
        <f>IF(H94="","",IF(ISNUMBER(H94),H94-TODAY(),"Check date"))</f>
        <v/>
      </c>
      <c r="L94" s="32">
        <f>IF(K94="","",IF(ISNUMBER(K94),IF(K94&lt;0,"Overdue",IF(K94&lt;=30,"Due ≤30 days",IF(K94&lt;=90,"Due ≤90 days","OK"))),"Check date"))</f>
        <v/>
      </c>
      <c r="M94" s="27" t="n"/>
      <c r="N94" s="27" t="n"/>
      <c r="O94" s="27" t="n"/>
      <c r="P94" s="27" t="n"/>
      <c r="Q94" s="27" t="n"/>
      <c r="R94" s="27" t="n"/>
    </row>
    <row r="95">
      <c r="A95" s="27" t="n"/>
      <c r="B95" s="27" t="n"/>
      <c r="C95" s="27" t="n"/>
      <c r="D95" s="34" t="n"/>
      <c r="E95" s="27" t="n"/>
      <c r="F95" s="27" t="n"/>
      <c r="G95" s="28" t="n"/>
      <c r="H95" s="26">
        <f>IF(AND(ISNUMBER(G95),ISNUMBER(D95)),IF(E95="Weeks",G95+7*D95,EDATE(G95,IF(E95="Years",12,1)*D95)),"")</f>
        <v/>
      </c>
      <c r="I95" s="34" t="n"/>
      <c r="J95" s="26">
        <f>IF(ISNUMBER(H95),H95-IF(ISNUMBER(I95),I95,30),"")</f>
        <v/>
      </c>
      <c r="K95" s="35">
        <f>IF(H95="","",IF(ISNUMBER(H95),H95-TODAY(),"Check date"))</f>
        <v/>
      </c>
      <c r="L95" s="32">
        <f>IF(K95="","",IF(ISNUMBER(K95),IF(K95&lt;0,"Overdue",IF(K95&lt;=30,"Due ≤30 days",IF(K95&lt;=90,"Due ≤90 days","OK"))),"Check date"))</f>
        <v/>
      </c>
      <c r="M95" s="27" t="n"/>
      <c r="N95" s="27" t="n"/>
      <c r="O95" s="27" t="n"/>
      <c r="P95" s="27" t="n"/>
      <c r="Q95" s="27" t="n"/>
      <c r="R95" s="27" t="n"/>
    </row>
    <row r="96">
      <c r="A96" s="27" t="n"/>
      <c r="B96" s="27" t="n"/>
      <c r="C96" s="27" t="n"/>
      <c r="D96" s="34" t="n"/>
      <c r="E96" s="27" t="n"/>
      <c r="F96" s="27" t="n"/>
      <c r="G96" s="28" t="n"/>
      <c r="H96" s="26">
        <f>IF(AND(ISNUMBER(G96),ISNUMBER(D96)),IF(E96="Weeks",G96+7*D96,EDATE(G96,IF(E96="Years",12,1)*D96)),"")</f>
        <v/>
      </c>
      <c r="I96" s="34" t="n"/>
      <c r="J96" s="26">
        <f>IF(ISNUMBER(H96),H96-IF(ISNUMBER(I96),I96,30),"")</f>
        <v/>
      </c>
      <c r="K96" s="35">
        <f>IF(H96="","",IF(ISNUMBER(H96),H96-TODAY(),"Check date"))</f>
        <v/>
      </c>
      <c r="L96" s="32">
        <f>IF(K96="","",IF(ISNUMBER(K96),IF(K96&lt;0,"Overdue",IF(K96&lt;=30,"Due ≤30 days",IF(K96&lt;=90,"Due ≤90 days","OK"))),"Check date"))</f>
        <v/>
      </c>
      <c r="M96" s="27" t="n"/>
      <c r="N96" s="27" t="n"/>
      <c r="O96" s="27" t="n"/>
      <c r="P96" s="27" t="n"/>
      <c r="Q96" s="27" t="n"/>
      <c r="R96" s="27" t="n"/>
    </row>
    <row r="97">
      <c r="A97" s="27" t="n"/>
      <c r="B97" s="27" t="n"/>
      <c r="C97" s="27" t="n"/>
      <c r="D97" s="34" t="n"/>
      <c r="E97" s="27" t="n"/>
      <c r="F97" s="27" t="n"/>
      <c r="G97" s="28" t="n"/>
      <c r="H97" s="26">
        <f>IF(AND(ISNUMBER(G97),ISNUMBER(D97)),IF(E97="Weeks",G97+7*D97,EDATE(G97,IF(E97="Years",12,1)*D97)),"")</f>
        <v/>
      </c>
      <c r="I97" s="34" t="n"/>
      <c r="J97" s="26">
        <f>IF(ISNUMBER(H97),H97-IF(ISNUMBER(I97),I97,30),"")</f>
        <v/>
      </c>
      <c r="K97" s="35">
        <f>IF(H97="","",IF(ISNUMBER(H97),H97-TODAY(),"Check date"))</f>
        <v/>
      </c>
      <c r="L97" s="32">
        <f>IF(K97="","",IF(ISNUMBER(K97),IF(K97&lt;0,"Overdue",IF(K97&lt;=30,"Due ≤30 days",IF(K97&lt;=90,"Due ≤90 days","OK"))),"Check date"))</f>
        <v/>
      </c>
      <c r="M97" s="27" t="n"/>
      <c r="N97" s="27" t="n"/>
      <c r="O97" s="27" t="n"/>
      <c r="P97" s="27" t="n"/>
      <c r="Q97" s="27" t="n"/>
      <c r="R97" s="27" t="n"/>
    </row>
    <row r="98">
      <c r="A98" s="27" t="n"/>
      <c r="B98" s="27" t="n"/>
      <c r="C98" s="27" t="n"/>
      <c r="D98" s="34" t="n"/>
      <c r="E98" s="27" t="n"/>
      <c r="F98" s="27" t="n"/>
      <c r="G98" s="28" t="n"/>
      <c r="H98" s="26">
        <f>IF(AND(ISNUMBER(G98),ISNUMBER(D98)),IF(E98="Weeks",G98+7*D98,EDATE(G98,IF(E98="Years",12,1)*D98)),"")</f>
        <v/>
      </c>
      <c r="I98" s="34" t="n"/>
      <c r="J98" s="26">
        <f>IF(ISNUMBER(H98),H98-IF(ISNUMBER(I98),I98,30),"")</f>
        <v/>
      </c>
      <c r="K98" s="35">
        <f>IF(H98="","",IF(ISNUMBER(H98),H98-TODAY(),"Check date"))</f>
        <v/>
      </c>
      <c r="L98" s="32">
        <f>IF(K98="","",IF(ISNUMBER(K98),IF(K98&lt;0,"Overdue",IF(K98&lt;=30,"Due ≤30 days",IF(K98&lt;=90,"Due ≤90 days","OK"))),"Check date"))</f>
        <v/>
      </c>
      <c r="M98" s="27" t="n"/>
      <c r="N98" s="27" t="n"/>
      <c r="O98" s="27" t="n"/>
      <c r="P98" s="27" t="n"/>
      <c r="Q98" s="27" t="n"/>
      <c r="R98" s="27" t="n"/>
    </row>
    <row r="99">
      <c r="A99" s="27" t="n"/>
      <c r="B99" s="27" t="n"/>
      <c r="C99" s="27" t="n"/>
      <c r="D99" s="34" t="n"/>
      <c r="E99" s="27" t="n"/>
      <c r="F99" s="27" t="n"/>
      <c r="G99" s="28" t="n"/>
      <c r="H99" s="26">
        <f>IF(AND(ISNUMBER(G99),ISNUMBER(D99)),IF(E99="Weeks",G99+7*D99,EDATE(G99,IF(E99="Years",12,1)*D99)),"")</f>
        <v/>
      </c>
      <c r="I99" s="34" t="n"/>
      <c r="J99" s="26">
        <f>IF(ISNUMBER(H99),H99-IF(ISNUMBER(I99),I99,30),"")</f>
        <v/>
      </c>
      <c r="K99" s="35">
        <f>IF(H99="","",IF(ISNUMBER(H99),H99-TODAY(),"Check date"))</f>
        <v/>
      </c>
      <c r="L99" s="32">
        <f>IF(K99="","",IF(ISNUMBER(K99),IF(K99&lt;0,"Overdue",IF(K99&lt;=30,"Due ≤30 days",IF(K99&lt;=90,"Due ≤90 days","OK"))),"Check date"))</f>
        <v/>
      </c>
      <c r="M99" s="27" t="n"/>
      <c r="N99" s="27" t="n"/>
      <c r="O99" s="27" t="n"/>
      <c r="P99" s="27" t="n"/>
      <c r="Q99" s="27" t="n"/>
      <c r="R99" s="27" t="n"/>
    </row>
    <row r="100">
      <c r="A100" s="27" t="n"/>
      <c r="B100" s="27" t="n"/>
      <c r="C100" s="27" t="n"/>
      <c r="D100" s="34" t="n"/>
      <c r="E100" s="27" t="n"/>
      <c r="F100" s="27" t="n"/>
      <c r="G100" s="28" t="n"/>
      <c r="H100" s="26">
        <f>IF(AND(ISNUMBER(G100),ISNUMBER(D100)),IF(E100="Weeks",G100+7*D100,EDATE(G100,IF(E100="Years",12,1)*D100)),"")</f>
        <v/>
      </c>
      <c r="I100" s="34" t="n"/>
      <c r="J100" s="26">
        <f>IF(ISNUMBER(H100),H100-IF(ISNUMBER(I100),I100,30),"")</f>
        <v/>
      </c>
      <c r="K100" s="35">
        <f>IF(H100="","",IF(ISNUMBER(H100),H100-TODAY(),"Check date"))</f>
        <v/>
      </c>
      <c r="L100" s="32">
        <f>IF(K100="","",IF(ISNUMBER(K100),IF(K100&lt;0,"Overdue",IF(K100&lt;=30,"Due ≤30 days",IF(K100&lt;=90,"Due ≤90 days","OK"))),"Check date"))</f>
        <v/>
      </c>
      <c r="M100" s="27" t="n"/>
      <c r="N100" s="27" t="n"/>
      <c r="O100" s="27" t="n"/>
      <c r="P100" s="27" t="n"/>
      <c r="Q100" s="27" t="n"/>
      <c r="R100" s="27" t="n"/>
    </row>
    <row r="101">
      <c r="A101" s="27" t="n"/>
      <c r="B101" s="27" t="n"/>
      <c r="C101" s="27" t="n"/>
      <c r="D101" s="34" t="n"/>
      <c r="E101" s="27" t="n"/>
      <c r="F101" s="27" t="n"/>
      <c r="G101" s="28" t="n"/>
      <c r="H101" s="26">
        <f>IF(AND(ISNUMBER(G101),ISNUMBER(D101)),IF(E101="Weeks",G101+7*D101,EDATE(G101,IF(E101="Years",12,1)*D101)),"")</f>
        <v/>
      </c>
      <c r="I101" s="34" t="n"/>
      <c r="J101" s="26">
        <f>IF(ISNUMBER(H101),H101-IF(ISNUMBER(I101),I101,30),"")</f>
        <v/>
      </c>
      <c r="K101" s="35">
        <f>IF(H101="","",IF(ISNUMBER(H101),H101-TODAY(),"Check date"))</f>
        <v/>
      </c>
      <c r="L101" s="32">
        <f>IF(K101="","",IF(ISNUMBER(K101),IF(K101&lt;0,"Overdue",IF(K101&lt;=30,"Due ≤30 days",IF(K101&lt;=90,"Due ≤90 days","OK"))),"Check date"))</f>
        <v/>
      </c>
      <c r="M101" s="27" t="n"/>
      <c r="N101" s="27" t="n"/>
      <c r="O101" s="27" t="n"/>
      <c r="P101" s="27" t="n"/>
      <c r="Q101" s="27" t="n"/>
      <c r="R101" s="27" t="n"/>
    </row>
    <row r="102">
      <c r="A102" s="27" t="n"/>
      <c r="B102" s="27" t="n"/>
      <c r="C102" s="27" t="n"/>
      <c r="D102" s="34" t="n"/>
      <c r="E102" s="27" t="n"/>
      <c r="F102" s="27" t="n"/>
      <c r="G102" s="28" t="n"/>
      <c r="H102" s="26">
        <f>IF(AND(ISNUMBER(G102),ISNUMBER(D102)),IF(E102="Weeks",G102+7*D102,EDATE(G102,IF(E102="Years",12,1)*D102)),"")</f>
        <v/>
      </c>
      <c r="I102" s="34" t="n"/>
      <c r="J102" s="26">
        <f>IF(ISNUMBER(H102),H102-IF(ISNUMBER(I102),I102,30),"")</f>
        <v/>
      </c>
      <c r="K102" s="35">
        <f>IF(H102="","",IF(ISNUMBER(H102),H102-TODAY(),"Check date"))</f>
        <v/>
      </c>
      <c r="L102" s="32">
        <f>IF(K102="","",IF(ISNUMBER(K102),IF(K102&lt;0,"Overdue",IF(K102&lt;=30,"Due ≤30 days",IF(K102&lt;=90,"Due ≤90 days","OK"))),"Check date"))</f>
        <v/>
      </c>
      <c r="M102" s="27" t="n"/>
      <c r="N102" s="27" t="n"/>
      <c r="O102" s="27" t="n"/>
      <c r="P102" s="27" t="n"/>
      <c r="Q102" s="27" t="n"/>
      <c r="R102" s="27" t="n"/>
    </row>
    <row r="103">
      <c r="A103" s="27" t="n"/>
      <c r="B103" s="27" t="n"/>
      <c r="C103" s="27" t="n"/>
      <c r="D103" s="34" t="n"/>
      <c r="E103" s="27" t="n"/>
      <c r="F103" s="27" t="n"/>
      <c r="G103" s="28" t="n"/>
      <c r="H103" s="26">
        <f>IF(AND(ISNUMBER(G103),ISNUMBER(D103)),IF(E103="Weeks",G103+7*D103,EDATE(G103,IF(E103="Years",12,1)*D103)),"")</f>
        <v/>
      </c>
      <c r="I103" s="34" t="n"/>
      <c r="J103" s="26">
        <f>IF(ISNUMBER(H103),H103-IF(ISNUMBER(I103),I103,30),"")</f>
        <v/>
      </c>
      <c r="K103" s="35">
        <f>IF(H103="","",IF(ISNUMBER(H103),H103-TODAY(),"Check date"))</f>
        <v/>
      </c>
      <c r="L103" s="32">
        <f>IF(K103="","",IF(ISNUMBER(K103),IF(K103&lt;0,"Overdue",IF(K103&lt;=30,"Due ≤30 days",IF(K103&lt;=90,"Due ≤90 days","OK"))),"Check date"))</f>
        <v/>
      </c>
      <c r="M103" s="27" t="n"/>
      <c r="N103" s="27" t="n"/>
      <c r="O103" s="27" t="n"/>
      <c r="P103" s="27" t="n"/>
      <c r="Q103" s="27" t="n"/>
      <c r="R103" s="27" t="n"/>
    </row>
    <row r="104">
      <c r="A104" s="27" t="n"/>
      <c r="B104" s="27" t="n"/>
      <c r="C104" s="27" t="n"/>
      <c r="D104" s="34" t="n"/>
      <c r="E104" s="27" t="n"/>
      <c r="F104" s="27" t="n"/>
      <c r="G104" s="28" t="n"/>
      <c r="H104" s="26">
        <f>IF(AND(ISNUMBER(G104),ISNUMBER(D104)),IF(E104="Weeks",G104+7*D104,EDATE(G104,IF(E104="Years",12,1)*D104)),"")</f>
        <v/>
      </c>
      <c r="I104" s="34" t="n"/>
      <c r="J104" s="26">
        <f>IF(ISNUMBER(H104),H104-IF(ISNUMBER(I104),I104,30),"")</f>
        <v/>
      </c>
      <c r="K104" s="35">
        <f>IF(H104="","",IF(ISNUMBER(H104),H104-TODAY(),"Check date"))</f>
        <v/>
      </c>
      <c r="L104" s="32">
        <f>IF(K104="","",IF(ISNUMBER(K104),IF(K104&lt;0,"Overdue",IF(K104&lt;=30,"Due ≤30 days",IF(K104&lt;=90,"Due ≤90 days","OK"))),"Check date"))</f>
        <v/>
      </c>
      <c r="M104" s="27" t="n"/>
      <c r="N104" s="27" t="n"/>
      <c r="O104" s="27" t="n"/>
      <c r="P104" s="27" t="n"/>
      <c r="Q104" s="27" t="n"/>
      <c r="R104" s="27" t="n"/>
    </row>
    <row r="105">
      <c r="A105" s="27" t="n"/>
      <c r="B105" s="27" t="n"/>
      <c r="C105" s="27" t="n"/>
      <c r="D105" s="34" t="n"/>
      <c r="E105" s="27" t="n"/>
      <c r="F105" s="27" t="n"/>
      <c r="G105" s="28" t="n"/>
      <c r="H105" s="26">
        <f>IF(AND(ISNUMBER(G105),ISNUMBER(D105)),IF(E105="Weeks",G105+7*D105,EDATE(G105,IF(E105="Years",12,1)*D105)),"")</f>
        <v/>
      </c>
      <c r="I105" s="34" t="n"/>
      <c r="J105" s="26">
        <f>IF(ISNUMBER(H105),H105-IF(ISNUMBER(I105),I105,30),"")</f>
        <v/>
      </c>
      <c r="K105" s="35">
        <f>IF(H105="","",IF(ISNUMBER(H105),H105-TODAY(),"Check date"))</f>
        <v/>
      </c>
      <c r="L105" s="32">
        <f>IF(K105="","",IF(ISNUMBER(K105),IF(K105&lt;0,"Overdue",IF(K105&lt;=30,"Due ≤30 days",IF(K105&lt;=90,"Due ≤90 days","OK"))),"Check date"))</f>
        <v/>
      </c>
      <c r="M105" s="27" t="n"/>
      <c r="N105" s="27" t="n"/>
      <c r="O105" s="27" t="n"/>
      <c r="P105" s="27" t="n"/>
      <c r="Q105" s="27" t="n"/>
      <c r="R105" s="27" t="n"/>
    </row>
    <row r="106">
      <c r="A106" s="27" t="n"/>
      <c r="B106" s="27" t="n"/>
      <c r="C106" s="27" t="n"/>
      <c r="D106" s="34" t="n"/>
      <c r="E106" s="27" t="n"/>
      <c r="F106" s="27" t="n"/>
      <c r="G106" s="28" t="n"/>
      <c r="H106" s="26">
        <f>IF(AND(ISNUMBER(G106),ISNUMBER(D106)),IF(E106="Weeks",G106+7*D106,EDATE(G106,IF(E106="Years",12,1)*D106)),"")</f>
        <v/>
      </c>
      <c r="I106" s="34" t="n"/>
      <c r="J106" s="26">
        <f>IF(ISNUMBER(H106),H106-IF(ISNUMBER(I106),I106,30),"")</f>
        <v/>
      </c>
      <c r="K106" s="35">
        <f>IF(H106="","",IF(ISNUMBER(H106),H106-TODAY(),"Check date"))</f>
        <v/>
      </c>
      <c r="L106" s="32">
        <f>IF(K106="","",IF(ISNUMBER(K106),IF(K106&lt;0,"Overdue",IF(K106&lt;=30,"Due ≤30 days",IF(K106&lt;=90,"Due ≤90 days","OK"))),"Check date"))</f>
        <v/>
      </c>
      <c r="M106" s="27" t="n"/>
      <c r="N106" s="27" t="n"/>
      <c r="O106" s="27" t="n"/>
      <c r="P106" s="27" t="n"/>
      <c r="Q106" s="27" t="n"/>
      <c r="R106" s="27" t="n"/>
    </row>
    <row r="107">
      <c r="A107" s="27" t="n"/>
      <c r="B107" s="27" t="n"/>
      <c r="C107" s="27" t="n"/>
      <c r="D107" s="34" t="n"/>
      <c r="E107" s="27" t="n"/>
      <c r="F107" s="27" t="n"/>
      <c r="G107" s="28" t="n"/>
      <c r="H107" s="26">
        <f>IF(AND(ISNUMBER(G107),ISNUMBER(D107)),IF(E107="Weeks",G107+7*D107,EDATE(G107,IF(E107="Years",12,1)*D107)),"")</f>
        <v/>
      </c>
      <c r="I107" s="34" t="n"/>
      <c r="J107" s="26">
        <f>IF(ISNUMBER(H107),H107-IF(ISNUMBER(I107),I107,30),"")</f>
        <v/>
      </c>
      <c r="K107" s="35">
        <f>IF(H107="","",IF(ISNUMBER(H107),H107-TODAY(),"Check date"))</f>
        <v/>
      </c>
      <c r="L107" s="32">
        <f>IF(K107="","",IF(ISNUMBER(K107),IF(K107&lt;0,"Overdue",IF(K107&lt;=30,"Due ≤30 days",IF(K107&lt;=90,"Due ≤90 days","OK"))),"Check date"))</f>
        <v/>
      </c>
      <c r="M107" s="27" t="n"/>
      <c r="N107" s="27" t="n"/>
      <c r="O107" s="27" t="n"/>
      <c r="P107" s="27" t="n"/>
      <c r="Q107" s="27" t="n"/>
      <c r="R107" s="27" t="n"/>
    </row>
    <row r="108">
      <c r="A108" s="27" t="n"/>
      <c r="B108" s="27" t="n"/>
      <c r="C108" s="27" t="n"/>
      <c r="D108" s="34" t="n"/>
      <c r="E108" s="27" t="n"/>
      <c r="F108" s="27" t="n"/>
      <c r="G108" s="28" t="n"/>
      <c r="H108" s="26">
        <f>IF(AND(ISNUMBER(G108),ISNUMBER(D108)),IF(E108="Weeks",G108+7*D108,EDATE(G108,IF(E108="Years",12,1)*D108)),"")</f>
        <v/>
      </c>
      <c r="I108" s="34" t="n"/>
      <c r="J108" s="26">
        <f>IF(ISNUMBER(H108),H108-IF(ISNUMBER(I108),I108,30),"")</f>
        <v/>
      </c>
      <c r="K108" s="35">
        <f>IF(H108="","",IF(ISNUMBER(H108),H108-TODAY(),"Check date"))</f>
        <v/>
      </c>
      <c r="L108" s="32">
        <f>IF(K108="","",IF(ISNUMBER(K108),IF(K108&lt;0,"Overdue",IF(K108&lt;=30,"Due ≤30 days",IF(K108&lt;=90,"Due ≤90 days","OK"))),"Check date"))</f>
        <v/>
      </c>
      <c r="M108" s="27" t="n"/>
      <c r="N108" s="27" t="n"/>
      <c r="O108" s="27" t="n"/>
      <c r="P108" s="27" t="n"/>
      <c r="Q108" s="27" t="n"/>
      <c r="R108" s="27" t="n"/>
    </row>
    <row r="109">
      <c r="A109" s="27" t="n"/>
      <c r="B109" s="27" t="n"/>
      <c r="C109" s="27" t="n"/>
      <c r="D109" s="34" t="n"/>
      <c r="E109" s="27" t="n"/>
      <c r="F109" s="27" t="n"/>
      <c r="G109" s="28" t="n"/>
      <c r="H109" s="26">
        <f>IF(AND(ISNUMBER(G109),ISNUMBER(D109)),IF(E109="Weeks",G109+7*D109,EDATE(G109,IF(E109="Years",12,1)*D109)),"")</f>
        <v/>
      </c>
      <c r="I109" s="34" t="n"/>
      <c r="J109" s="26">
        <f>IF(ISNUMBER(H109),H109-IF(ISNUMBER(I109),I109,30),"")</f>
        <v/>
      </c>
      <c r="K109" s="35">
        <f>IF(H109="","",IF(ISNUMBER(H109),H109-TODAY(),"Check date"))</f>
        <v/>
      </c>
      <c r="L109" s="32">
        <f>IF(K109="","",IF(ISNUMBER(K109),IF(K109&lt;0,"Overdue",IF(K109&lt;=30,"Due ≤30 days",IF(K109&lt;=90,"Due ≤90 days","OK"))),"Check date"))</f>
        <v/>
      </c>
      <c r="M109" s="27" t="n"/>
      <c r="N109" s="27" t="n"/>
      <c r="O109" s="27" t="n"/>
      <c r="P109" s="27" t="n"/>
      <c r="Q109" s="27" t="n"/>
      <c r="R109" s="27" t="n"/>
    </row>
    <row r="110">
      <c r="A110" s="27" t="n"/>
      <c r="B110" s="27" t="n"/>
      <c r="C110" s="27" t="n"/>
      <c r="D110" s="34" t="n"/>
      <c r="E110" s="27" t="n"/>
      <c r="F110" s="27" t="n"/>
      <c r="G110" s="28" t="n"/>
      <c r="H110" s="26">
        <f>IF(AND(ISNUMBER(G110),ISNUMBER(D110)),IF(E110="Weeks",G110+7*D110,EDATE(G110,IF(E110="Years",12,1)*D110)),"")</f>
        <v/>
      </c>
      <c r="I110" s="34" t="n"/>
      <c r="J110" s="26">
        <f>IF(ISNUMBER(H110),H110-IF(ISNUMBER(I110),I110,30),"")</f>
        <v/>
      </c>
      <c r="K110" s="35">
        <f>IF(H110="","",IF(ISNUMBER(H110),H110-TODAY(),"Check date"))</f>
        <v/>
      </c>
      <c r="L110" s="32">
        <f>IF(K110="","",IF(ISNUMBER(K110),IF(K110&lt;0,"Overdue",IF(K110&lt;=30,"Due ≤30 days",IF(K110&lt;=90,"Due ≤90 days","OK"))),"Check date"))</f>
        <v/>
      </c>
      <c r="M110" s="27" t="n"/>
      <c r="N110" s="27" t="n"/>
      <c r="O110" s="27" t="n"/>
      <c r="P110" s="27" t="n"/>
      <c r="Q110" s="27" t="n"/>
      <c r="R110" s="27" t="n"/>
    </row>
    <row r="111">
      <c r="A111" s="27" t="n"/>
      <c r="B111" s="27" t="n"/>
      <c r="C111" s="27" t="n"/>
      <c r="D111" s="34" t="n"/>
      <c r="E111" s="27" t="n"/>
      <c r="F111" s="27" t="n"/>
      <c r="G111" s="28" t="n"/>
      <c r="H111" s="26">
        <f>IF(AND(ISNUMBER(G111),ISNUMBER(D111)),IF(E111="Weeks",G111+7*D111,EDATE(G111,IF(E111="Years",12,1)*D111)),"")</f>
        <v/>
      </c>
      <c r="I111" s="34" t="n"/>
      <c r="J111" s="26">
        <f>IF(ISNUMBER(H111),H111-IF(ISNUMBER(I111),I111,30),"")</f>
        <v/>
      </c>
      <c r="K111" s="35">
        <f>IF(H111="","",IF(ISNUMBER(H111),H111-TODAY(),"Check date"))</f>
        <v/>
      </c>
      <c r="L111" s="32">
        <f>IF(K111="","",IF(ISNUMBER(K111),IF(K111&lt;0,"Overdue",IF(K111&lt;=30,"Due ≤30 days",IF(K111&lt;=90,"Due ≤90 days","OK"))),"Check date"))</f>
        <v/>
      </c>
      <c r="M111" s="27" t="n"/>
      <c r="N111" s="27" t="n"/>
      <c r="O111" s="27" t="n"/>
      <c r="P111" s="27" t="n"/>
      <c r="Q111" s="27" t="n"/>
      <c r="R111" s="27" t="n"/>
    </row>
    <row r="112">
      <c r="A112" s="27" t="n"/>
      <c r="B112" s="27" t="n"/>
      <c r="C112" s="27" t="n"/>
      <c r="D112" s="34" t="n"/>
      <c r="E112" s="27" t="n"/>
      <c r="F112" s="27" t="n"/>
      <c r="G112" s="28" t="n"/>
      <c r="H112" s="26">
        <f>IF(AND(ISNUMBER(G112),ISNUMBER(D112)),IF(E112="Weeks",G112+7*D112,EDATE(G112,IF(E112="Years",12,1)*D112)),"")</f>
        <v/>
      </c>
      <c r="I112" s="34" t="n"/>
      <c r="J112" s="26">
        <f>IF(ISNUMBER(H112),H112-IF(ISNUMBER(I112),I112,30),"")</f>
        <v/>
      </c>
      <c r="K112" s="35">
        <f>IF(H112="","",IF(ISNUMBER(H112),H112-TODAY(),"Check date"))</f>
        <v/>
      </c>
      <c r="L112" s="32">
        <f>IF(K112="","",IF(ISNUMBER(K112),IF(K112&lt;0,"Overdue",IF(K112&lt;=30,"Due ≤30 days",IF(K112&lt;=90,"Due ≤90 days","OK"))),"Check date"))</f>
        <v/>
      </c>
      <c r="M112" s="27" t="n"/>
      <c r="N112" s="27" t="n"/>
      <c r="O112" s="27" t="n"/>
      <c r="P112" s="27" t="n"/>
      <c r="Q112" s="27" t="n"/>
      <c r="R112" s="27" t="n"/>
    </row>
    <row r="113">
      <c r="A113" s="27" t="n"/>
      <c r="B113" s="27" t="n"/>
      <c r="C113" s="27" t="n"/>
      <c r="D113" s="34" t="n"/>
      <c r="E113" s="27" t="n"/>
      <c r="F113" s="27" t="n"/>
      <c r="G113" s="28" t="n"/>
      <c r="H113" s="26">
        <f>IF(AND(ISNUMBER(G113),ISNUMBER(D113)),IF(E113="Weeks",G113+7*D113,EDATE(G113,IF(E113="Years",12,1)*D113)),"")</f>
        <v/>
      </c>
      <c r="I113" s="34" t="n"/>
      <c r="J113" s="26">
        <f>IF(ISNUMBER(H113),H113-IF(ISNUMBER(I113),I113,30),"")</f>
        <v/>
      </c>
      <c r="K113" s="35">
        <f>IF(H113="","",IF(ISNUMBER(H113),H113-TODAY(),"Check date"))</f>
        <v/>
      </c>
      <c r="L113" s="32">
        <f>IF(K113="","",IF(ISNUMBER(K113),IF(K113&lt;0,"Overdue",IF(K113&lt;=30,"Due ≤30 days",IF(K113&lt;=90,"Due ≤90 days","OK"))),"Check date"))</f>
        <v/>
      </c>
      <c r="M113" s="27" t="n"/>
      <c r="N113" s="27" t="n"/>
      <c r="O113" s="27" t="n"/>
      <c r="P113" s="27" t="n"/>
      <c r="Q113" s="27" t="n"/>
      <c r="R113" s="27" t="n"/>
    </row>
    <row r="114">
      <c r="A114" s="27" t="n"/>
      <c r="B114" s="27" t="n"/>
      <c r="C114" s="27" t="n"/>
      <c r="D114" s="34" t="n"/>
      <c r="E114" s="27" t="n"/>
      <c r="F114" s="27" t="n"/>
      <c r="G114" s="28" t="n"/>
      <c r="H114" s="26">
        <f>IF(AND(ISNUMBER(G114),ISNUMBER(D114)),IF(E114="Weeks",G114+7*D114,EDATE(G114,IF(E114="Years",12,1)*D114)),"")</f>
        <v/>
      </c>
      <c r="I114" s="34" t="n"/>
      <c r="J114" s="26">
        <f>IF(ISNUMBER(H114),H114-IF(ISNUMBER(I114),I114,30),"")</f>
        <v/>
      </c>
      <c r="K114" s="35">
        <f>IF(H114="","",IF(ISNUMBER(H114),H114-TODAY(),"Check date"))</f>
        <v/>
      </c>
      <c r="L114" s="32">
        <f>IF(K114="","",IF(ISNUMBER(K114),IF(K114&lt;0,"Overdue",IF(K114&lt;=30,"Due ≤30 days",IF(K114&lt;=90,"Due ≤90 days","OK"))),"Check date"))</f>
        <v/>
      </c>
      <c r="M114" s="27" t="n"/>
      <c r="N114" s="27" t="n"/>
      <c r="O114" s="27" t="n"/>
      <c r="P114" s="27" t="n"/>
      <c r="Q114" s="27" t="n"/>
      <c r="R114" s="27" t="n"/>
    </row>
    <row r="115">
      <c r="A115" s="27" t="n"/>
      <c r="B115" s="27" t="n"/>
      <c r="C115" s="27" t="n"/>
      <c r="D115" s="34" t="n"/>
      <c r="E115" s="27" t="n"/>
      <c r="F115" s="27" t="n"/>
      <c r="G115" s="28" t="n"/>
      <c r="H115" s="26">
        <f>IF(AND(ISNUMBER(G115),ISNUMBER(D115)),IF(E115="Weeks",G115+7*D115,EDATE(G115,IF(E115="Years",12,1)*D115)),"")</f>
        <v/>
      </c>
      <c r="I115" s="34" t="n"/>
      <c r="J115" s="26">
        <f>IF(ISNUMBER(H115),H115-IF(ISNUMBER(I115),I115,30),"")</f>
        <v/>
      </c>
      <c r="K115" s="35">
        <f>IF(H115="","",IF(ISNUMBER(H115),H115-TODAY(),"Check date"))</f>
        <v/>
      </c>
      <c r="L115" s="32">
        <f>IF(K115="","",IF(ISNUMBER(K115),IF(K115&lt;0,"Overdue",IF(K115&lt;=30,"Due ≤30 days",IF(K115&lt;=90,"Due ≤90 days","OK"))),"Check date"))</f>
        <v/>
      </c>
      <c r="M115" s="27" t="n"/>
      <c r="N115" s="27" t="n"/>
      <c r="O115" s="27" t="n"/>
      <c r="P115" s="27" t="n"/>
      <c r="Q115" s="27" t="n"/>
      <c r="R115" s="27" t="n"/>
    </row>
    <row r="116">
      <c r="A116" s="27" t="n"/>
      <c r="B116" s="27" t="n"/>
      <c r="C116" s="27" t="n"/>
      <c r="D116" s="34" t="n"/>
      <c r="E116" s="27" t="n"/>
      <c r="F116" s="27" t="n"/>
      <c r="G116" s="28" t="n"/>
      <c r="H116" s="26">
        <f>IF(AND(ISNUMBER(G116),ISNUMBER(D116)),IF(E116="Weeks",G116+7*D116,EDATE(G116,IF(E116="Years",12,1)*D116)),"")</f>
        <v/>
      </c>
      <c r="I116" s="34" t="n"/>
      <c r="J116" s="26">
        <f>IF(ISNUMBER(H116),H116-IF(ISNUMBER(I116),I116,30),"")</f>
        <v/>
      </c>
      <c r="K116" s="35">
        <f>IF(H116="","",IF(ISNUMBER(H116),H116-TODAY(),"Check date"))</f>
        <v/>
      </c>
      <c r="L116" s="32">
        <f>IF(K116="","",IF(ISNUMBER(K116),IF(K116&lt;0,"Overdue",IF(K116&lt;=30,"Due ≤30 days",IF(K116&lt;=90,"Due ≤90 days","OK"))),"Check date"))</f>
        <v/>
      </c>
      <c r="M116" s="27" t="n"/>
      <c r="N116" s="27" t="n"/>
      <c r="O116" s="27" t="n"/>
      <c r="P116" s="27" t="n"/>
      <c r="Q116" s="27" t="n"/>
      <c r="R116" s="27" t="n"/>
    </row>
    <row r="117">
      <c r="A117" s="27" t="n"/>
      <c r="B117" s="27" t="n"/>
      <c r="C117" s="27" t="n"/>
      <c r="D117" s="34" t="n"/>
      <c r="E117" s="27" t="n"/>
      <c r="F117" s="27" t="n"/>
      <c r="G117" s="28" t="n"/>
      <c r="H117" s="26">
        <f>IF(AND(ISNUMBER(G117),ISNUMBER(D117)),IF(E117="Weeks",G117+7*D117,EDATE(G117,IF(E117="Years",12,1)*D117)),"")</f>
        <v/>
      </c>
      <c r="I117" s="34" t="n"/>
      <c r="J117" s="26">
        <f>IF(ISNUMBER(H117),H117-IF(ISNUMBER(I117),I117,30),"")</f>
        <v/>
      </c>
      <c r="K117" s="35">
        <f>IF(H117="","",IF(ISNUMBER(H117),H117-TODAY(),"Check date"))</f>
        <v/>
      </c>
      <c r="L117" s="32">
        <f>IF(K117="","",IF(ISNUMBER(K117),IF(K117&lt;0,"Overdue",IF(K117&lt;=30,"Due ≤30 days",IF(K117&lt;=90,"Due ≤90 days","OK"))),"Check date"))</f>
        <v/>
      </c>
      <c r="M117" s="27" t="n"/>
      <c r="N117" s="27" t="n"/>
      <c r="O117" s="27" t="n"/>
      <c r="P117" s="27" t="n"/>
      <c r="Q117" s="27" t="n"/>
      <c r="R117" s="27" t="n"/>
    </row>
    <row r="118">
      <c r="A118" s="27" t="n"/>
      <c r="B118" s="27" t="n"/>
      <c r="C118" s="27" t="n"/>
      <c r="D118" s="34" t="n"/>
      <c r="E118" s="27" t="n"/>
      <c r="F118" s="27" t="n"/>
      <c r="G118" s="28" t="n"/>
      <c r="H118" s="26">
        <f>IF(AND(ISNUMBER(G118),ISNUMBER(D118)),IF(E118="Weeks",G118+7*D118,EDATE(G118,IF(E118="Years",12,1)*D118)),"")</f>
        <v/>
      </c>
      <c r="I118" s="34" t="n"/>
      <c r="J118" s="26">
        <f>IF(ISNUMBER(H118),H118-IF(ISNUMBER(I118),I118,30),"")</f>
        <v/>
      </c>
      <c r="K118" s="35">
        <f>IF(H118="","",IF(ISNUMBER(H118),H118-TODAY(),"Check date"))</f>
        <v/>
      </c>
      <c r="L118" s="32">
        <f>IF(K118="","",IF(ISNUMBER(K118),IF(K118&lt;0,"Overdue",IF(K118&lt;=30,"Due ≤30 days",IF(K118&lt;=90,"Due ≤90 days","OK"))),"Check date"))</f>
        <v/>
      </c>
      <c r="M118" s="27" t="n"/>
      <c r="N118" s="27" t="n"/>
      <c r="O118" s="27" t="n"/>
      <c r="P118" s="27" t="n"/>
      <c r="Q118" s="27" t="n"/>
      <c r="R118" s="27" t="n"/>
    </row>
    <row r="119">
      <c r="A119" s="27" t="n"/>
      <c r="B119" s="27" t="n"/>
      <c r="C119" s="27" t="n"/>
      <c r="D119" s="34" t="n"/>
      <c r="E119" s="27" t="n"/>
      <c r="F119" s="27" t="n"/>
      <c r="G119" s="28" t="n"/>
      <c r="H119" s="26">
        <f>IF(AND(ISNUMBER(G119),ISNUMBER(D119)),IF(E119="Weeks",G119+7*D119,EDATE(G119,IF(E119="Years",12,1)*D119)),"")</f>
        <v/>
      </c>
      <c r="I119" s="34" t="n"/>
      <c r="J119" s="26">
        <f>IF(ISNUMBER(H119),H119-IF(ISNUMBER(I119),I119,30),"")</f>
        <v/>
      </c>
      <c r="K119" s="35">
        <f>IF(H119="","",IF(ISNUMBER(H119),H119-TODAY(),"Check date"))</f>
        <v/>
      </c>
      <c r="L119" s="32">
        <f>IF(K119="","",IF(ISNUMBER(K119),IF(K119&lt;0,"Overdue",IF(K119&lt;=30,"Due ≤30 days",IF(K119&lt;=90,"Due ≤90 days","OK"))),"Check date"))</f>
        <v/>
      </c>
      <c r="M119" s="27" t="n"/>
      <c r="N119" s="27" t="n"/>
      <c r="O119" s="27" t="n"/>
      <c r="P119" s="27" t="n"/>
      <c r="Q119" s="27" t="n"/>
      <c r="R119" s="27" t="n"/>
    </row>
    <row r="120">
      <c r="A120" s="27" t="n"/>
      <c r="B120" s="27" t="n"/>
      <c r="C120" s="27" t="n"/>
      <c r="D120" s="34" t="n"/>
      <c r="E120" s="27" t="n"/>
      <c r="F120" s="27" t="n"/>
      <c r="G120" s="28" t="n"/>
      <c r="H120" s="26">
        <f>IF(AND(ISNUMBER(G120),ISNUMBER(D120)),IF(E120="Weeks",G120+7*D120,EDATE(G120,IF(E120="Years",12,1)*D120)),"")</f>
        <v/>
      </c>
      <c r="I120" s="34" t="n"/>
      <c r="J120" s="26">
        <f>IF(ISNUMBER(H120),H120-IF(ISNUMBER(I120),I120,30),"")</f>
        <v/>
      </c>
      <c r="K120" s="35">
        <f>IF(H120="","",IF(ISNUMBER(H120),H120-TODAY(),"Check date"))</f>
        <v/>
      </c>
      <c r="L120" s="32">
        <f>IF(K120="","",IF(ISNUMBER(K120),IF(K120&lt;0,"Overdue",IF(K120&lt;=30,"Due ≤30 days",IF(K120&lt;=90,"Due ≤90 days","OK"))),"Check date"))</f>
        <v/>
      </c>
      <c r="M120" s="27" t="n"/>
      <c r="N120" s="27" t="n"/>
      <c r="O120" s="27" t="n"/>
      <c r="P120" s="27" t="n"/>
      <c r="Q120" s="27" t="n"/>
      <c r="R120" s="27" t="n"/>
    </row>
    <row r="121">
      <c r="A121" s="27" t="n"/>
      <c r="B121" s="27" t="n"/>
      <c r="C121" s="27" t="n"/>
      <c r="D121" s="34" t="n"/>
      <c r="E121" s="27" t="n"/>
      <c r="F121" s="27" t="n"/>
      <c r="G121" s="28" t="n"/>
      <c r="H121" s="26">
        <f>IF(AND(ISNUMBER(G121),ISNUMBER(D121)),IF(E121="Weeks",G121+7*D121,EDATE(G121,IF(E121="Years",12,1)*D121)),"")</f>
        <v/>
      </c>
      <c r="I121" s="34" t="n"/>
      <c r="J121" s="26">
        <f>IF(ISNUMBER(H121),H121-IF(ISNUMBER(I121),I121,30),"")</f>
        <v/>
      </c>
      <c r="K121" s="35">
        <f>IF(H121="","",IF(ISNUMBER(H121),H121-TODAY(),"Check date"))</f>
        <v/>
      </c>
      <c r="L121" s="32">
        <f>IF(K121="","",IF(ISNUMBER(K121),IF(K121&lt;0,"Overdue",IF(K121&lt;=30,"Due ≤30 days",IF(K121&lt;=90,"Due ≤90 days","OK"))),"Check date"))</f>
        <v/>
      </c>
      <c r="M121" s="27" t="n"/>
      <c r="N121" s="27" t="n"/>
      <c r="O121" s="27" t="n"/>
      <c r="P121" s="27" t="n"/>
      <c r="Q121" s="27" t="n"/>
      <c r="R121" s="27" t="n"/>
    </row>
    <row r="122">
      <c r="A122" s="27" t="n"/>
      <c r="B122" s="27" t="n"/>
      <c r="C122" s="27" t="n"/>
      <c r="D122" s="34" t="n"/>
      <c r="E122" s="27" t="n"/>
      <c r="F122" s="27" t="n"/>
      <c r="G122" s="28" t="n"/>
      <c r="H122" s="26">
        <f>IF(AND(ISNUMBER(G122),ISNUMBER(D122)),IF(E122="Weeks",G122+7*D122,EDATE(G122,IF(E122="Years",12,1)*D122)),"")</f>
        <v/>
      </c>
      <c r="I122" s="34" t="n"/>
      <c r="J122" s="26">
        <f>IF(ISNUMBER(H122),H122-IF(ISNUMBER(I122),I122,30),"")</f>
        <v/>
      </c>
      <c r="K122" s="35">
        <f>IF(H122="","",IF(ISNUMBER(H122),H122-TODAY(),"Check date"))</f>
        <v/>
      </c>
      <c r="L122" s="32">
        <f>IF(K122="","",IF(ISNUMBER(K122),IF(K122&lt;0,"Overdue",IF(K122&lt;=30,"Due ≤30 days",IF(K122&lt;=90,"Due ≤90 days","OK"))),"Check date"))</f>
        <v/>
      </c>
      <c r="M122" s="27" t="n"/>
      <c r="N122" s="27" t="n"/>
      <c r="O122" s="27" t="n"/>
      <c r="P122" s="27" t="n"/>
      <c r="Q122" s="27" t="n"/>
      <c r="R122" s="27" t="n"/>
    </row>
    <row r="123">
      <c r="A123" s="27" t="n"/>
      <c r="B123" s="27" t="n"/>
      <c r="C123" s="27" t="n"/>
      <c r="D123" s="34" t="n"/>
      <c r="E123" s="27" t="n"/>
      <c r="F123" s="27" t="n"/>
      <c r="G123" s="28" t="n"/>
      <c r="H123" s="26">
        <f>IF(AND(ISNUMBER(G123),ISNUMBER(D123)),IF(E123="Weeks",G123+7*D123,EDATE(G123,IF(E123="Years",12,1)*D123)),"")</f>
        <v/>
      </c>
      <c r="I123" s="34" t="n"/>
      <c r="J123" s="26">
        <f>IF(ISNUMBER(H123),H123-IF(ISNUMBER(I123),I123,30),"")</f>
        <v/>
      </c>
      <c r="K123" s="35">
        <f>IF(H123="","",IF(ISNUMBER(H123),H123-TODAY(),"Check date"))</f>
        <v/>
      </c>
      <c r="L123" s="32">
        <f>IF(K123="","",IF(ISNUMBER(K123),IF(K123&lt;0,"Overdue",IF(K123&lt;=30,"Due ≤30 days",IF(K123&lt;=90,"Due ≤90 days","OK"))),"Check date"))</f>
        <v/>
      </c>
      <c r="M123" s="27" t="n"/>
      <c r="N123" s="27" t="n"/>
      <c r="O123" s="27" t="n"/>
      <c r="P123" s="27" t="n"/>
      <c r="Q123" s="27" t="n"/>
      <c r="R123" s="27" t="n"/>
    </row>
    <row r="124">
      <c r="A124" s="27" t="n"/>
      <c r="B124" s="27" t="n"/>
      <c r="C124" s="27" t="n"/>
      <c r="D124" s="34" t="n"/>
      <c r="E124" s="27" t="n"/>
      <c r="F124" s="27" t="n"/>
      <c r="G124" s="28" t="n"/>
      <c r="H124" s="26">
        <f>IF(AND(ISNUMBER(G124),ISNUMBER(D124)),IF(E124="Weeks",G124+7*D124,EDATE(G124,IF(E124="Years",12,1)*D124)),"")</f>
        <v/>
      </c>
      <c r="I124" s="34" t="n"/>
      <c r="J124" s="26">
        <f>IF(ISNUMBER(H124),H124-IF(ISNUMBER(I124),I124,30),"")</f>
        <v/>
      </c>
      <c r="K124" s="35">
        <f>IF(H124="","",IF(ISNUMBER(H124),H124-TODAY(),"Check date"))</f>
        <v/>
      </c>
      <c r="L124" s="32">
        <f>IF(K124="","",IF(ISNUMBER(K124),IF(K124&lt;0,"Overdue",IF(K124&lt;=30,"Due ≤30 days",IF(K124&lt;=90,"Due ≤90 days","OK"))),"Check date"))</f>
        <v/>
      </c>
      <c r="M124" s="27" t="n"/>
      <c r="N124" s="27" t="n"/>
      <c r="O124" s="27" t="n"/>
      <c r="P124" s="27" t="n"/>
      <c r="Q124" s="27" t="n"/>
      <c r="R124" s="27" t="n"/>
    </row>
    <row r="125">
      <c r="A125" s="27" t="n"/>
      <c r="B125" s="27" t="n"/>
      <c r="C125" s="27" t="n"/>
      <c r="D125" s="34" t="n"/>
      <c r="E125" s="27" t="n"/>
      <c r="F125" s="27" t="n"/>
      <c r="G125" s="28" t="n"/>
      <c r="H125" s="26">
        <f>IF(AND(ISNUMBER(G125),ISNUMBER(D125)),IF(E125="Weeks",G125+7*D125,EDATE(G125,IF(E125="Years",12,1)*D125)),"")</f>
        <v/>
      </c>
      <c r="I125" s="34" t="n"/>
      <c r="J125" s="26">
        <f>IF(ISNUMBER(H125),H125-IF(ISNUMBER(I125),I125,30),"")</f>
        <v/>
      </c>
      <c r="K125" s="35">
        <f>IF(H125="","",IF(ISNUMBER(H125),H125-TODAY(),"Check date"))</f>
        <v/>
      </c>
      <c r="L125" s="32">
        <f>IF(K125="","",IF(ISNUMBER(K125),IF(K125&lt;0,"Overdue",IF(K125&lt;=30,"Due ≤30 days",IF(K125&lt;=90,"Due ≤90 days","OK"))),"Check date"))</f>
        <v/>
      </c>
      <c r="M125" s="27" t="n"/>
      <c r="N125" s="27" t="n"/>
      <c r="O125" s="27" t="n"/>
      <c r="P125" s="27" t="n"/>
      <c r="Q125" s="27" t="n"/>
      <c r="R125" s="27" t="n"/>
    </row>
    <row r="126">
      <c r="A126" s="27" t="n"/>
      <c r="B126" s="27" t="n"/>
      <c r="C126" s="27" t="n"/>
      <c r="D126" s="34" t="n"/>
      <c r="E126" s="27" t="n"/>
      <c r="F126" s="27" t="n"/>
      <c r="G126" s="28" t="n"/>
      <c r="H126" s="26">
        <f>IF(AND(ISNUMBER(G126),ISNUMBER(D126)),IF(E126="Weeks",G126+7*D126,EDATE(G126,IF(E126="Years",12,1)*D126)),"")</f>
        <v/>
      </c>
      <c r="I126" s="34" t="n"/>
      <c r="J126" s="26">
        <f>IF(ISNUMBER(H126),H126-IF(ISNUMBER(I126),I126,30),"")</f>
        <v/>
      </c>
      <c r="K126" s="35">
        <f>IF(H126="","",IF(ISNUMBER(H126),H126-TODAY(),"Check date"))</f>
        <v/>
      </c>
      <c r="L126" s="32">
        <f>IF(K126="","",IF(ISNUMBER(K126),IF(K126&lt;0,"Overdue",IF(K126&lt;=30,"Due ≤30 days",IF(K126&lt;=90,"Due ≤90 days","OK"))),"Check date"))</f>
        <v/>
      </c>
      <c r="M126" s="27" t="n"/>
      <c r="N126" s="27" t="n"/>
      <c r="O126" s="27" t="n"/>
      <c r="P126" s="27" t="n"/>
      <c r="Q126" s="27" t="n"/>
      <c r="R126" s="27" t="n"/>
    </row>
    <row r="127">
      <c r="A127" s="27" t="n"/>
      <c r="B127" s="27" t="n"/>
      <c r="C127" s="27" t="n"/>
      <c r="D127" s="34" t="n"/>
      <c r="E127" s="27" t="n"/>
      <c r="F127" s="27" t="n"/>
      <c r="G127" s="28" t="n"/>
      <c r="H127" s="26">
        <f>IF(AND(ISNUMBER(G127),ISNUMBER(D127)),IF(E127="Weeks",G127+7*D127,EDATE(G127,IF(E127="Years",12,1)*D127)),"")</f>
        <v/>
      </c>
      <c r="I127" s="34" t="n"/>
      <c r="J127" s="26">
        <f>IF(ISNUMBER(H127),H127-IF(ISNUMBER(I127),I127,30),"")</f>
        <v/>
      </c>
      <c r="K127" s="35">
        <f>IF(H127="","",IF(ISNUMBER(H127),H127-TODAY(),"Check date"))</f>
        <v/>
      </c>
      <c r="L127" s="32">
        <f>IF(K127="","",IF(ISNUMBER(K127),IF(K127&lt;0,"Overdue",IF(K127&lt;=30,"Due ≤30 days",IF(K127&lt;=90,"Due ≤90 days","OK"))),"Check date"))</f>
        <v/>
      </c>
      <c r="M127" s="27" t="n"/>
      <c r="N127" s="27" t="n"/>
      <c r="O127" s="27" t="n"/>
      <c r="P127" s="27" t="n"/>
      <c r="Q127" s="27" t="n"/>
      <c r="R127" s="27" t="n"/>
    </row>
    <row r="128">
      <c r="A128" s="27" t="n"/>
      <c r="B128" s="27" t="n"/>
      <c r="C128" s="27" t="n"/>
      <c r="D128" s="34" t="n"/>
      <c r="E128" s="27" t="n"/>
      <c r="F128" s="27" t="n"/>
      <c r="G128" s="28" t="n"/>
      <c r="H128" s="26">
        <f>IF(AND(ISNUMBER(G128),ISNUMBER(D128)),IF(E128="Weeks",G128+7*D128,EDATE(G128,IF(E128="Years",12,1)*D128)),"")</f>
        <v/>
      </c>
      <c r="I128" s="34" t="n"/>
      <c r="J128" s="26">
        <f>IF(ISNUMBER(H128),H128-IF(ISNUMBER(I128),I128,30),"")</f>
        <v/>
      </c>
      <c r="K128" s="35">
        <f>IF(H128="","",IF(ISNUMBER(H128),H128-TODAY(),"Check date"))</f>
        <v/>
      </c>
      <c r="L128" s="32">
        <f>IF(K128="","",IF(ISNUMBER(K128),IF(K128&lt;0,"Overdue",IF(K128&lt;=30,"Due ≤30 days",IF(K128&lt;=90,"Due ≤90 days","OK"))),"Check date"))</f>
        <v/>
      </c>
      <c r="M128" s="27" t="n"/>
      <c r="N128" s="27" t="n"/>
      <c r="O128" s="27" t="n"/>
      <c r="P128" s="27" t="n"/>
      <c r="Q128" s="27" t="n"/>
      <c r="R128" s="27" t="n"/>
    </row>
    <row r="129">
      <c r="A129" s="27" t="n"/>
      <c r="B129" s="27" t="n"/>
      <c r="C129" s="27" t="n"/>
      <c r="D129" s="34" t="n"/>
      <c r="E129" s="27" t="n"/>
      <c r="F129" s="27" t="n"/>
      <c r="G129" s="28" t="n"/>
      <c r="H129" s="26">
        <f>IF(AND(ISNUMBER(G129),ISNUMBER(D129)),IF(E129="Weeks",G129+7*D129,EDATE(G129,IF(E129="Years",12,1)*D129)),"")</f>
        <v/>
      </c>
      <c r="I129" s="34" t="n"/>
      <c r="J129" s="26">
        <f>IF(ISNUMBER(H129),H129-IF(ISNUMBER(I129),I129,30),"")</f>
        <v/>
      </c>
      <c r="K129" s="35">
        <f>IF(H129="","",IF(ISNUMBER(H129),H129-TODAY(),"Check date"))</f>
        <v/>
      </c>
      <c r="L129" s="32">
        <f>IF(K129="","",IF(ISNUMBER(K129),IF(K129&lt;0,"Overdue",IF(K129&lt;=30,"Due ≤30 days",IF(K129&lt;=90,"Due ≤90 days","OK"))),"Check date"))</f>
        <v/>
      </c>
      <c r="M129" s="27" t="n"/>
      <c r="N129" s="27" t="n"/>
      <c r="O129" s="27" t="n"/>
      <c r="P129" s="27" t="n"/>
      <c r="Q129" s="27" t="n"/>
      <c r="R129" s="27" t="n"/>
    </row>
    <row r="130">
      <c r="A130" s="27" t="n"/>
      <c r="B130" s="27" t="n"/>
      <c r="C130" s="27" t="n"/>
      <c r="D130" s="34" t="n"/>
      <c r="E130" s="27" t="n"/>
      <c r="F130" s="27" t="n"/>
      <c r="G130" s="28" t="n"/>
      <c r="H130" s="26">
        <f>IF(AND(ISNUMBER(G130),ISNUMBER(D130)),IF(E130="Weeks",G130+7*D130,EDATE(G130,IF(E130="Years",12,1)*D130)),"")</f>
        <v/>
      </c>
      <c r="I130" s="34" t="n"/>
      <c r="J130" s="26">
        <f>IF(ISNUMBER(H130),H130-IF(ISNUMBER(I130),I130,30),"")</f>
        <v/>
      </c>
      <c r="K130" s="35">
        <f>IF(H130="","",IF(ISNUMBER(H130),H130-TODAY(),"Check date"))</f>
        <v/>
      </c>
      <c r="L130" s="32">
        <f>IF(K130="","",IF(ISNUMBER(K130),IF(K130&lt;0,"Overdue",IF(K130&lt;=30,"Due ≤30 days",IF(K130&lt;=90,"Due ≤90 days","OK"))),"Check date"))</f>
        <v/>
      </c>
      <c r="M130" s="27" t="n"/>
      <c r="N130" s="27" t="n"/>
      <c r="O130" s="27" t="n"/>
      <c r="P130" s="27" t="n"/>
      <c r="Q130" s="27" t="n"/>
      <c r="R130" s="27" t="n"/>
    </row>
    <row r="131">
      <c r="A131" s="27" t="n"/>
      <c r="B131" s="27" t="n"/>
      <c r="C131" s="27" t="n"/>
      <c r="D131" s="34" t="n"/>
      <c r="E131" s="27" t="n"/>
      <c r="F131" s="27" t="n"/>
      <c r="G131" s="28" t="n"/>
      <c r="H131" s="26">
        <f>IF(AND(ISNUMBER(G131),ISNUMBER(D131)),IF(E131="Weeks",G131+7*D131,EDATE(G131,IF(E131="Years",12,1)*D131)),"")</f>
        <v/>
      </c>
      <c r="I131" s="34" t="n"/>
      <c r="J131" s="26">
        <f>IF(ISNUMBER(H131),H131-IF(ISNUMBER(I131),I131,30),"")</f>
        <v/>
      </c>
      <c r="K131" s="35">
        <f>IF(H131="","",IF(ISNUMBER(H131),H131-TODAY(),"Check date"))</f>
        <v/>
      </c>
      <c r="L131" s="32">
        <f>IF(K131="","",IF(ISNUMBER(K131),IF(K131&lt;0,"Overdue",IF(K131&lt;=30,"Due ≤30 days",IF(K131&lt;=90,"Due ≤90 days","OK"))),"Check date"))</f>
        <v/>
      </c>
      <c r="M131" s="27" t="n"/>
      <c r="N131" s="27" t="n"/>
      <c r="O131" s="27" t="n"/>
      <c r="P131" s="27" t="n"/>
      <c r="Q131" s="27" t="n"/>
      <c r="R131" s="27" t="n"/>
    </row>
    <row r="132">
      <c r="A132" s="27" t="n"/>
      <c r="B132" s="27" t="n"/>
      <c r="C132" s="27" t="n"/>
      <c r="D132" s="34" t="n"/>
      <c r="E132" s="27" t="n"/>
      <c r="F132" s="27" t="n"/>
      <c r="G132" s="28" t="n"/>
      <c r="H132" s="26">
        <f>IF(AND(ISNUMBER(G132),ISNUMBER(D132)),IF(E132="Weeks",G132+7*D132,EDATE(G132,IF(E132="Years",12,1)*D132)),"")</f>
        <v/>
      </c>
      <c r="I132" s="34" t="n"/>
      <c r="J132" s="26">
        <f>IF(ISNUMBER(H132),H132-IF(ISNUMBER(I132),I132,30),"")</f>
        <v/>
      </c>
      <c r="K132" s="35">
        <f>IF(H132="","",IF(ISNUMBER(H132),H132-TODAY(),"Check date"))</f>
        <v/>
      </c>
      <c r="L132" s="32">
        <f>IF(K132="","",IF(ISNUMBER(K132),IF(K132&lt;0,"Overdue",IF(K132&lt;=30,"Due ≤30 days",IF(K132&lt;=90,"Due ≤90 days","OK"))),"Check date"))</f>
        <v/>
      </c>
      <c r="M132" s="27" t="n"/>
      <c r="N132" s="27" t="n"/>
      <c r="O132" s="27" t="n"/>
      <c r="P132" s="27" t="n"/>
      <c r="Q132" s="27" t="n"/>
      <c r="R132" s="27" t="n"/>
    </row>
    <row r="133">
      <c r="A133" s="27" t="n"/>
      <c r="B133" s="27" t="n"/>
      <c r="C133" s="27" t="n"/>
      <c r="D133" s="34" t="n"/>
      <c r="E133" s="27" t="n"/>
      <c r="F133" s="27" t="n"/>
      <c r="G133" s="28" t="n"/>
      <c r="H133" s="26">
        <f>IF(AND(ISNUMBER(G133),ISNUMBER(D133)),IF(E133="Weeks",G133+7*D133,EDATE(G133,IF(E133="Years",12,1)*D133)),"")</f>
        <v/>
      </c>
      <c r="I133" s="34" t="n"/>
      <c r="J133" s="26">
        <f>IF(ISNUMBER(H133),H133-IF(ISNUMBER(I133),I133,30),"")</f>
        <v/>
      </c>
      <c r="K133" s="35">
        <f>IF(H133="","",IF(ISNUMBER(H133),H133-TODAY(),"Check date"))</f>
        <v/>
      </c>
      <c r="L133" s="32">
        <f>IF(K133="","",IF(ISNUMBER(K133),IF(K133&lt;0,"Overdue",IF(K133&lt;=30,"Due ≤30 days",IF(K133&lt;=90,"Due ≤90 days","OK"))),"Check date"))</f>
        <v/>
      </c>
      <c r="M133" s="27" t="n"/>
      <c r="N133" s="27" t="n"/>
      <c r="O133" s="27" t="n"/>
      <c r="P133" s="27" t="n"/>
      <c r="Q133" s="27" t="n"/>
      <c r="R133" s="27" t="n"/>
    </row>
    <row r="134">
      <c r="A134" s="27" t="n"/>
      <c r="B134" s="27" t="n"/>
      <c r="C134" s="27" t="n"/>
      <c r="D134" s="34" t="n"/>
      <c r="E134" s="27" t="n"/>
      <c r="F134" s="27" t="n"/>
      <c r="G134" s="28" t="n"/>
      <c r="H134" s="26">
        <f>IF(AND(ISNUMBER(G134),ISNUMBER(D134)),IF(E134="Weeks",G134+7*D134,EDATE(G134,IF(E134="Years",12,1)*D134)),"")</f>
        <v/>
      </c>
      <c r="I134" s="34" t="n"/>
      <c r="J134" s="26">
        <f>IF(ISNUMBER(H134),H134-IF(ISNUMBER(I134),I134,30),"")</f>
        <v/>
      </c>
      <c r="K134" s="35">
        <f>IF(H134="","",IF(ISNUMBER(H134),H134-TODAY(),"Check date"))</f>
        <v/>
      </c>
      <c r="L134" s="32">
        <f>IF(K134="","",IF(ISNUMBER(K134),IF(K134&lt;0,"Overdue",IF(K134&lt;=30,"Due ≤30 days",IF(K134&lt;=90,"Due ≤90 days","OK"))),"Check date"))</f>
        <v/>
      </c>
      <c r="M134" s="27" t="n"/>
      <c r="N134" s="27" t="n"/>
      <c r="O134" s="27" t="n"/>
      <c r="P134" s="27" t="n"/>
      <c r="Q134" s="27" t="n"/>
      <c r="R134" s="27" t="n"/>
    </row>
    <row r="135">
      <c r="A135" s="27" t="n"/>
      <c r="B135" s="27" t="n"/>
      <c r="C135" s="27" t="n"/>
      <c r="D135" s="34" t="n"/>
      <c r="E135" s="27" t="n"/>
      <c r="F135" s="27" t="n"/>
      <c r="G135" s="28" t="n"/>
      <c r="H135" s="26">
        <f>IF(AND(ISNUMBER(G135),ISNUMBER(D135)),IF(E135="Weeks",G135+7*D135,EDATE(G135,IF(E135="Years",12,1)*D135)),"")</f>
        <v/>
      </c>
      <c r="I135" s="34" t="n"/>
      <c r="J135" s="26">
        <f>IF(ISNUMBER(H135),H135-IF(ISNUMBER(I135),I135,30),"")</f>
        <v/>
      </c>
      <c r="K135" s="35">
        <f>IF(H135="","",IF(ISNUMBER(H135),H135-TODAY(),"Check date"))</f>
        <v/>
      </c>
      <c r="L135" s="32">
        <f>IF(K135="","",IF(ISNUMBER(K135),IF(K135&lt;0,"Overdue",IF(K135&lt;=30,"Due ≤30 days",IF(K135&lt;=90,"Due ≤90 days","OK"))),"Check date"))</f>
        <v/>
      </c>
      <c r="M135" s="27" t="n"/>
      <c r="N135" s="27" t="n"/>
      <c r="O135" s="27" t="n"/>
      <c r="P135" s="27" t="n"/>
      <c r="Q135" s="27" t="n"/>
      <c r="R135" s="27" t="n"/>
    </row>
    <row r="136">
      <c r="A136" s="27" t="n"/>
      <c r="B136" s="27" t="n"/>
      <c r="C136" s="27" t="n"/>
      <c r="D136" s="34" t="n"/>
      <c r="E136" s="27" t="n"/>
      <c r="F136" s="27" t="n"/>
      <c r="G136" s="28" t="n"/>
      <c r="H136" s="26">
        <f>IF(AND(ISNUMBER(G136),ISNUMBER(D136)),IF(E136="Weeks",G136+7*D136,EDATE(G136,IF(E136="Years",12,1)*D136)),"")</f>
        <v/>
      </c>
      <c r="I136" s="34" t="n"/>
      <c r="J136" s="26">
        <f>IF(ISNUMBER(H136),H136-IF(ISNUMBER(I136),I136,30),"")</f>
        <v/>
      </c>
      <c r="K136" s="35">
        <f>IF(H136="","",IF(ISNUMBER(H136),H136-TODAY(),"Check date"))</f>
        <v/>
      </c>
      <c r="L136" s="32">
        <f>IF(K136="","",IF(ISNUMBER(K136),IF(K136&lt;0,"Overdue",IF(K136&lt;=30,"Due ≤30 days",IF(K136&lt;=90,"Due ≤90 days","OK"))),"Check date"))</f>
        <v/>
      </c>
      <c r="M136" s="27" t="n"/>
      <c r="N136" s="27" t="n"/>
      <c r="O136" s="27" t="n"/>
      <c r="P136" s="27" t="n"/>
      <c r="Q136" s="27" t="n"/>
      <c r="R136" s="27" t="n"/>
    </row>
    <row r="137">
      <c r="A137" s="27" t="n"/>
      <c r="B137" s="27" t="n"/>
      <c r="C137" s="27" t="n"/>
      <c r="D137" s="34" t="n"/>
      <c r="E137" s="27" t="n"/>
      <c r="F137" s="27" t="n"/>
      <c r="G137" s="28" t="n"/>
      <c r="H137" s="26">
        <f>IF(AND(ISNUMBER(G137),ISNUMBER(D137)),IF(E137="Weeks",G137+7*D137,EDATE(G137,IF(E137="Years",12,1)*D137)),"")</f>
        <v/>
      </c>
      <c r="I137" s="34" t="n"/>
      <c r="J137" s="26">
        <f>IF(ISNUMBER(H137),H137-IF(ISNUMBER(I137),I137,30),"")</f>
        <v/>
      </c>
      <c r="K137" s="35">
        <f>IF(H137="","",IF(ISNUMBER(H137),H137-TODAY(),"Check date"))</f>
        <v/>
      </c>
      <c r="L137" s="32">
        <f>IF(K137="","",IF(ISNUMBER(K137),IF(K137&lt;0,"Overdue",IF(K137&lt;=30,"Due ≤30 days",IF(K137&lt;=90,"Due ≤90 days","OK"))),"Check date"))</f>
        <v/>
      </c>
      <c r="M137" s="27" t="n"/>
      <c r="N137" s="27" t="n"/>
      <c r="O137" s="27" t="n"/>
      <c r="P137" s="27" t="n"/>
      <c r="Q137" s="27" t="n"/>
      <c r="R137" s="27" t="n"/>
    </row>
    <row r="138">
      <c r="A138" s="27" t="n"/>
      <c r="B138" s="27" t="n"/>
      <c r="C138" s="27" t="n"/>
      <c r="D138" s="34" t="n"/>
      <c r="E138" s="27" t="n"/>
      <c r="F138" s="27" t="n"/>
      <c r="G138" s="28" t="n"/>
      <c r="H138" s="26">
        <f>IF(AND(ISNUMBER(G138),ISNUMBER(D138)),IF(E138="Weeks",G138+7*D138,EDATE(G138,IF(E138="Years",12,1)*D138)),"")</f>
        <v/>
      </c>
      <c r="I138" s="34" t="n"/>
      <c r="J138" s="26">
        <f>IF(ISNUMBER(H138),H138-IF(ISNUMBER(I138),I138,30),"")</f>
        <v/>
      </c>
      <c r="K138" s="35">
        <f>IF(H138="","",IF(ISNUMBER(H138),H138-TODAY(),"Check date"))</f>
        <v/>
      </c>
      <c r="L138" s="32">
        <f>IF(K138="","",IF(ISNUMBER(K138),IF(K138&lt;0,"Overdue",IF(K138&lt;=30,"Due ≤30 days",IF(K138&lt;=90,"Due ≤90 days","OK"))),"Check date"))</f>
        <v/>
      </c>
      <c r="M138" s="27" t="n"/>
      <c r="N138" s="27" t="n"/>
      <c r="O138" s="27" t="n"/>
      <c r="P138" s="27" t="n"/>
      <c r="Q138" s="27" t="n"/>
      <c r="R138" s="27" t="n"/>
    </row>
    <row r="139">
      <c r="A139" s="27" t="n"/>
      <c r="B139" s="27" t="n"/>
      <c r="C139" s="27" t="n"/>
      <c r="D139" s="34" t="n"/>
      <c r="E139" s="27" t="n"/>
      <c r="F139" s="27" t="n"/>
      <c r="G139" s="28" t="n"/>
      <c r="H139" s="26">
        <f>IF(AND(ISNUMBER(G139),ISNUMBER(D139)),IF(E139="Weeks",G139+7*D139,EDATE(G139,IF(E139="Years",12,1)*D139)),"")</f>
        <v/>
      </c>
      <c r="I139" s="34" t="n"/>
      <c r="J139" s="26">
        <f>IF(ISNUMBER(H139),H139-IF(ISNUMBER(I139),I139,30),"")</f>
        <v/>
      </c>
      <c r="K139" s="35">
        <f>IF(H139="","",IF(ISNUMBER(H139),H139-TODAY(),"Check date"))</f>
        <v/>
      </c>
      <c r="L139" s="32">
        <f>IF(K139="","",IF(ISNUMBER(K139),IF(K139&lt;0,"Overdue",IF(K139&lt;=30,"Due ≤30 days",IF(K139&lt;=90,"Due ≤90 days","OK"))),"Check date"))</f>
        <v/>
      </c>
      <c r="M139" s="27" t="n"/>
      <c r="N139" s="27" t="n"/>
      <c r="O139" s="27" t="n"/>
      <c r="P139" s="27" t="n"/>
      <c r="Q139" s="27" t="n"/>
      <c r="R139" s="27" t="n"/>
    </row>
    <row r="140">
      <c r="A140" s="27" t="n"/>
      <c r="B140" s="27" t="n"/>
      <c r="C140" s="27" t="n"/>
      <c r="D140" s="34" t="n"/>
      <c r="E140" s="27" t="n"/>
      <c r="F140" s="27" t="n"/>
      <c r="G140" s="28" t="n"/>
      <c r="H140" s="26">
        <f>IF(AND(ISNUMBER(G140),ISNUMBER(D140)),IF(E140="Weeks",G140+7*D140,EDATE(G140,IF(E140="Years",12,1)*D140)),"")</f>
        <v/>
      </c>
      <c r="I140" s="34" t="n"/>
      <c r="J140" s="26">
        <f>IF(ISNUMBER(H140),H140-IF(ISNUMBER(I140),I140,30),"")</f>
        <v/>
      </c>
      <c r="K140" s="35">
        <f>IF(H140="","",IF(ISNUMBER(H140),H140-TODAY(),"Check date"))</f>
        <v/>
      </c>
      <c r="L140" s="32">
        <f>IF(K140="","",IF(ISNUMBER(K140),IF(K140&lt;0,"Overdue",IF(K140&lt;=30,"Due ≤30 days",IF(K140&lt;=90,"Due ≤90 days","OK"))),"Check date"))</f>
        <v/>
      </c>
      <c r="M140" s="27" t="n"/>
      <c r="N140" s="27" t="n"/>
      <c r="O140" s="27" t="n"/>
      <c r="P140" s="27" t="n"/>
      <c r="Q140" s="27" t="n"/>
      <c r="R140" s="27" t="n"/>
    </row>
    <row r="141">
      <c r="A141" s="27" t="n"/>
      <c r="B141" s="27" t="n"/>
      <c r="C141" s="27" t="n"/>
      <c r="D141" s="34" t="n"/>
      <c r="E141" s="27" t="n"/>
      <c r="F141" s="27" t="n"/>
      <c r="G141" s="28" t="n"/>
      <c r="H141" s="26">
        <f>IF(AND(ISNUMBER(G141),ISNUMBER(D141)),IF(E141="Weeks",G141+7*D141,EDATE(G141,IF(E141="Years",12,1)*D141)),"")</f>
        <v/>
      </c>
      <c r="I141" s="34" t="n"/>
      <c r="J141" s="26">
        <f>IF(ISNUMBER(H141),H141-IF(ISNUMBER(I141),I141,30),"")</f>
        <v/>
      </c>
      <c r="K141" s="35">
        <f>IF(H141="","",IF(ISNUMBER(H141),H141-TODAY(),"Check date"))</f>
        <v/>
      </c>
      <c r="L141" s="32">
        <f>IF(K141="","",IF(ISNUMBER(K141),IF(K141&lt;0,"Overdue",IF(K141&lt;=30,"Due ≤30 days",IF(K141&lt;=90,"Due ≤90 days","OK"))),"Check date"))</f>
        <v/>
      </c>
      <c r="M141" s="27" t="n"/>
      <c r="N141" s="27" t="n"/>
      <c r="O141" s="27" t="n"/>
      <c r="P141" s="27" t="n"/>
      <c r="Q141" s="27" t="n"/>
      <c r="R141" s="27" t="n"/>
    </row>
    <row r="142">
      <c r="A142" s="27" t="n"/>
      <c r="B142" s="27" t="n"/>
      <c r="C142" s="27" t="n"/>
      <c r="D142" s="34" t="n"/>
      <c r="E142" s="27" t="n"/>
      <c r="F142" s="27" t="n"/>
      <c r="G142" s="28" t="n"/>
      <c r="H142" s="26">
        <f>IF(AND(ISNUMBER(G142),ISNUMBER(D142)),IF(E142="Weeks",G142+7*D142,EDATE(G142,IF(E142="Years",12,1)*D142)),"")</f>
        <v/>
      </c>
      <c r="I142" s="34" t="n"/>
      <c r="J142" s="26">
        <f>IF(ISNUMBER(H142),H142-IF(ISNUMBER(I142),I142,30),"")</f>
        <v/>
      </c>
      <c r="K142" s="35">
        <f>IF(H142="","",IF(ISNUMBER(H142),H142-TODAY(),"Check date"))</f>
        <v/>
      </c>
      <c r="L142" s="32">
        <f>IF(K142="","",IF(ISNUMBER(K142),IF(K142&lt;0,"Overdue",IF(K142&lt;=30,"Due ≤30 days",IF(K142&lt;=90,"Due ≤90 days","OK"))),"Check date"))</f>
        <v/>
      </c>
      <c r="M142" s="27" t="n"/>
      <c r="N142" s="27" t="n"/>
      <c r="O142" s="27" t="n"/>
      <c r="P142" s="27" t="n"/>
      <c r="Q142" s="27" t="n"/>
      <c r="R142" s="27" t="n"/>
    </row>
    <row r="143">
      <c r="A143" s="27" t="n"/>
      <c r="B143" s="27" t="n"/>
      <c r="C143" s="27" t="n"/>
      <c r="D143" s="34" t="n"/>
      <c r="E143" s="27" t="n"/>
      <c r="F143" s="27" t="n"/>
      <c r="G143" s="28" t="n"/>
      <c r="H143" s="26">
        <f>IF(AND(ISNUMBER(G143),ISNUMBER(D143)),IF(E143="Weeks",G143+7*D143,EDATE(G143,IF(E143="Years",12,1)*D143)),"")</f>
        <v/>
      </c>
      <c r="I143" s="34" t="n"/>
      <c r="J143" s="26">
        <f>IF(ISNUMBER(H143),H143-IF(ISNUMBER(I143),I143,30),"")</f>
        <v/>
      </c>
      <c r="K143" s="35">
        <f>IF(H143="","",IF(ISNUMBER(H143),H143-TODAY(),"Check date"))</f>
        <v/>
      </c>
      <c r="L143" s="32">
        <f>IF(K143="","",IF(ISNUMBER(K143),IF(K143&lt;0,"Overdue",IF(K143&lt;=30,"Due ≤30 days",IF(K143&lt;=90,"Due ≤90 days","OK"))),"Check date"))</f>
        <v/>
      </c>
      <c r="M143" s="27" t="n"/>
      <c r="N143" s="27" t="n"/>
      <c r="O143" s="27" t="n"/>
      <c r="P143" s="27" t="n"/>
      <c r="Q143" s="27" t="n"/>
      <c r="R143" s="27" t="n"/>
    </row>
    <row r="144">
      <c r="A144" s="27" t="n"/>
      <c r="B144" s="27" t="n"/>
      <c r="C144" s="27" t="n"/>
      <c r="D144" s="34" t="n"/>
      <c r="E144" s="27" t="n"/>
      <c r="F144" s="27" t="n"/>
      <c r="G144" s="28" t="n"/>
      <c r="H144" s="26">
        <f>IF(AND(ISNUMBER(G144),ISNUMBER(D144)),IF(E144="Weeks",G144+7*D144,EDATE(G144,IF(E144="Years",12,1)*D144)),"")</f>
        <v/>
      </c>
      <c r="I144" s="34" t="n"/>
      <c r="J144" s="26">
        <f>IF(ISNUMBER(H144),H144-IF(ISNUMBER(I144),I144,30),"")</f>
        <v/>
      </c>
      <c r="K144" s="35">
        <f>IF(H144="","",IF(ISNUMBER(H144),H144-TODAY(),"Check date"))</f>
        <v/>
      </c>
      <c r="L144" s="32">
        <f>IF(K144="","",IF(ISNUMBER(K144),IF(K144&lt;0,"Overdue",IF(K144&lt;=30,"Due ≤30 days",IF(K144&lt;=90,"Due ≤90 days","OK"))),"Check date"))</f>
        <v/>
      </c>
      <c r="M144" s="27" t="n"/>
      <c r="N144" s="27" t="n"/>
      <c r="O144" s="27" t="n"/>
      <c r="P144" s="27" t="n"/>
      <c r="Q144" s="27" t="n"/>
      <c r="R144" s="27" t="n"/>
    </row>
    <row r="145">
      <c r="A145" s="27" t="n"/>
      <c r="B145" s="27" t="n"/>
      <c r="C145" s="27" t="n"/>
      <c r="D145" s="34" t="n"/>
      <c r="E145" s="27" t="n"/>
      <c r="F145" s="27" t="n"/>
      <c r="G145" s="28" t="n"/>
      <c r="H145" s="26">
        <f>IF(AND(ISNUMBER(G145),ISNUMBER(D145)),IF(E145="Weeks",G145+7*D145,EDATE(G145,IF(E145="Years",12,1)*D145)),"")</f>
        <v/>
      </c>
      <c r="I145" s="34" t="n"/>
      <c r="J145" s="26">
        <f>IF(ISNUMBER(H145),H145-IF(ISNUMBER(I145),I145,30),"")</f>
        <v/>
      </c>
      <c r="K145" s="35">
        <f>IF(H145="","",IF(ISNUMBER(H145),H145-TODAY(),"Check date"))</f>
        <v/>
      </c>
      <c r="L145" s="32">
        <f>IF(K145="","",IF(ISNUMBER(K145),IF(K145&lt;0,"Overdue",IF(K145&lt;=30,"Due ≤30 days",IF(K145&lt;=90,"Due ≤90 days","OK"))),"Check date"))</f>
        <v/>
      </c>
      <c r="M145" s="27" t="n"/>
      <c r="N145" s="27" t="n"/>
      <c r="O145" s="27" t="n"/>
      <c r="P145" s="27" t="n"/>
      <c r="Q145" s="27" t="n"/>
      <c r="R145" s="27" t="n"/>
    </row>
    <row r="146">
      <c r="A146" s="27" t="n"/>
      <c r="B146" s="27" t="n"/>
      <c r="C146" s="27" t="n"/>
      <c r="D146" s="34" t="n"/>
      <c r="E146" s="27" t="n"/>
      <c r="F146" s="27" t="n"/>
      <c r="G146" s="28" t="n"/>
      <c r="H146" s="26">
        <f>IF(AND(ISNUMBER(G146),ISNUMBER(D146)),IF(E146="Weeks",G146+7*D146,EDATE(G146,IF(E146="Years",12,1)*D146)),"")</f>
        <v/>
      </c>
      <c r="I146" s="34" t="n"/>
      <c r="J146" s="26">
        <f>IF(ISNUMBER(H146),H146-IF(ISNUMBER(I146),I146,30),"")</f>
        <v/>
      </c>
      <c r="K146" s="35">
        <f>IF(H146="","",IF(ISNUMBER(H146),H146-TODAY(),"Check date"))</f>
        <v/>
      </c>
      <c r="L146" s="32">
        <f>IF(K146="","",IF(ISNUMBER(K146),IF(K146&lt;0,"Overdue",IF(K146&lt;=30,"Due ≤30 days",IF(K146&lt;=90,"Due ≤90 days","OK"))),"Check date"))</f>
        <v/>
      </c>
      <c r="M146" s="27" t="n"/>
      <c r="N146" s="27" t="n"/>
      <c r="O146" s="27" t="n"/>
      <c r="P146" s="27" t="n"/>
      <c r="Q146" s="27" t="n"/>
      <c r="R146" s="27" t="n"/>
    </row>
    <row r="147">
      <c r="A147" s="27" t="n"/>
      <c r="B147" s="27" t="n"/>
      <c r="C147" s="27" t="n"/>
      <c r="D147" s="34" t="n"/>
      <c r="E147" s="27" t="n"/>
      <c r="F147" s="27" t="n"/>
      <c r="G147" s="28" t="n"/>
      <c r="H147" s="26">
        <f>IF(AND(ISNUMBER(G147),ISNUMBER(D147)),IF(E147="Weeks",G147+7*D147,EDATE(G147,IF(E147="Years",12,1)*D147)),"")</f>
        <v/>
      </c>
      <c r="I147" s="34" t="n"/>
      <c r="J147" s="26">
        <f>IF(ISNUMBER(H147),H147-IF(ISNUMBER(I147),I147,30),"")</f>
        <v/>
      </c>
      <c r="K147" s="35">
        <f>IF(H147="","",IF(ISNUMBER(H147),H147-TODAY(),"Check date"))</f>
        <v/>
      </c>
      <c r="L147" s="32">
        <f>IF(K147="","",IF(ISNUMBER(K147),IF(K147&lt;0,"Overdue",IF(K147&lt;=30,"Due ≤30 days",IF(K147&lt;=90,"Due ≤90 days","OK"))),"Check date"))</f>
        <v/>
      </c>
      <c r="M147" s="27" t="n"/>
      <c r="N147" s="27" t="n"/>
      <c r="O147" s="27" t="n"/>
      <c r="P147" s="27" t="n"/>
      <c r="Q147" s="27" t="n"/>
      <c r="R147" s="27" t="n"/>
    </row>
    <row r="148">
      <c r="A148" s="27" t="n"/>
      <c r="B148" s="27" t="n"/>
      <c r="C148" s="27" t="n"/>
      <c r="D148" s="34" t="n"/>
      <c r="E148" s="27" t="n"/>
      <c r="F148" s="27" t="n"/>
      <c r="G148" s="28" t="n"/>
      <c r="H148" s="26">
        <f>IF(AND(ISNUMBER(G148),ISNUMBER(D148)),IF(E148="Weeks",G148+7*D148,EDATE(G148,IF(E148="Years",12,1)*D148)),"")</f>
        <v/>
      </c>
      <c r="I148" s="34" t="n"/>
      <c r="J148" s="26">
        <f>IF(ISNUMBER(H148),H148-IF(ISNUMBER(I148),I148,30),"")</f>
        <v/>
      </c>
      <c r="K148" s="35">
        <f>IF(H148="","",IF(ISNUMBER(H148),H148-TODAY(),"Check date"))</f>
        <v/>
      </c>
      <c r="L148" s="32">
        <f>IF(K148="","",IF(ISNUMBER(K148),IF(K148&lt;0,"Overdue",IF(K148&lt;=30,"Due ≤30 days",IF(K148&lt;=90,"Due ≤90 days","OK"))),"Check date"))</f>
        <v/>
      </c>
      <c r="M148" s="27" t="n"/>
      <c r="N148" s="27" t="n"/>
      <c r="O148" s="27" t="n"/>
      <c r="P148" s="27" t="n"/>
      <c r="Q148" s="27" t="n"/>
      <c r="R148" s="27" t="n"/>
    </row>
    <row r="149">
      <c r="A149" s="27" t="n"/>
      <c r="B149" s="27" t="n"/>
      <c r="C149" s="27" t="n"/>
      <c r="D149" s="34" t="n"/>
      <c r="E149" s="27" t="n"/>
      <c r="F149" s="27" t="n"/>
      <c r="G149" s="28" t="n"/>
      <c r="H149" s="26">
        <f>IF(AND(ISNUMBER(G149),ISNUMBER(D149)),IF(E149="Weeks",G149+7*D149,EDATE(G149,IF(E149="Years",12,1)*D149)),"")</f>
        <v/>
      </c>
      <c r="I149" s="34" t="n"/>
      <c r="J149" s="26">
        <f>IF(ISNUMBER(H149),H149-IF(ISNUMBER(I149),I149,30),"")</f>
        <v/>
      </c>
      <c r="K149" s="35">
        <f>IF(H149="","",IF(ISNUMBER(H149),H149-TODAY(),"Check date"))</f>
        <v/>
      </c>
      <c r="L149" s="32">
        <f>IF(K149="","",IF(ISNUMBER(K149),IF(K149&lt;0,"Overdue",IF(K149&lt;=30,"Due ≤30 days",IF(K149&lt;=90,"Due ≤90 days","OK"))),"Check date"))</f>
        <v/>
      </c>
      <c r="M149" s="27" t="n"/>
      <c r="N149" s="27" t="n"/>
      <c r="O149" s="27" t="n"/>
      <c r="P149" s="27" t="n"/>
      <c r="Q149" s="27" t="n"/>
      <c r="R149" s="27" t="n"/>
    </row>
    <row r="150">
      <c r="A150" s="27" t="n"/>
      <c r="B150" s="27" t="n"/>
      <c r="C150" s="27" t="n"/>
      <c r="D150" s="34" t="n"/>
      <c r="E150" s="27" t="n"/>
      <c r="F150" s="27" t="n"/>
      <c r="G150" s="28" t="n"/>
      <c r="H150" s="26">
        <f>IF(AND(ISNUMBER(G150),ISNUMBER(D150)),IF(E150="Weeks",G150+7*D150,EDATE(G150,IF(E150="Years",12,1)*D150)),"")</f>
        <v/>
      </c>
      <c r="I150" s="34" t="n"/>
      <c r="J150" s="26">
        <f>IF(ISNUMBER(H150),H150-IF(ISNUMBER(I150),I150,30),"")</f>
        <v/>
      </c>
      <c r="K150" s="35">
        <f>IF(H150="","",IF(ISNUMBER(H150),H150-TODAY(),"Check date"))</f>
        <v/>
      </c>
      <c r="L150" s="32">
        <f>IF(K150="","",IF(ISNUMBER(K150),IF(K150&lt;0,"Overdue",IF(K150&lt;=30,"Due ≤30 days",IF(K150&lt;=90,"Due ≤90 days","OK"))),"Check date"))</f>
        <v/>
      </c>
      <c r="M150" s="27" t="n"/>
      <c r="N150" s="27" t="n"/>
      <c r="O150" s="27" t="n"/>
      <c r="P150" s="27" t="n"/>
      <c r="Q150" s="27" t="n"/>
      <c r="R150" s="27" t="n"/>
    </row>
    <row r="151">
      <c r="A151" s="27" t="n"/>
      <c r="B151" s="27" t="n"/>
      <c r="C151" s="27" t="n"/>
      <c r="D151" s="34" t="n"/>
      <c r="E151" s="27" t="n"/>
      <c r="F151" s="27" t="n"/>
      <c r="G151" s="28" t="n"/>
      <c r="H151" s="26">
        <f>IF(AND(ISNUMBER(G151),ISNUMBER(D151)),IF(E151="Weeks",G151+7*D151,EDATE(G151,IF(E151="Years",12,1)*D151)),"")</f>
        <v/>
      </c>
      <c r="I151" s="34" t="n"/>
      <c r="J151" s="26">
        <f>IF(ISNUMBER(H151),H151-IF(ISNUMBER(I151),I151,30),"")</f>
        <v/>
      </c>
      <c r="K151" s="35">
        <f>IF(H151="","",IF(ISNUMBER(H151),H151-TODAY(),"Check date"))</f>
        <v/>
      </c>
      <c r="L151" s="32">
        <f>IF(K151="","",IF(ISNUMBER(K151),IF(K151&lt;0,"Overdue",IF(K151&lt;=30,"Due ≤30 days",IF(K151&lt;=90,"Due ≤90 days","OK"))),"Check date"))</f>
        <v/>
      </c>
      <c r="M151" s="27" t="n"/>
      <c r="N151" s="27" t="n"/>
      <c r="O151" s="27" t="n"/>
      <c r="P151" s="27" t="n"/>
      <c r="Q151" s="27" t="n"/>
      <c r="R151" s="27" t="n"/>
    </row>
    <row r="152">
      <c r="A152" s="27" t="n"/>
      <c r="B152" s="27" t="n"/>
      <c r="C152" s="27" t="n"/>
      <c r="D152" s="34" t="n"/>
      <c r="E152" s="27" t="n"/>
      <c r="F152" s="27" t="n"/>
      <c r="G152" s="28" t="n"/>
      <c r="H152" s="26">
        <f>IF(AND(ISNUMBER(G152),ISNUMBER(D152)),IF(E152="Weeks",G152+7*D152,EDATE(G152,IF(E152="Years",12,1)*D152)),"")</f>
        <v/>
      </c>
      <c r="I152" s="34" t="n"/>
      <c r="J152" s="26">
        <f>IF(ISNUMBER(H152),H152-IF(ISNUMBER(I152),I152,30),"")</f>
        <v/>
      </c>
      <c r="K152" s="35">
        <f>IF(H152="","",IF(ISNUMBER(H152),H152-TODAY(),"Check date"))</f>
        <v/>
      </c>
      <c r="L152" s="32">
        <f>IF(K152="","",IF(ISNUMBER(K152),IF(K152&lt;0,"Overdue",IF(K152&lt;=30,"Due ≤30 days",IF(K152&lt;=90,"Due ≤90 days","OK"))),"Check date"))</f>
        <v/>
      </c>
      <c r="M152" s="27" t="n"/>
      <c r="N152" s="27" t="n"/>
      <c r="O152" s="27" t="n"/>
      <c r="P152" s="27" t="n"/>
      <c r="Q152" s="27" t="n"/>
      <c r="R152" s="27" t="n"/>
    </row>
    <row r="153">
      <c r="A153" s="27" t="n"/>
      <c r="B153" s="27" t="n"/>
      <c r="C153" s="27" t="n"/>
      <c r="D153" s="34" t="n"/>
      <c r="E153" s="27" t="n"/>
      <c r="F153" s="27" t="n"/>
      <c r="G153" s="28" t="n"/>
      <c r="H153" s="26">
        <f>IF(AND(ISNUMBER(G153),ISNUMBER(D153)),IF(E153="Weeks",G153+7*D153,EDATE(G153,IF(E153="Years",12,1)*D153)),"")</f>
        <v/>
      </c>
      <c r="I153" s="34" t="n"/>
      <c r="J153" s="26">
        <f>IF(ISNUMBER(H153),H153-IF(ISNUMBER(I153),I153,30),"")</f>
        <v/>
      </c>
      <c r="K153" s="35">
        <f>IF(H153="","",IF(ISNUMBER(H153),H153-TODAY(),"Check date"))</f>
        <v/>
      </c>
      <c r="L153" s="32">
        <f>IF(K153="","",IF(ISNUMBER(K153),IF(K153&lt;0,"Overdue",IF(K153&lt;=30,"Due ≤30 days",IF(K153&lt;=90,"Due ≤90 days","OK"))),"Check date"))</f>
        <v/>
      </c>
      <c r="M153" s="27" t="n"/>
      <c r="N153" s="27" t="n"/>
      <c r="O153" s="27" t="n"/>
      <c r="P153" s="27" t="n"/>
      <c r="Q153" s="27" t="n"/>
      <c r="R153" s="27" t="n"/>
    </row>
    <row r="154">
      <c r="A154" s="27" t="n"/>
      <c r="B154" s="27" t="n"/>
      <c r="C154" s="27" t="n"/>
      <c r="D154" s="34" t="n"/>
      <c r="E154" s="27" t="n"/>
      <c r="F154" s="27" t="n"/>
      <c r="G154" s="28" t="n"/>
      <c r="H154" s="26">
        <f>IF(AND(ISNUMBER(G154),ISNUMBER(D154)),IF(E154="Weeks",G154+7*D154,EDATE(G154,IF(E154="Years",12,1)*D154)),"")</f>
        <v/>
      </c>
      <c r="I154" s="34" t="n"/>
      <c r="J154" s="26">
        <f>IF(ISNUMBER(H154),H154-IF(ISNUMBER(I154),I154,30),"")</f>
        <v/>
      </c>
      <c r="K154" s="35">
        <f>IF(H154="","",IF(ISNUMBER(H154),H154-TODAY(),"Check date"))</f>
        <v/>
      </c>
      <c r="L154" s="32">
        <f>IF(K154="","",IF(ISNUMBER(K154),IF(K154&lt;0,"Overdue",IF(K154&lt;=30,"Due ≤30 days",IF(K154&lt;=90,"Due ≤90 days","OK"))),"Check date"))</f>
        <v/>
      </c>
      <c r="M154" s="27" t="n"/>
      <c r="N154" s="27" t="n"/>
      <c r="O154" s="27" t="n"/>
      <c r="P154" s="27" t="n"/>
      <c r="Q154" s="27" t="n"/>
      <c r="R154" s="27" t="n"/>
    </row>
    <row r="155">
      <c r="A155" s="27" t="n"/>
      <c r="B155" s="27" t="n"/>
      <c r="C155" s="27" t="n"/>
      <c r="D155" s="34" t="n"/>
      <c r="E155" s="27" t="n"/>
      <c r="F155" s="27" t="n"/>
      <c r="G155" s="28" t="n"/>
      <c r="H155" s="26">
        <f>IF(AND(ISNUMBER(G155),ISNUMBER(D155)),IF(E155="Weeks",G155+7*D155,EDATE(G155,IF(E155="Years",12,1)*D155)),"")</f>
        <v/>
      </c>
      <c r="I155" s="34" t="n"/>
      <c r="J155" s="26">
        <f>IF(ISNUMBER(H155),H155-IF(ISNUMBER(I155),I155,30),"")</f>
        <v/>
      </c>
      <c r="K155" s="35">
        <f>IF(H155="","",IF(ISNUMBER(H155),H155-TODAY(),"Check date"))</f>
        <v/>
      </c>
      <c r="L155" s="32">
        <f>IF(K155="","",IF(ISNUMBER(K155),IF(K155&lt;0,"Overdue",IF(K155&lt;=30,"Due ≤30 days",IF(K155&lt;=90,"Due ≤90 days","OK"))),"Check date"))</f>
        <v/>
      </c>
      <c r="M155" s="27" t="n"/>
      <c r="N155" s="27" t="n"/>
      <c r="O155" s="27" t="n"/>
      <c r="P155" s="27" t="n"/>
      <c r="Q155" s="27" t="n"/>
      <c r="R155" s="27" t="n"/>
    </row>
    <row r="156">
      <c r="A156" s="27" t="n"/>
      <c r="B156" s="27" t="n"/>
      <c r="C156" s="27" t="n"/>
      <c r="D156" s="34" t="n"/>
      <c r="E156" s="27" t="n"/>
      <c r="F156" s="27" t="n"/>
      <c r="G156" s="28" t="n"/>
      <c r="H156" s="26">
        <f>IF(AND(ISNUMBER(G156),ISNUMBER(D156)),IF(E156="Weeks",G156+7*D156,EDATE(G156,IF(E156="Years",12,1)*D156)),"")</f>
        <v/>
      </c>
      <c r="I156" s="34" t="n"/>
      <c r="J156" s="26">
        <f>IF(ISNUMBER(H156),H156-IF(ISNUMBER(I156),I156,30),"")</f>
        <v/>
      </c>
      <c r="K156" s="35">
        <f>IF(H156="","",IF(ISNUMBER(H156),H156-TODAY(),"Check date"))</f>
        <v/>
      </c>
      <c r="L156" s="32">
        <f>IF(K156="","",IF(ISNUMBER(K156),IF(K156&lt;0,"Overdue",IF(K156&lt;=30,"Due ≤30 days",IF(K156&lt;=90,"Due ≤90 days","OK"))),"Check date"))</f>
        <v/>
      </c>
      <c r="M156" s="27" t="n"/>
      <c r="N156" s="27" t="n"/>
      <c r="O156" s="27" t="n"/>
      <c r="P156" s="27" t="n"/>
      <c r="Q156" s="27" t="n"/>
      <c r="R156" s="27" t="n"/>
    </row>
    <row r="157">
      <c r="A157" s="27" t="n"/>
      <c r="B157" s="27" t="n"/>
      <c r="C157" s="27" t="n"/>
      <c r="D157" s="34" t="n"/>
      <c r="E157" s="27" t="n"/>
      <c r="F157" s="27" t="n"/>
      <c r="G157" s="28" t="n"/>
      <c r="H157" s="26">
        <f>IF(AND(ISNUMBER(G157),ISNUMBER(D157)),IF(E157="Weeks",G157+7*D157,EDATE(G157,IF(E157="Years",12,1)*D157)),"")</f>
        <v/>
      </c>
      <c r="I157" s="34" t="n"/>
      <c r="J157" s="26">
        <f>IF(ISNUMBER(H157),H157-IF(ISNUMBER(I157),I157,30),"")</f>
        <v/>
      </c>
      <c r="K157" s="35">
        <f>IF(H157="","",IF(ISNUMBER(H157),H157-TODAY(),"Check date"))</f>
        <v/>
      </c>
      <c r="L157" s="32">
        <f>IF(K157="","",IF(ISNUMBER(K157),IF(K157&lt;0,"Overdue",IF(K157&lt;=30,"Due ≤30 days",IF(K157&lt;=90,"Due ≤90 days","OK"))),"Check date"))</f>
        <v/>
      </c>
      <c r="M157" s="27" t="n"/>
      <c r="N157" s="27" t="n"/>
      <c r="O157" s="27" t="n"/>
      <c r="P157" s="27" t="n"/>
      <c r="Q157" s="27" t="n"/>
      <c r="R157" s="27" t="n"/>
    </row>
    <row r="158">
      <c r="A158" s="27" t="n"/>
      <c r="B158" s="27" t="n"/>
      <c r="C158" s="27" t="n"/>
      <c r="D158" s="34" t="n"/>
      <c r="E158" s="27" t="n"/>
      <c r="F158" s="27" t="n"/>
      <c r="G158" s="28" t="n"/>
      <c r="H158" s="26">
        <f>IF(AND(ISNUMBER(G158),ISNUMBER(D158)),IF(E158="Weeks",G158+7*D158,EDATE(G158,IF(E158="Years",12,1)*D158)),"")</f>
        <v/>
      </c>
      <c r="I158" s="34" t="n"/>
      <c r="J158" s="26">
        <f>IF(ISNUMBER(H158),H158-IF(ISNUMBER(I158),I158,30),"")</f>
        <v/>
      </c>
      <c r="K158" s="35">
        <f>IF(H158="","",IF(ISNUMBER(H158),H158-TODAY(),"Check date"))</f>
        <v/>
      </c>
      <c r="L158" s="32">
        <f>IF(K158="","",IF(ISNUMBER(K158),IF(K158&lt;0,"Overdue",IF(K158&lt;=30,"Due ≤30 days",IF(K158&lt;=90,"Due ≤90 days","OK"))),"Check date"))</f>
        <v/>
      </c>
      <c r="M158" s="27" t="n"/>
      <c r="N158" s="27" t="n"/>
      <c r="O158" s="27" t="n"/>
      <c r="P158" s="27" t="n"/>
      <c r="Q158" s="27" t="n"/>
      <c r="R158" s="27" t="n"/>
    </row>
    <row r="159">
      <c r="A159" s="27" t="n"/>
      <c r="B159" s="27" t="n"/>
      <c r="C159" s="27" t="n"/>
      <c r="D159" s="34" t="n"/>
      <c r="E159" s="27" t="n"/>
      <c r="F159" s="27" t="n"/>
      <c r="G159" s="28" t="n"/>
      <c r="H159" s="26">
        <f>IF(AND(ISNUMBER(G159),ISNUMBER(D159)),IF(E159="Weeks",G159+7*D159,EDATE(G159,IF(E159="Years",12,1)*D159)),"")</f>
        <v/>
      </c>
      <c r="I159" s="34" t="n"/>
      <c r="J159" s="26">
        <f>IF(ISNUMBER(H159),H159-IF(ISNUMBER(I159),I159,30),"")</f>
        <v/>
      </c>
      <c r="K159" s="35">
        <f>IF(H159="","",IF(ISNUMBER(H159),H159-TODAY(),"Check date"))</f>
        <v/>
      </c>
      <c r="L159" s="32">
        <f>IF(K159="","",IF(ISNUMBER(K159),IF(K159&lt;0,"Overdue",IF(K159&lt;=30,"Due ≤30 days",IF(K159&lt;=90,"Due ≤90 days","OK"))),"Check date"))</f>
        <v/>
      </c>
      <c r="M159" s="27" t="n"/>
      <c r="N159" s="27" t="n"/>
      <c r="O159" s="27" t="n"/>
      <c r="P159" s="27" t="n"/>
      <c r="Q159" s="27" t="n"/>
      <c r="R159" s="27" t="n"/>
    </row>
    <row r="160">
      <c r="A160" s="27" t="n"/>
      <c r="B160" s="27" t="n"/>
      <c r="C160" s="27" t="n"/>
      <c r="D160" s="34" t="n"/>
      <c r="E160" s="27" t="n"/>
      <c r="F160" s="27" t="n"/>
      <c r="G160" s="28" t="n"/>
      <c r="H160" s="26">
        <f>IF(AND(ISNUMBER(G160),ISNUMBER(D160)),IF(E160="Weeks",G160+7*D160,EDATE(G160,IF(E160="Years",12,1)*D160)),"")</f>
        <v/>
      </c>
      <c r="I160" s="34" t="n"/>
      <c r="J160" s="26">
        <f>IF(ISNUMBER(H160),H160-IF(ISNUMBER(I160),I160,30),"")</f>
        <v/>
      </c>
      <c r="K160" s="35">
        <f>IF(H160="","",IF(ISNUMBER(H160),H160-TODAY(),"Check date"))</f>
        <v/>
      </c>
      <c r="L160" s="32">
        <f>IF(K160="","",IF(ISNUMBER(K160),IF(K160&lt;0,"Overdue",IF(K160&lt;=30,"Due ≤30 days",IF(K160&lt;=90,"Due ≤90 days","OK"))),"Check date"))</f>
        <v/>
      </c>
      <c r="M160" s="27" t="n"/>
      <c r="N160" s="27" t="n"/>
      <c r="O160" s="27" t="n"/>
      <c r="P160" s="27" t="n"/>
      <c r="Q160" s="27" t="n"/>
      <c r="R160" s="27" t="n"/>
    </row>
    <row r="161">
      <c r="A161" s="27" t="n"/>
      <c r="B161" s="27" t="n"/>
      <c r="C161" s="27" t="n"/>
      <c r="D161" s="34" t="n"/>
      <c r="E161" s="27" t="n"/>
      <c r="F161" s="27" t="n"/>
      <c r="G161" s="28" t="n"/>
      <c r="H161" s="26">
        <f>IF(AND(ISNUMBER(G161),ISNUMBER(D161)),IF(E161="Weeks",G161+7*D161,EDATE(G161,IF(E161="Years",12,1)*D161)),"")</f>
        <v/>
      </c>
      <c r="I161" s="34" t="n"/>
      <c r="J161" s="26">
        <f>IF(ISNUMBER(H161),H161-IF(ISNUMBER(I161),I161,30),"")</f>
        <v/>
      </c>
      <c r="K161" s="35">
        <f>IF(H161="","",IF(ISNUMBER(H161),H161-TODAY(),"Check date"))</f>
        <v/>
      </c>
      <c r="L161" s="32">
        <f>IF(K161="","",IF(ISNUMBER(K161),IF(K161&lt;0,"Overdue",IF(K161&lt;=30,"Due ≤30 days",IF(K161&lt;=90,"Due ≤90 days","OK"))),"Check date"))</f>
        <v/>
      </c>
      <c r="M161" s="27" t="n"/>
      <c r="N161" s="27" t="n"/>
      <c r="O161" s="27" t="n"/>
      <c r="P161" s="27" t="n"/>
      <c r="Q161" s="27" t="n"/>
      <c r="R161" s="27" t="n"/>
    </row>
    <row r="162">
      <c r="A162" s="27" t="n"/>
      <c r="B162" s="27" t="n"/>
      <c r="C162" s="27" t="n"/>
      <c r="D162" s="34" t="n"/>
      <c r="E162" s="27" t="n"/>
      <c r="F162" s="27" t="n"/>
      <c r="G162" s="28" t="n"/>
      <c r="H162" s="26">
        <f>IF(AND(ISNUMBER(G162),ISNUMBER(D162)),IF(E162="Weeks",G162+7*D162,EDATE(G162,IF(E162="Years",12,1)*D162)),"")</f>
        <v/>
      </c>
      <c r="I162" s="34" t="n"/>
      <c r="J162" s="26">
        <f>IF(ISNUMBER(H162),H162-IF(ISNUMBER(I162),I162,30),"")</f>
        <v/>
      </c>
      <c r="K162" s="35">
        <f>IF(H162="","",IF(ISNUMBER(H162),H162-TODAY(),"Check date"))</f>
        <v/>
      </c>
      <c r="L162" s="32">
        <f>IF(K162="","",IF(ISNUMBER(K162),IF(K162&lt;0,"Overdue",IF(K162&lt;=30,"Due ≤30 days",IF(K162&lt;=90,"Due ≤90 days","OK"))),"Check date"))</f>
        <v/>
      </c>
      <c r="M162" s="27" t="n"/>
      <c r="N162" s="27" t="n"/>
      <c r="O162" s="27" t="n"/>
      <c r="P162" s="27" t="n"/>
      <c r="Q162" s="27" t="n"/>
      <c r="R162" s="27" t="n"/>
    </row>
    <row r="163">
      <c r="A163" s="27" t="n"/>
      <c r="B163" s="27" t="n"/>
      <c r="C163" s="27" t="n"/>
      <c r="D163" s="34" t="n"/>
      <c r="E163" s="27" t="n"/>
      <c r="F163" s="27" t="n"/>
      <c r="G163" s="28" t="n"/>
      <c r="H163" s="26">
        <f>IF(AND(ISNUMBER(G163),ISNUMBER(D163)),IF(E163="Weeks",G163+7*D163,EDATE(G163,IF(E163="Years",12,1)*D163)),"")</f>
        <v/>
      </c>
      <c r="I163" s="34" t="n"/>
      <c r="J163" s="26">
        <f>IF(ISNUMBER(H163),H163-IF(ISNUMBER(I163),I163,30),"")</f>
        <v/>
      </c>
      <c r="K163" s="35">
        <f>IF(H163="","",IF(ISNUMBER(H163),H163-TODAY(),"Check date"))</f>
        <v/>
      </c>
      <c r="L163" s="32">
        <f>IF(K163="","",IF(ISNUMBER(K163),IF(K163&lt;0,"Overdue",IF(K163&lt;=30,"Due ≤30 days",IF(K163&lt;=90,"Due ≤90 days","OK"))),"Check date"))</f>
        <v/>
      </c>
      <c r="M163" s="27" t="n"/>
      <c r="N163" s="27" t="n"/>
      <c r="O163" s="27" t="n"/>
      <c r="P163" s="27" t="n"/>
      <c r="Q163" s="27" t="n"/>
      <c r="R163" s="27" t="n"/>
    </row>
    <row r="164">
      <c r="A164" s="27" t="n"/>
      <c r="B164" s="27" t="n"/>
      <c r="C164" s="27" t="n"/>
      <c r="D164" s="34" t="n"/>
      <c r="E164" s="27" t="n"/>
      <c r="F164" s="27" t="n"/>
      <c r="G164" s="28" t="n"/>
      <c r="H164" s="26">
        <f>IF(AND(ISNUMBER(G164),ISNUMBER(D164)),IF(E164="Weeks",G164+7*D164,EDATE(G164,IF(E164="Years",12,1)*D164)),"")</f>
        <v/>
      </c>
      <c r="I164" s="34" t="n"/>
      <c r="J164" s="26">
        <f>IF(ISNUMBER(H164),H164-IF(ISNUMBER(I164),I164,30),"")</f>
        <v/>
      </c>
      <c r="K164" s="35">
        <f>IF(H164="","",IF(ISNUMBER(H164),H164-TODAY(),"Check date"))</f>
        <v/>
      </c>
      <c r="L164" s="32">
        <f>IF(K164="","",IF(ISNUMBER(K164),IF(K164&lt;0,"Overdue",IF(K164&lt;=30,"Due ≤30 days",IF(K164&lt;=90,"Due ≤90 days","OK"))),"Check date"))</f>
        <v/>
      </c>
      <c r="M164" s="27" t="n"/>
      <c r="N164" s="27" t="n"/>
      <c r="O164" s="27" t="n"/>
      <c r="P164" s="27" t="n"/>
      <c r="Q164" s="27" t="n"/>
      <c r="R164" s="27" t="n"/>
    </row>
    <row r="165">
      <c r="A165" s="27" t="n"/>
      <c r="B165" s="27" t="n"/>
      <c r="C165" s="27" t="n"/>
      <c r="D165" s="34" t="n"/>
      <c r="E165" s="27" t="n"/>
      <c r="F165" s="27" t="n"/>
      <c r="G165" s="28" t="n"/>
      <c r="H165" s="26">
        <f>IF(AND(ISNUMBER(G165),ISNUMBER(D165)),IF(E165="Weeks",G165+7*D165,EDATE(G165,IF(E165="Years",12,1)*D165)),"")</f>
        <v/>
      </c>
      <c r="I165" s="34" t="n"/>
      <c r="J165" s="26">
        <f>IF(ISNUMBER(H165),H165-IF(ISNUMBER(I165),I165,30),"")</f>
        <v/>
      </c>
      <c r="K165" s="35">
        <f>IF(H165="","",IF(ISNUMBER(H165),H165-TODAY(),"Check date"))</f>
        <v/>
      </c>
      <c r="L165" s="32">
        <f>IF(K165="","",IF(ISNUMBER(K165),IF(K165&lt;0,"Overdue",IF(K165&lt;=30,"Due ≤30 days",IF(K165&lt;=90,"Due ≤90 days","OK"))),"Check date"))</f>
        <v/>
      </c>
      <c r="M165" s="27" t="n"/>
      <c r="N165" s="27" t="n"/>
      <c r="O165" s="27" t="n"/>
      <c r="P165" s="27" t="n"/>
      <c r="Q165" s="27" t="n"/>
      <c r="R165" s="27" t="n"/>
    </row>
    <row r="166">
      <c r="A166" s="27" t="n"/>
      <c r="B166" s="27" t="n"/>
      <c r="C166" s="27" t="n"/>
      <c r="D166" s="34" t="n"/>
      <c r="E166" s="27" t="n"/>
      <c r="F166" s="27" t="n"/>
      <c r="G166" s="28" t="n"/>
      <c r="H166" s="26">
        <f>IF(AND(ISNUMBER(G166),ISNUMBER(D166)),IF(E166="Weeks",G166+7*D166,EDATE(G166,IF(E166="Years",12,1)*D166)),"")</f>
        <v/>
      </c>
      <c r="I166" s="34" t="n"/>
      <c r="J166" s="26">
        <f>IF(ISNUMBER(H166),H166-IF(ISNUMBER(I166),I166,30),"")</f>
        <v/>
      </c>
      <c r="K166" s="35">
        <f>IF(H166="","",IF(ISNUMBER(H166),H166-TODAY(),"Check date"))</f>
        <v/>
      </c>
      <c r="L166" s="32">
        <f>IF(K166="","",IF(ISNUMBER(K166),IF(K166&lt;0,"Overdue",IF(K166&lt;=30,"Due ≤30 days",IF(K166&lt;=90,"Due ≤90 days","OK"))),"Check date"))</f>
        <v/>
      </c>
      <c r="M166" s="27" t="n"/>
      <c r="N166" s="27" t="n"/>
      <c r="O166" s="27" t="n"/>
      <c r="P166" s="27" t="n"/>
      <c r="Q166" s="27" t="n"/>
      <c r="R166" s="27" t="n"/>
    </row>
    <row r="167">
      <c r="A167" s="27" t="n"/>
      <c r="B167" s="27" t="n"/>
      <c r="C167" s="27" t="n"/>
      <c r="D167" s="34" t="n"/>
      <c r="E167" s="27" t="n"/>
      <c r="F167" s="27" t="n"/>
      <c r="G167" s="28" t="n"/>
      <c r="H167" s="26">
        <f>IF(AND(ISNUMBER(G167),ISNUMBER(D167)),IF(E167="Weeks",G167+7*D167,EDATE(G167,IF(E167="Years",12,1)*D167)),"")</f>
        <v/>
      </c>
      <c r="I167" s="34" t="n"/>
      <c r="J167" s="26">
        <f>IF(ISNUMBER(H167),H167-IF(ISNUMBER(I167),I167,30),"")</f>
        <v/>
      </c>
      <c r="K167" s="35">
        <f>IF(H167="","",IF(ISNUMBER(H167),H167-TODAY(),"Check date"))</f>
        <v/>
      </c>
      <c r="L167" s="32">
        <f>IF(K167="","",IF(ISNUMBER(K167),IF(K167&lt;0,"Overdue",IF(K167&lt;=30,"Due ≤30 days",IF(K167&lt;=90,"Due ≤90 days","OK"))),"Check date"))</f>
        <v/>
      </c>
      <c r="M167" s="27" t="n"/>
      <c r="N167" s="27" t="n"/>
      <c r="O167" s="27" t="n"/>
      <c r="P167" s="27" t="n"/>
      <c r="Q167" s="27" t="n"/>
      <c r="R167" s="27" t="n"/>
    </row>
    <row r="168">
      <c r="A168" s="27" t="n"/>
      <c r="B168" s="27" t="n"/>
      <c r="C168" s="27" t="n"/>
      <c r="D168" s="34" t="n"/>
      <c r="E168" s="27" t="n"/>
      <c r="F168" s="27" t="n"/>
      <c r="G168" s="28" t="n"/>
      <c r="H168" s="26">
        <f>IF(AND(ISNUMBER(G168),ISNUMBER(D168)),IF(E168="Weeks",G168+7*D168,EDATE(G168,IF(E168="Years",12,1)*D168)),"")</f>
        <v/>
      </c>
      <c r="I168" s="34" t="n"/>
      <c r="J168" s="26">
        <f>IF(ISNUMBER(H168),H168-IF(ISNUMBER(I168),I168,30),"")</f>
        <v/>
      </c>
      <c r="K168" s="35">
        <f>IF(H168="","",IF(ISNUMBER(H168),H168-TODAY(),"Check date"))</f>
        <v/>
      </c>
      <c r="L168" s="32">
        <f>IF(K168="","",IF(ISNUMBER(K168),IF(K168&lt;0,"Overdue",IF(K168&lt;=30,"Due ≤30 days",IF(K168&lt;=90,"Due ≤90 days","OK"))),"Check date"))</f>
        <v/>
      </c>
      <c r="M168" s="27" t="n"/>
      <c r="N168" s="27" t="n"/>
      <c r="O168" s="27" t="n"/>
      <c r="P168" s="27" t="n"/>
      <c r="Q168" s="27" t="n"/>
      <c r="R168" s="27" t="n"/>
    </row>
    <row r="169">
      <c r="A169" s="27" t="n"/>
      <c r="B169" s="27" t="n"/>
      <c r="C169" s="27" t="n"/>
      <c r="D169" s="34" t="n"/>
      <c r="E169" s="27" t="n"/>
      <c r="F169" s="27" t="n"/>
      <c r="G169" s="28" t="n"/>
      <c r="H169" s="26">
        <f>IF(AND(ISNUMBER(G169),ISNUMBER(D169)),IF(E169="Weeks",G169+7*D169,EDATE(G169,IF(E169="Years",12,1)*D169)),"")</f>
        <v/>
      </c>
      <c r="I169" s="34" t="n"/>
      <c r="J169" s="26">
        <f>IF(ISNUMBER(H169),H169-IF(ISNUMBER(I169),I169,30),"")</f>
        <v/>
      </c>
      <c r="K169" s="35">
        <f>IF(H169="","",IF(ISNUMBER(H169),H169-TODAY(),"Check date"))</f>
        <v/>
      </c>
      <c r="L169" s="32">
        <f>IF(K169="","",IF(ISNUMBER(K169),IF(K169&lt;0,"Overdue",IF(K169&lt;=30,"Due ≤30 days",IF(K169&lt;=90,"Due ≤90 days","OK"))),"Check date"))</f>
        <v/>
      </c>
      <c r="M169" s="27" t="n"/>
      <c r="N169" s="27" t="n"/>
      <c r="O169" s="27" t="n"/>
      <c r="P169" s="27" t="n"/>
      <c r="Q169" s="27" t="n"/>
      <c r="R169" s="27" t="n"/>
    </row>
    <row r="170">
      <c r="A170" s="27" t="n"/>
      <c r="B170" s="27" t="n"/>
      <c r="C170" s="27" t="n"/>
      <c r="D170" s="34" t="n"/>
      <c r="E170" s="27" t="n"/>
      <c r="F170" s="27" t="n"/>
      <c r="G170" s="28" t="n"/>
      <c r="H170" s="26">
        <f>IF(AND(ISNUMBER(G170),ISNUMBER(D170)),IF(E170="Weeks",G170+7*D170,EDATE(G170,IF(E170="Years",12,1)*D170)),"")</f>
        <v/>
      </c>
      <c r="I170" s="34" t="n"/>
      <c r="J170" s="26">
        <f>IF(ISNUMBER(H170),H170-IF(ISNUMBER(I170),I170,30),"")</f>
        <v/>
      </c>
      <c r="K170" s="35">
        <f>IF(H170="","",IF(ISNUMBER(H170),H170-TODAY(),"Check date"))</f>
        <v/>
      </c>
      <c r="L170" s="32">
        <f>IF(K170="","",IF(ISNUMBER(K170),IF(K170&lt;0,"Overdue",IF(K170&lt;=30,"Due ≤30 days",IF(K170&lt;=90,"Due ≤90 days","OK"))),"Check date"))</f>
        <v/>
      </c>
      <c r="M170" s="27" t="n"/>
      <c r="N170" s="27" t="n"/>
      <c r="O170" s="27" t="n"/>
      <c r="P170" s="27" t="n"/>
      <c r="Q170" s="27" t="n"/>
      <c r="R170" s="27" t="n"/>
    </row>
    <row r="171">
      <c r="A171" s="27" t="n"/>
      <c r="B171" s="27" t="n"/>
      <c r="C171" s="27" t="n"/>
      <c r="D171" s="34" t="n"/>
      <c r="E171" s="27" t="n"/>
      <c r="F171" s="27" t="n"/>
      <c r="G171" s="28" t="n"/>
      <c r="H171" s="26">
        <f>IF(AND(ISNUMBER(G171),ISNUMBER(D171)),IF(E171="Weeks",G171+7*D171,EDATE(G171,IF(E171="Years",12,1)*D171)),"")</f>
        <v/>
      </c>
      <c r="I171" s="34" t="n"/>
      <c r="J171" s="26">
        <f>IF(ISNUMBER(H171),H171-IF(ISNUMBER(I171),I171,30),"")</f>
        <v/>
      </c>
      <c r="K171" s="35">
        <f>IF(H171="","",IF(ISNUMBER(H171),H171-TODAY(),"Check date"))</f>
        <v/>
      </c>
      <c r="L171" s="32">
        <f>IF(K171="","",IF(ISNUMBER(K171),IF(K171&lt;0,"Overdue",IF(K171&lt;=30,"Due ≤30 days",IF(K171&lt;=90,"Due ≤90 days","OK"))),"Check date"))</f>
        <v/>
      </c>
      <c r="M171" s="27" t="n"/>
      <c r="N171" s="27" t="n"/>
      <c r="O171" s="27" t="n"/>
      <c r="P171" s="27" t="n"/>
      <c r="Q171" s="27" t="n"/>
      <c r="R171" s="27" t="n"/>
    </row>
    <row r="172">
      <c r="A172" s="27" t="n"/>
      <c r="B172" s="27" t="n"/>
      <c r="C172" s="27" t="n"/>
      <c r="D172" s="34" t="n"/>
      <c r="E172" s="27" t="n"/>
      <c r="F172" s="27" t="n"/>
      <c r="G172" s="28" t="n"/>
      <c r="H172" s="26">
        <f>IF(AND(ISNUMBER(G172),ISNUMBER(D172)),IF(E172="Weeks",G172+7*D172,EDATE(G172,IF(E172="Years",12,1)*D172)),"")</f>
        <v/>
      </c>
      <c r="I172" s="34" t="n"/>
      <c r="J172" s="26">
        <f>IF(ISNUMBER(H172),H172-IF(ISNUMBER(I172),I172,30),"")</f>
        <v/>
      </c>
      <c r="K172" s="35">
        <f>IF(H172="","",IF(ISNUMBER(H172),H172-TODAY(),"Check date"))</f>
        <v/>
      </c>
      <c r="L172" s="32">
        <f>IF(K172="","",IF(ISNUMBER(K172),IF(K172&lt;0,"Overdue",IF(K172&lt;=30,"Due ≤30 days",IF(K172&lt;=90,"Due ≤90 days","OK"))),"Check date"))</f>
        <v/>
      </c>
      <c r="M172" s="27" t="n"/>
      <c r="N172" s="27" t="n"/>
      <c r="O172" s="27" t="n"/>
      <c r="P172" s="27" t="n"/>
      <c r="Q172" s="27" t="n"/>
      <c r="R172" s="27" t="n"/>
    </row>
    <row r="173">
      <c r="A173" s="27" t="n"/>
      <c r="B173" s="27" t="n"/>
      <c r="C173" s="27" t="n"/>
      <c r="D173" s="34" t="n"/>
      <c r="E173" s="27" t="n"/>
      <c r="F173" s="27" t="n"/>
      <c r="G173" s="28" t="n"/>
      <c r="H173" s="26">
        <f>IF(AND(ISNUMBER(G173),ISNUMBER(D173)),IF(E173="Weeks",G173+7*D173,EDATE(G173,IF(E173="Years",12,1)*D173)),"")</f>
        <v/>
      </c>
      <c r="I173" s="34" t="n"/>
      <c r="J173" s="26">
        <f>IF(ISNUMBER(H173),H173-IF(ISNUMBER(I173),I173,30),"")</f>
        <v/>
      </c>
      <c r="K173" s="35">
        <f>IF(H173="","",IF(ISNUMBER(H173),H173-TODAY(),"Check date"))</f>
        <v/>
      </c>
      <c r="L173" s="32">
        <f>IF(K173="","",IF(ISNUMBER(K173),IF(K173&lt;0,"Overdue",IF(K173&lt;=30,"Due ≤30 days",IF(K173&lt;=90,"Due ≤90 days","OK"))),"Check date"))</f>
        <v/>
      </c>
      <c r="M173" s="27" t="n"/>
      <c r="N173" s="27" t="n"/>
      <c r="O173" s="27" t="n"/>
      <c r="P173" s="27" t="n"/>
      <c r="Q173" s="27" t="n"/>
      <c r="R173" s="27" t="n"/>
    </row>
    <row r="174">
      <c r="A174" s="27" t="n"/>
      <c r="B174" s="27" t="n"/>
      <c r="C174" s="27" t="n"/>
      <c r="D174" s="34" t="n"/>
      <c r="E174" s="27" t="n"/>
      <c r="F174" s="27" t="n"/>
      <c r="G174" s="28" t="n"/>
      <c r="H174" s="26">
        <f>IF(AND(ISNUMBER(G174),ISNUMBER(D174)),IF(E174="Weeks",G174+7*D174,EDATE(G174,IF(E174="Years",12,1)*D174)),"")</f>
        <v/>
      </c>
      <c r="I174" s="34" t="n"/>
      <c r="J174" s="26">
        <f>IF(ISNUMBER(H174),H174-IF(ISNUMBER(I174),I174,30),"")</f>
        <v/>
      </c>
      <c r="K174" s="35">
        <f>IF(H174="","",IF(ISNUMBER(H174),H174-TODAY(),"Check date"))</f>
        <v/>
      </c>
      <c r="L174" s="32">
        <f>IF(K174="","",IF(ISNUMBER(K174),IF(K174&lt;0,"Overdue",IF(K174&lt;=30,"Due ≤30 days",IF(K174&lt;=90,"Due ≤90 days","OK"))),"Check date"))</f>
        <v/>
      </c>
      <c r="M174" s="27" t="n"/>
      <c r="N174" s="27" t="n"/>
      <c r="O174" s="27" t="n"/>
      <c r="P174" s="27" t="n"/>
      <c r="Q174" s="27" t="n"/>
      <c r="R174" s="27" t="n"/>
    </row>
    <row r="175">
      <c r="A175" s="27" t="n"/>
      <c r="B175" s="27" t="n"/>
      <c r="C175" s="27" t="n"/>
      <c r="D175" s="34" t="n"/>
      <c r="E175" s="27" t="n"/>
      <c r="F175" s="27" t="n"/>
      <c r="G175" s="28" t="n"/>
      <c r="H175" s="26">
        <f>IF(AND(ISNUMBER(G175),ISNUMBER(D175)),IF(E175="Weeks",G175+7*D175,EDATE(G175,IF(E175="Years",12,1)*D175)),"")</f>
        <v/>
      </c>
      <c r="I175" s="34" t="n"/>
      <c r="J175" s="26">
        <f>IF(ISNUMBER(H175),H175-IF(ISNUMBER(I175),I175,30),"")</f>
        <v/>
      </c>
      <c r="K175" s="35">
        <f>IF(H175="","",IF(ISNUMBER(H175),H175-TODAY(),"Check date"))</f>
        <v/>
      </c>
      <c r="L175" s="32">
        <f>IF(K175="","",IF(ISNUMBER(K175),IF(K175&lt;0,"Overdue",IF(K175&lt;=30,"Due ≤30 days",IF(K175&lt;=90,"Due ≤90 days","OK"))),"Check date"))</f>
        <v/>
      </c>
      <c r="M175" s="27" t="n"/>
      <c r="N175" s="27" t="n"/>
      <c r="O175" s="27" t="n"/>
      <c r="P175" s="27" t="n"/>
      <c r="Q175" s="27" t="n"/>
      <c r="R175" s="27" t="n"/>
    </row>
    <row r="176">
      <c r="A176" s="27" t="n"/>
      <c r="B176" s="27" t="n"/>
      <c r="C176" s="27" t="n"/>
      <c r="D176" s="34" t="n"/>
      <c r="E176" s="27" t="n"/>
      <c r="F176" s="27" t="n"/>
      <c r="G176" s="28" t="n"/>
      <c r="H176" s="26">
        <f>IF(AND(ISNUMBER(G176),ISNUMBER(D176)),IF(E176="Weeks",G176+7*D176,EDATE(G176,IF(E176="Years",12,1)*D176)),"")</f>
        <v/>
      </c>
      <c r="I176" s="34" t="n"/>
      <c r="J176" s="26">
        <f>IF(ISNUMBER(H176),H176-IF(ISNUMBER(I176),I176,30),"")</f>
        <v/>
      </c>
      <c r="K176" s="35">
        <f>IF(H176="","",IF(ISNUMBER(H176),H176-TODAY(),"Check date"))</f>
        <v/>
      </c>
      <c r="L176" s="32">
        <f>IF(K176="","",IF(ISNUMBER(K176),IF(K176&lt;0,"Overdue",IF(K176&lt;=30,"Due ≤30 days",IF(K176&lt;=90,"Due ≤90 days","OK"))),"Check date"))</f>
        <v/>
      </c>
      <c r="M176" s="27" t="n"/>
      <c r="N176" s="27" t="n"/>
      <c r="O176" s="27" t="n"/>
      <c r="P176" s="27" t="n"/>
      <c r="Q176" s="27" t="n"/>
      <c r="R176" s="27" t="n"/>
    </row>
    <row r="177">
      <c r="A177" s="27" t="n"/>
      <c r="B177" s="27" t="n"/>
      <c r="C177" s="27" t="n"/>
      <c r="D177" s="34" t="n"/>
      <c r="E177" s="27" t="n"/>
      <c r="F177" s="27" t="n"/>
      <c r="G177" s="28" t="n"/>
      <c r="H177" s="26">
        <f>IF(AND(ISNUMBER(G177),ISNUMBER(D177)),IF(E177="Weeks",G177+7*D177,EDATE(G177,IF(E177="Years",12,1)*D177)),"")</f>
        <v/>
      </c>
      <c r="I177" s="34" t="n"/>
      <c r="J177" s="26">
        <f>IF(ISNUMBER(H177),H177-IF(ISNUMBER(I177),I177,30),"")</f>
        <v/>
      </c>
      <c r="K177" s="35">
        <f>IF(H177="","",IF(ISNUMBER(H177),H177-TODAY(),"Check date"))</f>
        <v/>
      </c>
      <c r="L177" s="32">
        <f>IF(K177="","",IF(ISNUMBER(K177),IF(K177&lt;0,"Overdue",IF(K177&lt;=30,"Due ≤30 days",IF(K177&lt;=90,"Due ≤90 days","OK"))),"Check date"))</f>
        <v/>
      </c>
      <c r="M177" s="27" t="n"/>
      <c r="N177" s="27" t="n"/>
      <c r="O177" s="27" t="n"/>
      <c r="P177" s="27" t="n"/>
      <c r="Q177" s="27" t="n"/>
      <c r="R177" s="27" t="n"/>
    </row>
    <row r="178">
      <c r="A178" s="27" t="n"/>
      <c r="B178" s="27" t="n"/>
      <c r="C178" s="27" t="n"/>
      <c r="D178" s="34" t="n"/>
      <c r="E178" s="27" t="n"/>
      <c r="F178" s="27" t="n"/>
      <c r="G178" s="28" t="n"/>
      <c r="H178" s="26">
        <f>IF(AND(ISNUMBER(G178),ISNUMBER(D178)),IF(E178="Weeks",G178+7*D178,EDATE(G178,IF(E178="Years",12,1)*D178)),"")</f>
        <v/>
      </c>
      <c r="I178" s="34" t="n"/>
      <c r="J178" s="26">
        <f>IF(ISNUMBER(H178),H178-IF(ISNUMBER(I178),I178,30),"")</f>
        <v/>
      </c>
      <c r="K178" s="35">
        <f>IF(H178="","",IF(ISNUMBER(H178),H178-TODAY(),"Check date"))</f>
        <v/>
      </c>
      <c r="L178" s="32">
        <f>IF(K178="","",IF(ISNUMBER(K178),IF(K178&lt;0,"Overdue",IF(K178&lt;=30,"Due ≤30 days",IF(K178&lt;=90,"Due ≤90 days","OK"))),"Check date"))</f>
        <v/>
      </c>
      <c r="M178" s="27" t="n"/>
      <c r="N178" s="27" t="n"/>
      <c r="O178" s="27" t="n"/>
      <c r="P178" s="27" t="n"/>
      <c r="Q178" s="27" t="n"/>
      <c r="R178" s="27" t="n"/>
    </row>
    <row r="179">
      <c r="A179" s="27" t="n"/>
      <c r="B179" s="27" t="n"/>
      <c r="C179" s="27" t="n"/>
      <c r="D179" s="34" t="n"/>
      <c r="E179" s="27" t="n"/>
      <c r="F179" s="27" t="n"/>
      <c r="G179" s="28" t="n"/>
      <c r="H179" s="26">
        <f>IF(AND(ISNUMBER(G179),ISNUMBER(D179)),IF(E179="Weeks",G179+7*D179,EDATE(G179,IF(E179="Years",12,1)*D179)),"")</f>
        <v/>
      </c>
      <c r="I179" s="34" t="n"/>
      <c r="J179" s="26">
        <f>IF(ISNUMBER(H179),H179-IF(ISNUMBER(I179),I179,30),"")</f>
        <v/>
      </c>
      <c r="K179" s="35">
        <f>IF(H179="","",IF(ISNUMBER(H179),H179-TODAY(),"Check date"))</f>
        <v/>
      </c>
      <c r="L179" s="32">
        <f>IF(K179="","",IF(ISNUMBER(K179),IF(K179&lt;0,"Overdue",IF(K179&lt;=30,"Due ≤30 days",IF(K179&lt;=90,"Due ≤90 days","OK"))),"Check date"))</f>
        <v/>
      </c>
      <c r="M179" s="27" t="n"/>
      <c r="N179" s="27" t="n"/>
      <c r="O179" s="27" t="n"/>
      <c r="P179" s="27" t="n"/>
      <c r="Q179" s="27" t="n"/>
      <c r="R179" s="27" t="n"/>
    </row>
    <row r="180">
      <c r="A180" s="27" t="n"/>
      <c r="B180" s="27" t="n"/>
      <c r="C180" s="27" t="n"/>
      <c r="D180" s="34" t="n"/>
      <c r="E180" s="27" t="n"/>
      <c r="F180" s="27" t="n"/>
      <c r="G180" s="28" t="n"/>
      <c r="H180" s="26">
        <f>IF(AND(ISNUMBER(G180),ISNUMBER(D180)),IF(E180="Weeks",G180+7*D180,EDATE(G180,IF(E180="Years",12,1)*D180)),"")</f>
        <v/>
      </c>
      <c r="I180" s="34" t="n"/>
      <c r="J180" s="26">
        <f>IF(ISNUMBER(H180),H180-IF(ISNUMBER(I180),I180,30),"")</f>
        <v/>
      </c>
      <c r="K180" s="35">
        <f>IF(H180="","",IF(ISNUMBER(H180),H180-TODAY(),"Check date"))</f>
        <v/>
      </c>
      <c r="L180" s="32">
        <f>IF(K180="","",IF(ISNUMBER(K180),IF(K180&lt;0,"Overdue",IF(K180&lt;=30,"Due ≤30 days",IF(K180&lt;=90,"Due ≤90 days","OK"))),"Check date"))</f>
        <v/>
      </c>
      <c r="M180" s="27" t="n"/>
      <c r="N180" s="27" t="n"/>
      <c r="O180" s="27" t="n"/>
      <c r="P180" s="27" t="n"/>
      <c r="Q180" s="27" t="n"/>
      <c r="R180" s="27" t="n"/>
    </row>
    <row r="181">
      <c r="A181" s="27" t="n"/>
      <c r="B181" s="27" t="n"/>
      <c r="C181" s="27" t="n"/>
      <c r="D181" s="34" t="n"/>
      <c r="E181" s="27" t="n"/>
      <c r="F181" s="27" t="n"/>
      <c r="G181" s="28" t="n"/>
      <c r="H181" s="26">
        <f>IF(AND(ISNUMBER(G181),ISNUMBER(D181)),IF(E181="Weeks",G181+7*D181,EDATE(G181,IF(E181="Years",12,1)*D181)),"")</f>
        <v/>
      </c>
      <c r="I181" s="34" t="n"/>
      <c r="J181" s="26">
        <f>IF(ISNUMBER(H181),H181-IF(ISNUMBER(I181),I181,30),"")</f>
        <v/>
      </c>
      <c r="K181" s="35">
        <f>IF(H181="","",IF(ISNUMBER(H181),H181-TODAY(),"Check date"))</f>
        <v/>
      </c>
      <c r="L181" s="32">
        <f>IF(K181="","",IF(ISNUMBER(K181),IF(K181&lt;0,"Overdue",IF(K181&lt;=30,"Due ≤30 days",IF(K181&lt;=90,"Due ≤90 days","OK"))),"Check date"))</f>
        <v/>
      </c>
      <c r="M181" s="27" t="n"/>
      <c r="N181" s="27" t="n"/>
      <c r="O181" s="27" t="n"/>
      <c r="P181" s="27" t="n"/>
      <c r="Q181" s="27" t="n"/>
      <c r="R181" s="27" t="n"/>
    </row>
    <row r="182">
      <c r="A182" s="27" t="n"/>
      <c r="B182" s="27" t="n"/>
      <c r="C182" s="27" t="n"/>
      <c r="D182" s="34" t="n"/>
      <c r="E182" s="27" t="n"/>
      <c r="F182" s="27" t="n"/>
      <c r="G182" s="28" t="n"/>
      <c r="H182" s="26">
        <f>IF(AND(ISNUMBER(G182),ISNUMBER(D182)),IF(E182="Weeks",G182+7*D182,EDATE(G182,IF(E182="Years",12,1)*D182)),"")</f>
        <v/>
      </c>
      <c r="I182" s="34" t="n"/>
      <c r="J182" s="26">
        <f>IF(ISNUMBER(H182),H182-IF(ISNUMBER(I182),I182,30),"")</f>
        <v/>
      </c>
      <c r="K182" s="35">
        <f>IF(H182="","",IF(ISNUMBER(H182),H182-TODAY(),"Check date"))</f>
        <v/>
      </c>
      <c r="L182" s="32">
        <f>IF(K182="","",IF(ISNUMBER(K182),IF(K182&lt;0,"Overdue",IF(K182&lt;=30,"Due ≤30 days",IF(K182&lt;=90,"Due ≤90 days","OK"))),"Check date"))</f>
        <v/>
      </c>
      <c r="M182" s="27" t="n"/>
      <c r="N182" s="27" t="n"/>
      <c r="O182" s="27" t="n"/>
      <c r="P182" s="27" t="n"/>
      <c r="Q182" s="27" t="n"/>
      <c r="R182" s="27" t="n"/>
    </row>
    <row r="183">
      <c r="A183" s="27" t="n"/>
      <c r="B183" s="27" t="n"/>
      <c r="C183" s="27" t="n"/>
      <c r="D183" s="34" t="n"/>
      <c r="E183" s="27" t="n"/>
      <c r="F183" s="27" t="n"/>
      <c r="G183" s="28" t="n"/>
      <c r="H183" s="26">
        <f>IF(AND(ISNUMBER(G183),ISNUMBER(D183)),IF(E183="Weeks",G183+7*D183,EDATE(G183,IF(E183="Years",12,1)*D183)),"")</f>
        <v/>
      </c>
      <c r="I183" s="34" t="n"/>
      <c r="J183" s="26">
        <f>IF(ISNUMBER(H183),H183-IF(ISNUMBER(I183),I183,30),"")</f>
        <v/>
      </c>
      <c r="K183" s="35">
        <f>IF(H183="","",IF(ISNUMBER(H183),H183-TODAY(),"Check date"))</f>
        <v/>
      </c>
      <c r="L183" s="32">
        <f>IF(K183="","",IF(ISNUMBER(K183),IF(K183&lt;0,"Overdue",IF(K183&lt;=30,"Due ≤30 days",IF(K183&lt;=90,"Due ≤90 days","OK"))),"Check date"))</f>
        <v/>
      </c>
      <c r="M183" s="27" t="n"/>
      <c r="N183" s="27" t="n"/>
      <c r="O183" s="27" t="n"/>
      <c r="P183" s="27" t="n"/>
      <c r="Q183" s="27" t="n"/>
      <c r="R183" s="27" t="n"/>
    </row>
    <row r="184">
      <c r="A184" s="27" t="n"/>
      <c r="B184" s="27" t="n"/>
      <c r="C184" s="27" t="n"/>
      <c r="D184" s="34" t="n"/>
      <c r="E184" s="27" t="n"/>
      <c r="F184" s="27" t="n"/>
      <c r="G184" s="28" t="n"/>
      <c r="H184" s="26">
        <f>IF(AND(ISNUMBER(G184),ISNUMBER(D184)),IF(E184="Weeks",G184+7*D184,EDATE(G184,IF(E184="Years",12,1)*D184)),"")</f>
        <v/>
      </c>
      <c r="I184" s="34" t="n"/>
      <c r="J184" s="26">
        <f>IF(ISNUMBER(H184),H184-IF(ISNUMBER(I184),I184,30),"")</f>
        <v/>
      </c>
      <c r="K184" s="35">
        <f>IF(H184="","",IF(ISNUMBER(H184),H184-TODAY(),"Check date"))</f>
        <v/>
      </c>
      <c r="L184" s="32">
        <f>IF(K184="","",IF(ISNUMBER(K184),IF(K184&lt;0,"Overdue",IF(K184&lt;=30,"Due ≤30 days",IF(K184&lt;=90,"Due ≤90 days","OK"))),"Check date"))</f>
        <v/>
      </c>
      <c r="M184" s="27" t="n"/>
      <c r="N184" s="27" t="n"/>
      <c r="O184" s="27" t="n"/>
      <c r="P184" s="27" t="n"/>
      <c r="Q184" s="27" t="n"/>
      <c r="R184" s="27" t="n"/>
    </row>
    <row r="185">
      <c r="A185" s="27" t="n"/>
      <c r="B185" s="27" t="n"/>
      <c r="C185" s="27" t="n"/>
      <c r="D185" s="34" t="n"/>
      <c r="E185" s="27" t="n"/>
      <c r="F185" s="27" t="n"/>
      <c r="G185" s="28" t="n"/>
      <c r="H185" s="26">
        <f>IF(AND(ISNUMBER(G185),ISNUMBER(D185)),IF(E185="Weeks",G185+7*D185,EDATE(G185,IF(E185="Years",12,1)*D185)),"")</f>
        <v/>
      </c>
      <c r="I185" s="34" t="n"/>
      <c r="J185" s="26">
        <f>IF(ISNUMBER(H185),H185-IF(ISNUMBER(I185),I185,30),"")</f>
        <v/>
      </c>
      <c r="K185" s="35">
        <f>IF(H185="","",IF(ISNUMBER(H185),H185-TODAY(),"Check date"))</f>
        <v/>
      </c>
      <c r="L185" s="32">
        <f>IF(K185="","",IF(ISNUMBER(K185),IF(K185&lt;0,"Overdue",IF(K185&lt;=30,"Due ≤30 days",IF(K185&lt;=90,"Due ≤90 days","OK"))),"Check date"))</f>
        <v/>
      </c>
      <c r="M185" s="27" t="n"/>
      <c r="N185" s="27" t="n"/>
      <c r="O185" s="27" t="n"/>
      <c r="P185" s="27" t="n"/>
      <c r="Q185" s="27" t="n"/>
      <c r="R185" s="27" t="n"/>
    </row>
    <row r="186">
      <c r="A186" s="27" t="n"/>
      <c r="B186" s="27" t="n"/>
      <c r="C186" s="27" t="n"/>
      <c r="D186" s="34" t="n"/>
      <c r="E186" s="27" t="n"/>
      <c r="F186" s="27" t="n"/>
      <c r="G186" s="28" t="n"/>
      <c r="H186" s="26">
        <f>IF(AND(ISNUMBER(G186),ISNUMBER(D186)),IF(E186="Weeks",G186+7*D186,EDATE(G186,IF(E186="Years",12,1)*D186)),"")</f>
        <v/>
      </c>
      <c r="I186" s="34" t="n"/>
      <c r="J186" s="26">
        <f>IF(ISNUMBER(H186),H186-IF(ISNUMBER(I186),I186,30),"")</f>
        <v/>
      </c>
      <c r="K186" s="35">
        <f>IF(H186="","",IF(ISNUMBER(H186),H186-TODAY(),"Check date"))</f>
        <v/>
      </c>
      <c r="L186" s="32">
        <f>IF(K186="","",IF(ISNUMBER(K186),IF(K186&lt;0,"Overdue",IF(K186&lt;=30,"Due ≤30 days",IF(K186&lt;=90,"Due ≤90 days","OK"))),"Check date"))</f>
        <v/>
      </c>
      <c r="M186" s="27" t="n"/>
      <c r="N186" s="27" t="n"/>
      <c r="O186" s="27" t="n"/>
      <c r="P186" s="27" t="n"/>
      <c r="Q186" s="27" t="n"/>
      <c r="R186" s="27" t="n"/>
    </row>
    <row r="187">
      <c r="A187" s="27" t="n"/>
      <c r="B187" s="27" t="n"/>
      <c r="C187" s="27" t="n"/>
      <c r="D187" s="34" t="n"/>
      <c r="E187" s="27" t="n"/>
      <c r="F187" s="27" t="n"/>
      <c r="G187" s="28" t="n"/>
      <c r="H187" s="26">
        <f>IF(AND(ISNUMBER(G187),ISNUMBER(D187)),IF(E187="Weeks",G187+7*D187,EDATE(G187,IF(E187="Years",12,1)*D187)),"")</f>
        <v/>
      </c>
      <c r="I187" s="34" t="n"/>
      <c r="J187" s="26">
        <f>IF(ISNUMBER(H187),H187-IF(ISNUMBER(I187),I187,30),"")</f>
        <v/>
      </c>
      <c r="K187" s="35">
        <f>IF(H187="","",IF(ISNUMBER(H187),H187-TODAY(),"Check date"))</f>
        <v/>
      </c>
      <c r="L187" s="32">
        <f>IF(K187="","",IF(ISNUMBER(K187),IF(K187&lt;0,"Overdue",IF(K187&lt;=30,"Due ≤30 days",IF(K187&lt;=90,"Due ≤90 days","OK"))),"Check date"))</f>
        <v/>
      </c>
      <c r="M187" s="27" t="n"/>
      <c r="N187" s="27" t="n"/>
      <c r="O187" s="27" t="n"/>
      <c r="P187" s="27" t="n"/>
      <c r="Q187" s="27" t="n"/>
      <c r="R187" s="27" t="n"/>
    </row>
    <row r="188">
      <c r="A188" s="27" t="n"/>
      <c r="B188" s="27" t="n"/>
      <c r="C188" s="27" t="n"/>
      <c r="D188" s="34" t="n"/>
      <c r="E188" s="27" t="n"/>
      <c r="F188" s="27" t="n"/>
      <c r="G188" s="28" t="n"/>
      <c r="H188" s="26">
        <f>IF(AND(ISNUMBER(G188),ISNUMBER(D188)),IF(E188="Weeks",G188+7*D188,EDATE(G188,IF(E188="Years",12,1)*D188)),"")</f>
        <v/>
      </c>
      <c r="I188" s="34" t="n"/>
      <c r="J188" s="26">
        <f>IF(ISNUMBER(H188),H188-IF(ISNUMBER(I188),I188,30),"")</f>
        <v/>
      </c>
      <c r="K188" s="35">
        <f>IF(H188="","",IF(ISNUMBER(H188),H188-TODAY(),"Check date"))</f>
        <v/>
      </c>
      <c r="L188" s="32">
        <f>IF(K188="","",IF(ISNUMBER(K188),IF(K188&lt;0,"Overdue",IF(K188&lt;=30,"Due ≤30 days",IF(K188&lt;=90,"Due ≤90 days","OK"))),"Check date"))</f>
        <v/>
      </c>
      <c r="M188" s="27" t="n"/>
      <c r="N188" s="27" t="n"/>
      <c r="O188" s="27" t="n"/>
      <c r="P188" s="27" t="n"/>
      <c r="Q188" s="27" t="n"/>
      <c r="R188" s="27" t="n"/>
    </row>
    <row r="189">
      <c r="A189" s="27" t="n"/>
      <c r="B189" s="27" t="n"/>
      <c r="C189" s="27" t="n"/>
      <c r="D189" s="34" t="n"/>
      <c r="E189" s="27" t="n"/>
      <c r="F189" s="27" t="n"/>
      <c r="G189" s="28" t="n"/>
      <c r="H189" s="26">
        <f>IF(AND(ISNUMBER(G189),ISNUMBER(D189)),IF(E189="Weeks",G189+7*D189,EDATE(G189,IF(E189="Years",12,1)*D189)),"")</f>
        <v/>
      </c>
      <c r="I189" s="34" t="n"/>
      <c r="J189" s="26">
        <f>IF(ISNUMBER(H189),H189-IF(ISNUMBER(I189),I189,30),"")</f>
        <v/>
      </c>
      <c r="K189" s="35">
        <f>IF(H189="","",IF(ISNUMBER(H189),H189-TODAY(),"Check date"))</f>
        <v/>
      </c>
      <c r="L189" s="32">
        <f>IF(K189="","",IF(ISNUMBER(K189),IF(K189&lt;0,"Overdue",IF(K189&lt;=30,"Due ≤30 days",IF(K189&lt;=90,"Due ≤90 days","OK"))),"Check date"))</f>
        <v/>
      </c>
      <c r="M189" s="27" t="n"/>
      <c r="N189" s="27" t="n"/>
      <c r="O189" s="27" t="n"/>
      <c r="P189" s="27" t="n"/>
      <c r="Q189" s="27" t="n"/>
      <c r="R189" s="27" t="n"/>
    </row>
    <row r="190">
      <c r="A190" s="27" t="n"/>
      <c r="B190" s="27" t="n"/>
      <c r="C190" s="27" t="n"/>
      <c r="D190" s="34" t="n"/>
      <c r="E190" s="27" t="n"/>
      <c r="F190" s="27" t="n"/>
      <c r="G190" s="28" t="n"/>
      <c r="H190" s="26">
        <f>IF(AND(ISNUMBER(G190),ISNUMBER(D190)),IF(E190="Weeks",G190+7*D190,EDATE(G190,IF(E190="Years",12,1)*D190)),"")</f>
        <v/>
      </c>
      <c r="I190" s="34" t="n"/>
      <c r="J190" s="26">
        <f>IF(ISNUMBER(H190),H190-IF(ISNUMBER(I190),I190,30),"")</f>
        <v/>
      </c>
      <c r="K190" s="35">
        <f>IF(H190="","",IF(ISNUMBER(H190),H190-TODAY(),"Check date"))</f>
        <v/>
      </c>
      <c r="L190" s="32">
        <f>IF(K190="","",IF(ISNUMBER(K190),IF(K190&lt;0,"Overdue",IF(K190&lt;=30,"Due ≤30 days",IF(K190&lt;=90,"Due ≤90 days","OK"))),"Check date"))</f>
        <v/>
      </c>
      <c r="M190" s="27" t="n"/>
      <c r="N190" s="27" t="n"/>
      <c r="O190" s="27" t="n"/>
      <c r="P190" s="27" t="n"/>
      <c r="Q190" s="27" t="n"/>
      <c r="R190" s="27" t="n"/>
    </row>
    <row r="191">
      <c r="A191" s="27" t="n"/>
      <c r="B191" s="27" t="n"/>
      <c r="C191" s="27" t="n"/>
      <c r="D191" s="34" t="n"/>
      <c r="E191" s="27" t="n"/>
      <c r="F191" s="27" t="n"/>
      <c r="G191" s="28" t="n"/>
      <c r="H191" s="26">
        <f>IF(AND(ISNUMBER(G191),ISNUMBER(D191)),IF(E191="Weeks",G191+7*D191,EDATE(G191,IF(E191="Years",12,1)*D191)),"")</f>
        <v/>
      </c>
      <c r="I191" s="34" t="n"/>
      <c r="J191" s="26">
        <f>IF(ISNUMBER(H191),H191-IF(ISNUMBER(I191),I191,30),"")</f>
        <v/>
      </c>
      <c r="K191" s="35">
        <f>IF(H191="","",IF(ISNUMBER(H191),H191-TODAY(),"Check date"))</f>
        <v/>
      </c>
      <c r="L191" s="32">
        <f>IF(K191="","",IF(ISNUMBER(K191),IF(K191&lt;0,"Overdue",IF(K191&lt;=30,"Due ≤30 days",IF(K191&lt;=90,"Due ≤90 days","OK"))),"Check date"))</f>
        <v/>
      </c>
      <c r="M191" s="27" t="n"/>
      <c r="N191" s="27" t="n"/>
      <c r="O191" s="27" t="n"/>
      <c r="P191" s="27" t="n"/>
      <c r="Q191" s="27" t="n"/>
      <c r="R191" s="27" t="n"/>
    </row>
    <row r="192">
      <c r="A192" s="27" t="n"/>
      <c r="B192" s="27" t="n"/>
      <c r="C192" s="27" t="n"/>
      <c r="D192" s="34" t="n"/>
      <c r="E192" s="27" t="n"/>
      <c r="F192" s="27" t="n"/>
      <c r="G192" s="28" t="n"/>
      <c r="H192" s="26">
        <f>IF(AND(ISNUMBER(G192),ISNUMBER(D192)),IF(E192="Weeks",G192+7*D192,EDATE(G192,IF(E192="Years",12,1)*D192)),"")</f>
        <v/>
      </c>
      <c r="I192" s="34" t="n"/>
      <c r="J192" s="26">
        <f>IF(ISNUMBER(H192),H192-IF(ISNUMBER(I192),I192,30),"")</f>
        <v/>
      </c>
      <c r="K192" s="35">
        <f>IF(H192="","",IF(ISNUMBER(H192),H192-TODAY(),"Check date"))</f>
        <v/>
      </c>
      <c r="L192" s="32">
        <f>IF(K192="","",IF(ISNUMBER(K192),IF(K192&lt;0,"Overdue",IF(K192&lt;=30,"Due ≤30 days",IF(K192&lt;=90,"Due ≤90 days","OK"))),"Check date"))</f>
        <v/>
      </c>
      <c r="M192" s="27" t="n"/>
      <c r="N192" s="27" t="n"/>
      <c r="O192" s="27" t="n"/>
      <c r="P192" s="27" t="n"/>
      <c r="Q192" s="27" t="n"/>
      <c r="R192" s="27" t="n"/>
    </row>
    <row r="193">
      <c r="A193" s="27" t="n"/>
      <c r="B193" s="27" t="n"/>
      <c r="C193" s="27" t="n"/>
      <c r="D193" s="34" t="n"/>
      <c r="E193" s="27" t="n"/>
      <c r="F193" s="27" t="n"/>
      <c r="G193" s="28" t="n"/>
      <c r="H193" s="26">
        <f>IF(AND(ISNUMBER(G193),ISNUMBER(D193)),IF(E193="Weeks",G193+7*D193,EDATE(G193,IF(E193="Years",12,1)*D193)),"")</f>
        <v/>
      </c>
      <c r="I193" s="34" t="n"/>
      <c r="J193" s="26">
        <f>IF(ISNUMBER(H193),H193-IF(ISNUMBER(I193),I193,30),"")</f>
        <v/>
      </c>
      <c r="K193" s="35">
        <f>IF(H193="","",IF(ISNUMBER(H193),H193-TODAY(),"Check date"))</f>
        <v/>
      </c>
      <c r="L193" s="32">
        <f>IF(K193="","",IF(ISNUMBER(K193),IF(K193&lt;0,"Overdue",IF(K193&lt;=30,"Due ≤30 days",IF(K193&lt;=90,"Due ≤90 days","OK"))),"Check date"))</f>
        <v/>
      </c>
      <c r="M193" s="27" t="n"/>
      <c r="N193" s="27" t="n"/>
      <c r="O193" s="27" t="n"/>
      <c r="P193" s="27" t="n"/>
      <c r="Q193" s="27" t="n"/>
      <c r="R193" s="27" t="n"/>
    </row>
    <row r="194">
      <c r="A194" s="27" t="n"/>
      <c r="B194" s="27" t="n"/>
      <c r="C194" s="27" t="n"/>
      <c r="D194" s="34" t="n"/>
      <c r="E194" s="27" t="n"/>
      <c r="F194" s="27" t="n"/>
      <c r="G194" s="28" t="n"/>
      <c r="H194" s="26">
        <f>IF(AND(ISNUMBER(G194),ISNUMBER(D194)),IF(E194="Weeks",G194+7*D194,EDATE(G194,IF(E194="Years",12,1)*D194)),"")</f>
        <v/>
      </c>
      <c r="I194" s="34" t="n"/>
      <c r="J194" s="26">
        <f>IF(ISNUMBER(H194),H194-IF(ISNUMBER(I194),I194,30),"")</f>
        <v/>
      </c>
      <c r="K194" s="35">
        <f>IF(H194="","",IF(ISNUMBER(H194),H194-TODAY(),"Check date"))</f>
        <v/>
      </c>
      <c r="L194" s="32">
        <f>IF(K194="","",IF(ISNUMBER(K194),IF(K194&lt;0,"Overdue",IF(K194&lt;=30,"Due ≤30 days",IF(K194&lt;=90,"Due ≤90 days","OK"))),"Check date"))</f>
        <v/>
      </c>
      <c r="M194" s="27" t="n"/>
      <c r="N194" s="27" t="n"/>
      <c r="O194" s="27" t="n"/>
      <c r="P194" s="27" t="n"/>
      <c r="Q194" s="27" t="n"/>
      <c r="R194" s="27" t="n"/>
    </row>
    <row r="195">
      <c r="A195" s="27" t="n"/>
      <c r="B195" s="27" t="n"/>
      <c r="C195" s="27" t="n"/>
      <c r="D195" s="34" t="n"/>
      <c r="E195" s="27" t="n"/>
      <c r="F195" s="27" t="n"/>
      <c r="G195" s="28" t="n"/>
      <c r="H195" s="26">
        <f>IF(AND(ISNUMBER(G195),ISNUMBER(D195)),IF(E195="Weeks",G195+7*D195,EDATE(G195,IF(E195="Years",12,1)*D195)),"")</f>
        <v/>
      </c>
      <c r="I195" s="34" t="n"/>
      <c r="J195" s="26">
        <f>IF(ISNUMBER(H195),H195-IF(ISNUMBER(I195),I195,30),"")</f>
        <v/>
      </c>
      <c r="K195" s="35">
        <f>IF(H195="","",IF(ISNUMBER(H195),H195-TODAY(),"Check date"))</f>
        <v/>
      </c>
      <c r="L195" s="32">
        <f>IF(K195="","",IF(ISNUMBER(K195),IF(K195&lt;0,"Overdue",IF(K195&lt;=30,"Due ≤30 days",IF(K195&lt;=90,"Due ≤90 days","OK"))),"Check date"))</f>
        <v/>
      </c>
      <c r="M195" s="27" t="n"/>
      <c r="N195" s="27" t="n"/>
      <c r="O195" s="27" t="n"/>
      <c r="P195" s="27" t="n"/>
      <c r="Q195" s="27" t="n"/>
      <c r="R195" s="27" t="n"/>
    </row>
    <row r="196">
      <c r="A196" s="27" t="n"/>
      <c r="B196" s="27" t="n"/>
      <c r="C196" s="27" t="n"/>
      <c r="D196" s="34" t="n"/>
      <c r="E196" s="27" t="n"/>
      <c r="F196" s="27" t="n"/>
      <c r="G196" s="28" t="n"/>
      <c r="H196" s="26">
        <f>IF(AND(ISNUMBER(G196),ISNUMBER(D196)),IF(E196="Weeks",G196+7*D196,EDATE(G196,IF(E196="Years",12,1)*D196)),"")</f>
        <v/>
      </c>
      <c r="I196" s="34" t="n"/>
      <c r="J196" s="26">
        <f>IF(ISNUMBER(H196),H196-IF(ISNUMBER(I196),I196,30),"")</f>
        <v/>
      </c>
      <c r="K196" s="35">
        <f>IF(H196="","",IF(ISNUMBER(H196),H196-TODAY(),"Check date"))</f>
        <v/>
      </c>
      <c r="L196" s="32">
        <f>IF(K196="","",IF(ISNUMBER(K196),IF(K196&lt;0,"Overdue",IF(K196&lt;=30,"Due ≤30 days",IF(K196&lt;=90,"Due ≤90 days","OK"))),"Check date"))</f>
        <v/>
      </c>
      <c r="M196" s="27" t="n"/>
      <c r="N196" s="27" t="n"/>
      <c r="O196" s="27" t="n"/>
      <c r="P196" s="27" t="n"/>
      <c r="Q196" s="27" t="n"/>
      <c r="R196" s="27" t="n"/>
    </row>
    <row r="197">
      <c r="A197" s="27" t="n"/>
      <c r="B197" s="27" t="n"/>
      <c r="C197" s="27" t="n"/>
      <c r="D197" s="34" t="n"/>
      <c r="E197" s="27" t="n"/>
      <c r="F197" s="27" t="n"/>
      <c r="G197" s="28" t="n"/>
      <c r="H197" s="26">
        <f>IF(AND(ISNUMBER(G197),ISNUMBER(D197)),IF(E197="Weeks",G197+7*D197,EDATE(G197,IF(E197="Years",12,1)*D197)),"")</f>
        <v/>
      </c>
      <c r="I197" s="34" t="n"/>
      <c r="J197" s="26">
        <f>IF(ISNUMBER(H197),H197-IF(ISNUMBER(I197),I197,30),"")</f>
        <v/>
      </c>
      <c r="K197" s="35">
        <f>IF(H197="","",IF(ISNUMBER(H197),H197-TODAY(),"Check date"))</f>
        <v/>
      </c>
      <c r="L197" s="32">
        <f>IF(K197="","",IF(ISNUMBER(K197),IF(K197&lt;0,"Overdue",IF(K197&lt;=30,"Due ≤30 days",IF(K197&lt;=90,"Due ≤90 days","OK"))),"Check date"))</f>
        <v/>
      </c>
      <c r="M197" s="27" t="n"/>
      <c r="N197" s="27" t="n"/>
      <c r="O197" s="27" t="n"/>
      <c r="P197" s="27" t="n"/>
      <c r="Q197" s="27" t="n"/>
      <c r="R197" s="27" t="n"/>
    </row>
    <row r="198">
      <c r="A198" s="27" t="n"/>
      <c r="B198" s="27" t="n"/>
      <c r="C198" s="27" t="n"/>
      <c r="D198" s="34" t="n"/>
      <c r="E198" s="27" t="n"/>
      <c r="F198" s="27" t="n"/>
      <c r="G198" s="28" t="n"/>
      <c r="H198" s="26">
        <f>IF(AND(ISNUMBER(G198),ISNUMBER(D198)),IF(E198="Weeks",G198+7*D198,EDATE(G198,IF(E198="Years",12,1)*D198)),"")</f>
        <v/>
      </c>
      <c r="I198" s="34" t="n"/>
      <c r="J198" s="26">
        <f>IF(ISNUMBER(H198),H198-IF(ISNUMBER(I198),I198,30),"")</f>
        <v/>
      </c>
      <c r="K198" s="35">
        <f>IF(H198="","",IF(ISNUMBER(H198),H198-TODAY(),"Check date"))</f>
        <v/>
      </c>
      <c r="L198" s="32">
        <f>IF(K198="","",IF(ISNUMBER(K198),IF(K198&lt;0,"Overdue",IF(K198&lt;=30,"Due ≤30 days",IF(K198&lt;=90,"Due ≤90 days","OK"))),"Check date"))</f>
        <v/>
      </c>
      <c r="M198" s="27" t="n"/>
      <c r="N198" s="27" t="n"/>
      <c r="O198" s="27" t="n"/>
      <c r="P198" s="27" t="n"/>
      <c r="Q198" s="27" t="n"/>
      <c r="R198" s="27" t="n"/>
    </row>
    <row r="199">
      <c r="A199" s="27" t="n"/>
      <c r="B199" s="27" t="n"/>
      <c r="C199" s="27" t="n"/>
      <c r="D199" s="34" t="n"/>
      <c r="E199" s="27" t="n"/>
      <c r="F199" s="27" t="n"/>
      <c r="G199" s="28" t="n"/>
      <c r="H199" s="26">
        <f>IF(AND(ISNUMBER(G199),ISNUMBER(D199)),IF(E199="Weeks",G199+7*D199,EDATE(G199,IF(E199="Years",12,1)*D199)),"")</f>
        <v/>
      </c>
      <c r="I199" s="34" t="n"/>
      <c r="J199" s="26">
        <f>IF(ISNUMBER(H199),H199-IF(ISNUMBER(I199),I199,30),"")</f>
        <v/>
      </c>
      <c r="K199" s="35">
        <f>IF(H199="","",IF(ISNUMBER(H199),H199-TODAY(),"Check date"))</f>
        <v/>
      </c>
      <c r="L199" s="32">
        <f>IF(K199="","",IF(ISNUMBER(K199),IF(K199&lt;0,"Overdue",IF(K199&lt;=30,"Due ≤30 days",IF(K199&lt;=90,"Due ≤90 days","OK"))),"Check date"))</f>
        <v/>
      </c>
      <c r="M199" s="27" t="n"/>
      <c r="N199" s="27" t="n"/>
      <c r="O199" s="27" t="n"/>
      <c r="P199" s="27" t="n"/>
      <c r="Q199" s="27" t="n"/>
      <c r="R199" s="27" t="n"/>
    </row>
    <row r="200">
      <c r="A200" s="27" t="n"/>
      <c r="B200" s="27" t="n"/>
      <c r="C200" s="27" t="n"/>
      <c r="D200" s="34" t="n"/>
      <c r="E200" s="27" t="n"/>
      <c r="F200" s="27" t="n"/>
      <c r="G200" s="28" t="n"/>
      <c r="H200" s="26">
        <f>IF(AND(ISNUMBER(G200),ISNUMBER(D200)),IF(E200="Weeks",G200+7*D200,EDATE(G200,IF(E200="Years",12,1)*D200)),"")</f>
        <v/>
      </c>
      <c r="I200" s="34" t="n"/>
      <c r="J200" s="26">
        <f>IF(ISNUMBER(H200),H200-IF(ISNUMBER(I200),I200,30),"")</f>
        <v/>
      </c>
      <c r="K200" s="35">
        <f>IF(H200="","",IF(ISNUMBER(H200),H200-TODAY(),"Check date"))</f>
        <v/>
      </c>
      <c r="L200" s="32">
        <f>IF(K200="","",IF(ISNUMBER(K200),IF(K200&lt;0,"Overdue",IF(K200&lt;=30,"Due ≤30 days",IF(K200&lt;=90,"Due ≤90 days","OK"))),"Check date"))</f>
        <v/>
      </c>
      <c r="M200" s="27" t="n"/>
      <c r="N200" s="27" t="n"/>
      <c r="O200" s="27" t="n"/>
      <c r="P200" s="27" t="n"/>
      <c r="Q200" s="27" t="n"/>
      <c r="R200" s="27" t="n"/>
    </row>
    <row r="201">
      <c r="A201" s="27" t="n"/>
      <c r="B201" s="27" t="n"/>
      <c r="C201" s="27" t="n"/>
      <c r="D201" s="34" t="n"/>
      <c r="E201" s="27" t="n"/>
      <c r="F201" s="27" t="n"/>
      <c r="G201" s="28" t="n"/>
      <c r="H201" s="26">
        <f>IF(AND(ISNUMBER(G201),ISNUMBER(D201)),IF(E201="Weeks",G201+7*D201,EDATE(G201,IF(E201="Years",12,1)*D201)),"")</f>
        <v/>
      </c>
      <c r="I201" s="34" t="n"/>
      <c r="J201" s="26">
        <f>IF(ISNUMBER(H201),H201-IF(ISNUMBER(I201),I201,30),"")</f>
        <v/>
      </c>
      <c r="K201" s="35">
        <f>IF(H201="","",IF(ISNUMBER(H201),H201-TODAY(),"Check date"))</f>
        <v/>
      </c>
      <c r="L201" s="32">
        <f>IF(K201="","",IF(ISNUMBER(K201),IF(K201&lt;0,"Overdue",IF(K201&lt;=30,"Due ≤30 days",IF(K201&lt;=90,"Due ≤90 days","OK"))),"Check date"))</f>
        <v/>
      </c>
      <c r="M201" s="27" t="n"/>
      <c r="N201" s="27" t="n"/>
      <c r="O201" s="27" t="n"/>
      <c r="P201" s="27" t="n"/>
      <c r="Q201" s="27" t="n"/>
      <c r="R201" s="27" t="n"/>
    </row>
    <row r="202">
      <c r="A202" s="27" t="n"/>
      <c r="B202" s="27" t="n"/>
      <c r="C202" s="27" t="n"/>
      <c r="D202" s="34" t="n"/>
      <c r="E202" s="27" t="n"/>
      <c r="F202" s="27" t="n"/>
      <c r="G202" s="28" t="n"/>
      <c r="H202" s="26">
        <f>IF(AND(ISNUMBER(G202),ISNUMBER(D202)),IF(E202="Weeks",G202+7*D202,EDATE(G202,IF(E202="Years",12,1)*D202)),"")</f>
        <v/>
      </c>
      <c r="I202" s="34" t="n"/>
      <c r="J202" s="26">
        <f>IF(ISNUMBER(H202),H202-IF(ISNUMBER(I202),I202,30),"")</f>
        <v/>
      </c>
      <c r="K202" s="35">
        <f>IF(H202="","",IF(ISNUMBER(H202),H202-TODAY(),"Check date"))</f>
        <v/>
      </c>
      <c r="L202" s="32">
        <f>IF(K202="","",IF(ISNUMBER(K202),IF(K202&lt;0,"Overdue",IF(K202&lt;=30,"Due ≤30 days",IF(K202&lt;=90,"Due ≤90 days","OK"))),"Check date"))</f>
        <v/>
      </c>
      <c r="M202" s="27" t="n"/>
      <c r="N202" s="27" t="n"/>
      <c r="O202" s="27" t="n"/>
      <c r="P202" s="27" t="n"/>
      <c r="Q202" s="27" t="n"/>
      <c r="R202" s="27" t="n"/>
    </row>
    <row r="203">
      <c r="A203" s="27" t="n"/>
      <c r="B203" s="27" t="n"/>
      <c r="C203" s="27" t="n"/>
      <c r="D203" s="34" t="n"/>
      <c r="E203" s="27" t="n"/>
      <c r="F203" s="27" t="n"/>
      <c r="G203" s="28" t="n"/>
      <c r="H203" s="26">
        <f>IF(AND(ISNUMBER(G203),ISNUMBER(D203)),IF(E203="Weeks",G203+7*D203,EDATE(G203,IF(E203="Years",12,1)*D203)),"")</f>
        <v/>
      </c>
      <c r="I203" s="34" t="n"/>
      <c r="J203" s="26">
        <f>IF(ISNUMBER(H203),H203-IF(ISNUMBER(I203),I203,30),"")</f>
        <v/>
      </c>
      <c r="K203" s="35">
        <f>IF(H203="","",IF(ISNUMBER(H203),H203-TODAY(),"Check date"))</f>
        <v/>
      </c>
      <c r="L203" s="32">
        <f>IF(K203="","",IF(ISNUMBER(K203),IF(K203&lt;0,"Overdue",IF(K203&lt;=30,"Due ≤30 days",IF(K203&lt;=90,"Due ≤90 days","OK"))),"Check date"))</f>
        <v/>
      </c>
      <c r="M203" s="27" t="n"/>
      <c r="N203" s="27" t="n"/>
      <c r="O203" s="27" t="n"/>
      <c r="P203" s="27" t="n"/>
      <c r="Q203" s="27" t="n"/>
      <c r="R203" s="27" t="n"/>
    </row>
    <row r="204">
      <c r="A204" s="27" t="n"/>
      <c r="B204" s="27" t="n"/>
      <c r="C204" s="27" t="n"/>
      <c r="D204" s="34" t="n"/>
      <c r="E204" s="27" t="n"/>
      <c r="F204" s="27" t="n"/>
      <c r="G204" s="28" t="n"/>
      <c r="H204" s="26">
        <f>IF(AND(ISNUMBER(G204),ISNUMBER(D204)),IF(E204="Weeks",G204+7*D204,EDATE(G204,IF(E204="Years",12,1)*D204)),"")</f>
        <v/>
      </c>
      <c r="I204" s="34" t="n"/>
      <c r="J204" s="26">
        <f>IF(ISNUMBER(H204),H204-IF(ISNUMBER(I204),I204,30),"")</f>
        <v/>
      </c>
      <c r="K204" s="35">
        <f>IF(H204="","",IF(ISNUMBER(H204),H204-TODAY(),"Check date"))</f>
        <v/>
      </c>
      <c r="L204" s="32">
        <f>IF(K204="","",IF(ISNUMBER(K204),IF(K204&lt;0,"Overdue",IF(K204&lt;=30,"Due ≤30 days",IF(K204&lt;=90,"Due ≤90 days","OK"))),"Check date"))</f>
        <v/>
      </c>
      <c r="M204" s="27" t="n"/>
      <c r="N204" s="27" t="n"/>
      <c r="O204" s="27" t="n"/>
      <c r="P204" s="27" t="n"/>
      <c r="Q204" s="27" t="n"/>
      <c r="R204" s="27" t="n"/>
    </row>
    <row r="205">
      <c r="A205" s="27" t="n"/>
      <c r="B205" s="27" t="n"/>
      <c r="C205" s="27" t="n"/>
      <c r="D205" s="34" t="n"/>
      <c r="E205" s="27" t="n"/>
      <c r="F205" s="27" t="n"/>
      <c r="G205" s="28" t="n"/>
      <c r="H205" s="26">
        <f>IF(AND(ISNUMBER(G205),ISNUMBER(D205)),IF(E205="Weeks",G205+7*D205,EDATE(G205,IF(E205="Years",12,1)*D205)),"")</f>
        <v/>
      </c>
      <c r="I205" s="34" t="n"/>
      <c r="J205" s="26">
        <f>IF(ISNUMBER(H205),H205-IF(ISNUMBER(I205),I205,30),"")</f>
        <v/>
      </c>
      <c r="K205" s="35">
        <f>IF(H205="","",IF(ISNUMBER(H205),H205-TODAY(),"Check date"))</f>
        <v/>
      </c>
      <c r="L205" s="32">
        <f>IF(K205="","",IF(ISNUMBER(K205),IF(K205&lt;0,"Overdue",IF(K205&lt;=30,"Due ≤30 days",IF(K205&lt;=90,"Due ≤90 days","OK"))),"Check date"))</f>
        <v/>
      </c>
      <c r="M205" s="27" t="n"/>
      <c r="N205" s="27" t="n"/>
      <c r="O205" s="27" t="n"/>
      <c r="P205" s="27" t="n"/>
      <c r="Q205" s="27" t="n"/>
      <c r="R205" s="27" t="n"/>
    </row>
    <row r="206">
      <c r="A206" s="27" t="n"/>
      <c r="B206" s="27" t="n"/>
      <c r="C206" s="27" t="n"/>
      <c r="D206" s="34" t="n"/>
      <c r="E206" s="27" t="n"/>
      <c r="F206" s="27" t="n"/>
      <c r="G206" s="28" t="n"/>
      <c r="H206" s="26">
        <f>IF(AND(ISNUMBER(G206),ISNUMBER(D206)),IF(E206="Weeks",G206+7*D206,EDATE(G206,IF(E206="Years",12,1)*D206)),"")</f>
        <v/>
      </c>
      <c r="I206" s="34" t="n"/>
      <c r="J206" s="26">
        <f>IF(ISNUMBER(H206),H206-IF(ISNUMBER(I206),I206,30),"")</f>
        <v/>
      </c>
      <c r="K206" s="35">
        <f>IF(H206="","",IF(ISNUMBER(H206),H206-TODAY(),"Check date"))</f>
        <v/>
      </c>
      <c r="L206" s="32">
        <f>IF(K206="","",IF(ISNUMBER(K206),IF(K206&lt;0,"Overdue",IF(K206&lt;=30,"Due ≤30 days",IF(K206&lt;=90,"Due ≤90 days","OK"))),"Check date"))</f>
        <v/>
      </c>
      <c r="M206" s="27" t="n"/>
      <c r="N206" s="27" t="n"/>
      <c r="O206" s="27" t="n"/>
      <c r="P206" s="27" t="n"/>
      <c r="Q206" s="27" t="n"/>
      <c r="R206" s="27" t="n"/>
    </row>
    <row r="207">
      <c r="A207" s="27" t="n"/>
      <c r="B207" s="27" t="n"/>
      <c r="C207" s="27" t="n"/>
      <c r="D207" s="34" t="n"/>
      <c r="E207" s="27" t="n"/>
      <c r="F207" s="27" t="n"/>
      <c r="G207" s="28" t="n"/>
      <c r="H207" s="26">
        <f>IF(AND(ISNUMBER(G207),ISNUMBER(D207)),IF(E207="Weeks",G207+7*D207,EDATE(G207,IF(E207="Years",12,1)*D207)),"")</f>
        <v/>
      </c>
      <c r="I207" s="34" t="n"/>
      <c r="J207" s="26">
        <f>IF(ISNUMBER(H207),H207-IF(ISNUMBER(I207),I207,30),"")</f>
        <v/>
      </c>
      <c r="K207" s="35">
        <f>IF(H207="","",IF(ISNUMBER(H207),H207-TODAY(),"Check date"))</f>
        <v/>
      </c>
      <c r="L207" s="32">
        <f>IF(K207="","",IF(ISNUMBER(K207),IF(K207&lt;0,"Overdue",IF(K207&lt;=30,"Due ≤30 days",IF(K207&lt;=90,"Due ≤90 days","OK"))),"Check date"))</f>
        <v/>
      </c>
      <c r="M207" s="27" t="n"/>
      <c r="N207" s="27" t="n"/>
      <c r="O207" s="27" t="n"/>
      <c r="P207" s="27" t="n"/>
      <c r="Q207" s="27" t="n"/>
      <c r="R207" s="27" t="n"/>
    </row>
    <row r="208">
      <c r="A208" s="27" t="n"/>
      <c r="B208" s="27" t="n"/>
      <c r="C208" s="27" t="n"/>
      <c r="D208" s="34" t="n"/>
      <c r="E208" s="27" t="n"/>
      <c r="F208" s="27" t="n"/>
      <c r="G208" s="28" t="n"/>
      <c r="H208" s="26">
        <f>IF(AND(ISNUMBER(G208),ISNUMBER(D208)),IF(E208="Weeks",G208+7*D208,EDATE(G208,IF(E208="Years",12,1)*D208)),"")</f>
        <v/>
      </c>
      <c r="I208" s="34" t="n"/>
      <c r="J208" s="26">
        <f>IF(ISNUMBER(H208),H208-IF(ISNUMBER(I208),I208,30),"")</f>
        <v/>
      </c>
      <c r="K208" s="35">
        <f>IF(H208="","",IF(ISNUMBER(H208),H208-TODAY(),"Check date"))</f>
        <v/>
      </c>
      <c r="L208" s="32">
        <f>IF(K208="","",IF(ISNUMBER(K208),IF(K208&lt;0,"Overdue",IF(K208&lt;=30,"Due ≤30 days",IF(K208&lt;=90,"Due ≤90 days","OK"))),"Check date"))</f>
        <v/>
      </c>
      <c r="M208" s="27" t="n"/>
      <c r="N208" s="27" t="n"/>
      <c r="O208" s="27" t="n"/>
      <c r="P208" s="27" t="n"/>
      <c r="Q208" s="27" t="n"/>
      <c r="R208" s="27" t="n"/>
    </row>
    <row r="209">
      <c r="A209" s="27" t="n"/>
      <c r="B209" s="27" t="n"/>
      <c r="C209" s="27" t="n"/>
      <c r="D209" s="34" t="n"/>
      <c r="E209" s="27" t="n"/>
      <c r="F209" s="27" t="n"/>
      <c r="G209" s="28" t="n"/>
      <c r="H209" s="26">
        <f>IF(AND(ISNUMBER(G209),ISNUMBER(D209)),IF(E209="Weeks",G209+7*D209,EDATE(G209,IF(E209="Years",12,1)*D209)),"")</f>
        <v/>
      </c>
      <c r="I209" s="34" t="n"/>
      <c r="J209" s="26">
        <f>IF(ISNUMBER(H209),H209-IF(ISNUMBER(I209),I209,30),"")</f>
        <v/>
      </c>
      <c r="K209" s="35">
        <f>IF(H209="","",IF(ISNUMBER(H209),H209-TODAY(),"Check date"))</f>
        <v/>
      </c>
      <c r="L209" s="32">
        <f>IF(K209="","",IF(ISNUMBER(K209),IF(K209&lt;0,"Overdue",IF(K209&lt;=30,"Due ≤30 days",IF(K209&lt;=90,"Due ≤90 days","OK"))),"Check date"))</f>
        <v/>
      </c>
      <c r="M209" s="27" t="n"/>
      <c r="N209" s="27" t="n"/>
      <c r="O209" s="27" t="n"/>
      <c r="P209" s="27" t="n"/>
      <c r="Q209" s="27" t="n"/>
      <c r="R209" s="27" t="n"/>
    </row>
    <row r="210">
      <c r="A210" s="27" t="n"/>
      <c r="B210" s="27" t="n"/>
      <c r="C210" s="27" t="n"/>
      <c r="D210" s="34" t="n"/>
      <c r="E210" s="27" t="n"/>
      <c r="F210" s="27" t="n"/>
      <c r="G210" s="28" t="n"/>
      <c r="H210" s="26">
        <f>IF(AND(ISNUMBER(G210),ISNUMBER(D210)),IF(E210="Weeks",G210+7*D210,EDATE(G210,IF(E210="Years",12,1)*D210)),"")</f>
        <v/>
      </c>
      <c r="I210" s="34" t="n"/>
      <c r="J210" s="26">
        <f>IF(ISNUMBER(H210),H210-IF(ISNUMBER(I210),I210,30),"")</f>
        <v/>
      </c>
      <c r="K210" s="35">
        <f>IF(H210="","",IF(ISNUMBER(H210),H210-TODAY(),"Check date"))</f>
        <v/>
      </c>
      <c r="L210" s="32">
        <f>IF(K210="","",IF(ISNUMBER(K210),IF(K210&lt;0,"Overdue",IF(K210&lt;=30,"Due ≤30 days",IF(K210&lt;=90,"Due ≤90 days","OK"))),"Check date"))</f>
        <v/>
      </c>
      <c r="M210" s="27" t="n"/>
      <c r="N210" s="27" t="n"/>
      <c r="O210" s="27" t="n"/>
      <c r="P210" s="27" t="n"/>
      <c r="Q210" s="27" t="n"/>
      <c r="R210" s="27" t="n"/>
    </row>
    <row r="211">
      <c r="A211" s="27" t="n"/>
      <c r="B211" s="27" t="n"/>
      <c r="C211" s="27" t="n"/>
      <c r="D211" s="34" t="n"/>
      <c r="E211" s="27" t="n"/>
      <c r="F211" s="27" t="n"/>
      <c r="G211" s="28" t="n"/>
      <c r="H211" s="26">
        <f>IF(AND(ISNUMBER(G211),ISNUMBER(D211)),IF(E211="Weeks",G211+7*D211,EDATE(G211,IF(E211="Years",12,1)*D211)),"")</f>
        <v/>
      </c>
      <c r="I211" s="34" t="n"/>
      <c r="J211" s="26">
        <f>IF(ISNUMBER(H211),H211-IF(ISNUMBER(I211),I211,30),"")</f>
        <v/>
      </c>
      <c r="K211" s="35">
        <f>IF(H211="","",IF(ISNUMBER(H211),H211-TODAY(),"Check date"))</f>
        <v/>
      </c>
      <c r="L211" s="32">
        <f>IF(K211="","",IF(ISNUMBER(K211),IF(K211&lt;0,"Overdue",IF(K211&lt;=30,"Due ≤30 days",IF(K211&lt;=90,"Due ≤90 days","OK"))),"Check date"))</f>
        <v/>
      </c>
      <c r="M211" s="27" t="n"/>
      <c r="N211" s="27" t="n"/>
      <c r="O211" s="27" t="n"/>
      <c r="P211" s="27" t="n"/>
      <c r="Q211" s="27" t="n"/>
      <c r="R211" s="27" t="n"/>
    </row>
    <row r="212">
      <c r="A212" s="27" t="n"/>
      <c r="B212" s="27" t="n"/>
      <c r="C212" s="27" t="n"/>
      <c r="D212" s="34" t="n"/>
      <c r="E212" s="27" t="n"/>
      <c r="F212" s="27" t="n"/>
      <c r="G212" s="28" t="n"/>
      <c r="H212" s="26">
        <f>IF(AND(ISNUMBER(G212),ISNUMBER(D212)),IF(E212="Weeks",G212+7*D212,EDATE(G212,IF(E212="Years",12,1)*D212)),"")</f>
        <v/>
      </c>
      <c r="I212" s="34" t="n"/>
      <c r="J212" s="26">
        <f>IF(ISNUMBER(H212),H212-IF(ISNUMBER(I212),I212,30),"")</f>
        <v/>
      </c>
      <c r="K212" s="35">
        <f>IF(H212="","",IF(ISNUMBER(H212),H212-TODAY(),"Check date"))</f>
        <v/>
      </c>
      <c r="L212" s="32">
        <f>IF(K212="","",IF(ISNUMBER(K212),IF(K212&lt;0,"Overdue",IF(K212&lt;=30,"Due ≤30 days",IF(K212&lt;=90,"Due ≤90 days","OK"))),"Check date"))</f>
        <v/>
      </c>
      <c r="M212" s="27" t="n"/>
      <c r="N212" s="27" t="n"/>
      <c r="O212" s="27" t="n"/>
      <c r="P212" s="27" t="n"/>
      <c r="Q212" s="27" t="n"/>
      <c r="R212" s="27" t="n"/>
    </row>
    <row r="213">
      <c r="A213" s="27" t="n"/>
      <c r="B213" s="27" t="n"/>
      <c r="C213" s="27" t="n"/>
      <c r="D213" s="34" t="n"/>
      <c r="E213" s="27" t="n"/>
      <c r="F213" s="27" t="n"/>
      <c r="G213" s="28" t="n"/>
      <c r="H213" s="26">
        <f>IF(AND(ISNUMBER(G213),ISNUMBER(D213)),IF(E213="Weeks",G213+7*D213,EDATE(G213,IF(E213="Years",12,1)*D213)),"")</f>
        <v/>
      </c>
      <c r="I213" s="34" t="n"/>
      <c r="J213" s="26">
        <f>IF(ISNUMBER(H213),H213-IF(ISNUMBER(I213),I213,30),"")</f>
        <v/>
      </c>
      <c r="K213" s="35">
        <f>IF(H213="","",IF(ISNUMBER(H213),H213-TODAY(),"Check date"))</f>
        <v/>
      </c>
      <c r="L213" s="32">
        <f>IF(K213="","",IF(ISNUMBER(K213),IF(K213&lt;0,"Overdue",IF(K213&lt;=30,"Due ≤30 days",IF(K213&lt;=90,"Due ≤90 days","OK"))),"Check date"))</f>
        <v/>
      </c>
      <c r="M213" s="27" t="n"/>
      <c r="N213" s="27" t="n"/>
      <c r="O213" s="27" t="n"/>
      <c r="P213" s="27" t="n"/>
      <c r="Q213" s="27" t="n"/>
      <c r="R213" s="27" t="n"/>
    </row>
    <row r="214">
      <c r="A214" s="27" t="n"/>
      <c r="B214" s="27" t="n"/>
      <c r="C214" s="27" t="n"/>
      <c r="D214" s="34" t="n"/>
      <c r="E214" s="27" t="n"/>
      <c r="F214" s="27" t="n"/>
      <c r="G214" s="28" t="n"/>
      <c r="H214" s="26">
        <f>IF(AND(ISNUMBER(G214),ISNUMBER(D214)),IF(E214="Weeks",G214+7*D214,EDATE(G214,IF(E214="Years",12,1)*D214)),"")</f>
        <v/>
      </c>
      <c r="I214" s="34" t="n"/>
      <c r="J214" s="26">
        <f>IF(ISNUMBER(H214),H214-IF(ISNUMBER(I214),I214,30),"")</f>
        <v/>
      </c>
      <c r="K214" s="35">
        <f>IF(H214="","",IF(ISNUMBER(H214),H214-TODAY(),"Check date"))</f>
        <v/>
      </c>
      <c r="L214" s="32">
        <f>IF(K214="","",IF(ISNUMBER(K214),IF(K214&lt;0,"Overdue",IF(K214&lt;=30,"Due ≤30 days",IF(K214&lt;=90,"Due ≤90 days","OK"))),"Check date"))</f>
        <v/>
      </c>
      <c r="M214" s="27" t="n"/>
      <c r="N214" s="27" t="n"/>
      <c r="O214" s="27" t="n"/>
      <c r="P214" s="27" t="n"/>
      <c r="Q214" s="27" t="n"/>
      <c r="R214" s="27" t="n"/>
    </row>
    <row r="215">
      <c r="A215" s="27" t="n"/>
      <c r="B215" s="27" t="n"/>
      <c r="C215" s="27" t="n"/>
      <c r="D215" s="34" t="n"/>
      <c r="E215" s="27" t="n"/>
      <c r="F215" s="27" t="n"/>
      <c r="G215" s="28" t="n"/>
      <c r="H215" s="26">
        <f>IF(AND(ISNUMBER(G215),ISNUMBER(D215)),IF(E215="Weeks",G215+7*D215,EDATE(G215,IF(E215="Years",12,1)*D215)),"")</f>
        <v/>
      </c>
      <c r="I215" s="34" t="n"/>
      <c r="J215" s="26">
        <f>IF(ISNUMBER(H215),H215-IF(ISNUMBER(I215),I215,30),"")</f>
        <v/>
      </c>
      <c r="K215" s="35">
        <f>IF(H215="","",IF(ISNUMBER(H215),H215-TODAY(),"Check date"))</f>
        <v/>
      </c>
      <c r="L215" s="32">
        <f>IF(K215="","",IF(ISNUMBER(K215),IF(K215&lt;0,"Overdue",IF(K215&lt;=30,"Due ≤30 days",IF(K215&lt;=90,"Due ≤90 days","OK"))),"Check date"))</f>
        <v/>
      </c>
      <c r="M215" s="27" t="n"/>
      <c r="N215" s="27" t="n"/>
      <c r="O215" s="27" t="n"/>
      <c r="P215" s="27" t="n"/>
      <c r="Q215" s="27" t="n"/>
      <c r="R215" s="27" t="n"/>
    </row>
    <row r="216">
      <c r="A216" s="27" t="n"/>
      <c r="B216" s="27" t="n"/>
      <c r="C216" s="27" t="n"/>
      <c r="D216" s="34" t="n"/>
      <c r="E216" s="27" t="n"/>
      <c r="F216" s="27" t="n"/>
      <c r="G216" s="28" t="n"/>
      <c r="H216" s="26">
        <f>IF(AND(ISNUMBER(G216),ISNUMBER(D216)),IF(E216="Weeks",G216+7*D216,EDATE(G216,IF(E216="Years",12,1)*D216)),"")</f>
        <v/>
      </c>
      <c r="I216" s="34" t="n"/>
      <c r="J216" s="26">
        <f>IF(ISNUMBER(H216),H216-IF(ISNUMBER(I216),I216,30),"")</f>
        <v/>
      </c>
      <c r="K216" s="35">
        <f>IF(H216="","",IF(ISNUMBER(H216),H216-TODAY(),"Check date"))</f>
        <v/>
      </c>
      <c r="L216" s="32">
        <f>IF(K216="","",IF(ISNUMBER(K216),IF(K216&lt;0,"Overdue",IF(K216&lt;=30,"Due ≤30 days",IF(K216&lt;=90,"Due ≤90 days","OK"))),"Check date"))</f>
        <v/>
      </c>
      <c r="M216" s="27" t="n"/>
      <c r="N216" s="27" t="n"/>
      <c r="O216" s="27" t="n"/>
      <c r="P216" s="27" t="n"/>
      <c r="Q216" s="27" t="n"/>
      <c r="R216" s="27" t="n"/>
    </row>
    <row r="217">
      <c r="A217" s="27" t="n"/>
      <c r="B217" s="27" t="n"/>
      <c r="C217" s="27" t="n"/>
      <c r="D217" s="34" t="n"/>
      <c r="E217" s="27" t="n"/>
      <c r="F217" s="27" t="n"/>
      <c r="G217" s="28" t="n"/>
      <c r="H217" s="26">
        <f>IF(AND(ISNUMBER(G217),ISNUMBER(D217)),IF(E217="Weeks",G217+7*D217,EDATE(G217,IF(E217="Years",12,1)*D217)),"")</f>
        <v/>
      </c>
      <c r="I217" s="34" t="n"/>
      <c r="J217" s="26">
        <f>IF(ISNUMBER(H217),H217-IF(ISNUMBER(I217),I217,30),"")</f>
        <v/>
      </c>
      <c r="K217" s="35">
        <f>IF(H217="","",IF(ISNUMBER(H217),H217-TODAY(),"Check date"))</f>
        <v/>
      </c>
      <c r="L217" s="32">
        <f>IF(K217="","",IF(ISNUMBER(K217),IF(K217&lt;0,"Overdue",IF(K217&lt;=30,"Due ≤30 days",IF(K217&lt;=90,"Due ≤90 days","OK"))),"Check date"))</f>
        <v/>
      </c>
      <c r="M217" s="27" t="n"/>
      <c r="N217" s="27" t="n"/>
      <c r="O217" s="27" t="n"/>
      <c r="P217" s="27" t="n"/>
      <c r="Q217" s="27" t="n"/>
      <c r="R217" s="27" t="n"/>
    </row>
    <row r="218">
      <c r="A218" s="27" t="n"/>
      <c r="B218" s="27" t="n"/>
      <c r="C218" s="27" t="n"/>
      <c r="D218" s="34" t="n"/>
      <c r="E218" s="27" t="n"/>
      <c r="F218" s="27" t="n"/>
      <c r="G218" s="28" t="n"/>
      <c r="H218" s="26">
        <f>IF(AND(ISNUMBER(G218),ISNUMBER(D218)),IF(E218="Weeks",G218+7*D218,EDATE(G218,IF(E218="Years",12,1)*D218)),"")</f>
        <v/>
      </c>
      <c r="I218" s="34" t="n"/>
      <c r="J218" s="26">
        <f>IF(ISNUMBER(H218),H218-IF(ISNUMBER(I218),I218,30),"")</f>
        <v/>
      </c>
      <c r="K218" s="35">
        <f>IF(H218="","",IF(ISNUMBER(H218),H218-TODAY(),"Check date"))</f>
        <v/>
      </c>
      <c r="L218" s="32">
        <f>IF(K218="","",IF(ISNUMBER(K218),IF(K218&lt;0,"Overdue",IF(K218&lt;=30,"Due ≤30 days",IF(K218&lt;=90,"Due ≤90 days","OK"))),"Check date"))</f>
        <v/>
      </c>
      <c r="M218" s="27" t="n"/>
      <c r="N218" s="27" t="n"/>
      <c r="O218" s="27" t="n"/>
      <c r="P218" s="27" t="n"/>
      <c r="Q218" s="27" t="n"/>
      <c r="R218" s="27" t="n"/>
    </row>
    <row r="219">
      <c r="A219" s="27" t="n"/>
      <c r="B219" s="27" t="n"/>
      <c r="C219" s="27" t="n"/>
      <c r="D219" s="34" t="n"/>
      <c r="E219" s="27" t="n"/>
      <c r="F219" s="27" t="n"/>
      <c r="G219" s="28" t="n"/>
      <c r="H219" s="26">
        <f>IF(AND(ISNUMBER(G219),ISNUMBER(D219)),IF(E219="Weeks",G219+7*D219,EDATE(G219,IF(E219="Years",12,1)*D219)),"")</f>
        <v/>
      </c>
      <c r="I219" s="34" t="n"/>
      <c r="J219" s="26">
        <f>IF(ISNUMBER(H219),H219-IF(ISNUMBER(I219),I219,30),"")</f>
        <v/>
      </c>
      <c r="K219" s="35">
        <f>IF(H219="","",IF(ISNUMBER(H219),H219-TODAY(),"Check date"))</f>
        <v/>
      </c>
      <c r="L219" s="32">
        <f>IF(K219="","",IF(ISNUMBER(K219),IF(K219&lt;0,"Overdue",IF(K219&lt;=30,"Due ≤30 days",IF(K219&lt;=90,"Due ≤90 days","OK"))),"Check date"))</f>
        <v/>
      </c>
      <c r="M219" s="27" t="n"/>
      <c r="N219" s="27" t="n"/>
      <c r="O219" s="27" t="n"/>
      <c r="P219" s="27" t="n"/>
      <c r="Q219" s="27" t="n"/>
      <c r="R219" s="27" t="n"/>
    </row>
    <row r="220">
      <c r="A220" s="27" t="n"/>
      <c r="B220" s="27" t="n"/>
      <c r="C220" s="27" t="n"/>
      <c r="D220" s="34" t="n"/>
      <c r="E220" s="27" t="n"/>
      <c r="F220" s="27" t="n"/>
      <c r="G220" s="28" t="n"/>
      <c r="H220" s="26">
        <f>IF(AND(ISNUMBER(G220),ISNUMBER(D220)),IF(E220="Weeks",G220+7*D220,EDATE(G220,IF(E220="Years",12,1)*D220)),"")</f>
        <v/>
      </c>
      <c r="I220" s="34" t="n"/>
      <c r="J220" s="26">
        <f>IF(ISNUMBER(H220),H220-IF(ISNUMBER(I220),I220,30),"")</f>
        <v/>
      </c>
      <c r="K220" s="35">
        <f>IF(H220="","",IF(ISNUMBER(H220),H220-TODAY(),"Check date"))</f>
        <v/>
      </c>
      <c r="L220" s="32">
        <f>IF(K220="","",IF(ISNUMBER(K220),IF(K220&lt;0,"Overdue",IF(K220&lt;=30,"Due ≤30 days",IF(K220&lt;=90,"Due ≤90 days","OK"))),"Check date"))</f>
        <v/>
      </c>
      <c r="M220" s="27" t="n"/>
      <c r="N220" s="27" t="n"/>
      <c r="O220" s="27" t="n"/>
      <c r="P220" s="27" t="n"/>
      <c r="Q220" s="27" t="n"/>
      <c r="R220" s="27" t="n"/>
    </row>
    <row r="221">
      <c r="A221" s="27" t="n"/>
      <c r="B221" s="27" t="n"/>
      <c r="C221" s="27" t="n"/>
      <c r="D221" s="34" t="n"/>
      <c r="E221" s="27" t="n"/>
      <c r="F221" s="27" t="n"/>
      <c r="G221" s="28" t="n"/>
      <c r="H221" s="26">
        <f>IF(AND(ISNUMBER(G221),ISNUMBER(D221)),IF(E221="Weeks",G221+7*D221,EDATE(G221,IF(E221="Years",12,1)*D221)),"")</f>
        <v/>
      </c>
      <c r="I221" s="34" t="n"/>
      <c r="J221" s="26">
        <f>IF(ISNUMBER(H221),H221-IF(ISNUMBER(I221),I221,30),"")</f>
        <v/>
      </c>
      <c r="K221" s="35">
        <f>IF(H221="","",IF(ISNUMBER(H221),H221-TODAY(),"Check date"))</f>
        <v/>
      </c>
      <c r="L221" s="32">
        <f>IF(K221="","",IF(ISNUMBER(K221),IF(K221&lt;0,"Overdue",IF(K221&lt;=30,"Due ≤30 days",IF(K221&lt;=90,"Due ≤90 days","OK"))),"Check date"))</f>
        <v/>
      </c>
      <c r="M221" s="27" t="n"/>
      <c r="N221" s="27" t="n"/>
      <c r="O221" s="27" t="n"/>
      <c r="P221" s="27" t="n"/>
      <c r="Q221" s="27" t="n"/>
      <c r="R221" s="27" t="n"/>
    </row>
    <row r="222">
      <c r="A222" s="27" t="n"/>
      <c r="B222" s="27" t="n"/>
      <c r="C222" s="27" t="n"/>
      <c r="D222" s="34" t="n"/>
      <c r="E222" s="27" t="n"/>
      <c r="F222" s="27" t="n"/>
      <c r="G222" s="28" t="n"/>
      <c r="H222" s="26">
        <f>IF(AND(ISNUMBER(G222),ISNUMBER(D222)),IF(E222="Weeks",G222+7*D222,EDATE(G222,IF(E222="Years",12,1)*D222)),"")</f>
        <v/>
      </c>
      <c r="I222" s="34" t="n"/>
      <c r="J222" s="26">
        <f>IF(ISNUMBER(H222),H222-IF(ISNUMBER(I222),I222,30),"")</f>
        <v/>
      </c>
      <c r="K222" s="35">
        <f>IF(H222="","",IF(ISNUMBER(H222),H222-TODAY(),"Check date"))</f>
        <v/>
      </c>
      <c r="L222" s="32">
        <f>IF(K222="","",IF(ISNUMBER(K222),IF(K222&lt;0,"Overdue",IF(K222&lt;=30,"Due ≤30 days",IF(K222&lt;=90,"Due ≤90 days","OK"))),"Check date"))</f>
        <v/>
      </c>
      <c r="M222" s="27" t="n"/>
      <c r="N222" s="27" t="n"/>
      <c r="O222" s="27" t="n"/>
      <c r="P222" s="27" t="n"/>
      <c r="Q222" s="27" t="n"/>
      <c r="R222" s="27" t="n"/>
    </row>
    <row r="223">
      <c r="A223" s="27" t="n"/>
      <c r="B223" s="27" t="n"/>
      <c r="C223" s="27" t="n"/>
      <c r="D223" s="34" t="n"/>
      <c r="E223" s="27" t="n"/>
      <c r="F223" s="27" t="n"/>
      <c r="G223" s="28" t="n"/>
      <c r="H223" s="26">
        <f>IF(AND(ISNUMBER(G223),ISNUMBER(D223)),IF(E223="Weeks",G223+7*D223,EDATE(G223,IF(E223="Years",12,1)*D223)),"")</f>
        <v/>
      </c>
      <c r="I223" s="34" t="n"/>
      <c r="J223" s="26">
        <f>IF(ISNUMBER(H223),H223-IF(ISNUMBER(I223),I223,30),"")</f>
        <v/>
      </c>
      <c r="K223" s="35">
        <f>IF(H223="","",IF(ISNUMBER(H223),H223-TODAY(),"Check date"))</f>
        <v/>
      </c>
      <c r="L223" s="32">
        <f>IF(K223="","",IF(ISNUMBER(K223),IF(K223&lt;0,"Overdue",IF(K223&lt;=30,"Due ≤30 days",IF(K223&lt;=90,"Due ≤90 days","OK"))),"Check date"))</f>
        <v/>
      </c>
      <c r="M223" s="27" t="n"/>
      <c r="N223" s="27" t="n"/>
      <c r="O223" s="27" t="n"/>
      <c r="P223" s="27" t="n"/>
      <c r="Q223" s="27" t="n"/>
      <c r="R223" s="27" t="n"/>
    </row>
    <row r="224">
      <c r="A224" s="27" t="n"/>
      <c r="B224" s="27" t="n"/>
      <c r="C224" s="27" t="n"/>
      <c r="D224" s="34" t="n"/>
      <c r="E224" s="27" t="n"/>
      <c r="F224" s="27" t="n"/>
      <c r="G224" s="28" t="n"/>
      <c r="H224" s="26">
        <f>IF(AND(ISNUMBER(G224),ISNUMBER(D224)),IF(E224="Weeks",G224+7*D224,EDATE(G224,IF(E224="Years",12,1)*D224)),"")</f>
        <v/>
      </c>
      <c r="I224" s="34" t="n"/>
      <c r="J224" s="26">
        <f>IF(ISNUMBER(H224),H224-IF(ISNUMBER(I224),I224,30),"")</f>
        <v/>
      </c>
      <c r="K224" s="35">
        <f>IF(H224="","",IF(ISNUMBER(H224),H224-TODAY(),"Check date"))</f>
        <v/>
      </c>
      <c r="L224" s="32">
        <f>IF(K224="","",IF(ISNUMBER(K224),IF(K224&lt;0,"Overdue",IF(K224&lt;=30,"Due ≤30 days",IF(K224&lt;=90,"Due ≤90 days","OK"))),"Check date"))</f>
        <v/>
      </c>
      <c r="M224" s="27" t="n"/>
      <c r="N224" s="27" t="n"/>
      <c r="O224" s="27" t="n"/>
      <c r="P224" s="27" t="n"/>
      <c r="Q224" s="27" t="n"/>
      <c r="R224" s="27" t="n"/>
    </row>
    <row r="225">
      <c r="A225" s="27" t="n"/>
      <c r="B225" s="27" t="n"/>
      <c r="C225" s="27" t="n"/>
      <c r="D225" s="34" t="n"/>
      <c r="E225" s="27" t="n"/>
      <c r="F225" s="27" t="n"/>
      <c r="G225" s="28" t="n"/>
      <c r="H225" s="26">
        <f>IF(AND(ISNUMBER(G225),ISNUMBER(D225)),IF(E225="Weeks",G225+7*D225,EDATE(G225,IF(E225="Years",12,1)*D225)),"")</f>
        <v/>
      </c>
      <c r="I225" s="34" t="n"/>
      <c r="J225" s="26">
        <f>IF(ISNUMBER(H225),H225-IF(ISNUMBER(I225),I225,30),"")</f>
        <v/>
      </c>
      <c r="K225" s="35">
        <f>IF(H225="","",IF(ISNUMBER(H225),H225-TODAY(),"Check date"))</f>
        <v/>
      </c>
      <c r="L225" s="32">
        <f>IF(K225="","",IF(ISNUMBER(K225),IF(K225&lt;0,"Overdue",IF(K225&lt;=30,"Due ≤30 days",IF(K225&lt;=90,"Due ≤90 days","OK"))),"Check date"))</f>
        <v/>
      </c>
      <c r="M225" s="27" t="n"/>
      <c r="N225" s="27" t="n"/>
      <c r="O225" s="27" t="n"/>
      <c r="P225" s="27" t="n"/>
      <c r="Q225" s="27" t="n"/>
      <c r="R225" s="27" t="n"/>
    </row>
    <row r="226">
      <c r="A226" s="27" t="n"/>
      <c r="B226" s="27" t="n"/>
      <c r="C226" s="27" t="n"/>
      <c r="D226" s="34" t="n"/>
      <c r="E226" s="27" t="n"/>
      <c r="F226" s="27" t="n"/>
      <c r="G226" s="28" t="n"/>
      <c r="H226" s="26">
        <f>IF(AND(ISNUMBER(G226),ISNUMBER(D226)),IF(E226="Weeks",G226+7*D226,EDATE(G226,IF(E226="Years",12,1)*D226)),"")</f>
        <v/>
      </c>
      <c r="I226" s="34" t="n"/>
      <c r="J226" s="26">
        <f>IF(ISNUMBER(H226),H226-IF(ISNUMBER(I226),I226,30),"")</f>
        <v/>
      </c>
      <c r="K226" s="35">
        <f>IF(H226="","",IF(ISNUMBER(H226),H226-TODAY(),"Check date"))</f>
        <v/>
      </c>
      <c r="L226" s="32">
        <f>IF(K226="","",IF(ISNUMBER(K226),IF(K226&lt;0,"Overdue",IF(K226&lt;=30,"Due ≤30 days",IF(K226&lt;=90,"Due ≤90 days","OK"))),"Check date"))</f>
        <v/>
      </c>
      <c r="M226" s="27" t="n"/>
      <c r="N226" s="27" t="n"/>
      <c r="O226" s="27" t="n"/>
      <c r="P226" s="27" t="n"/>
      <c r="Q226" s="27" t="n"/>
      <c r="R226" s="27" t="n"/>
    </row>
    <row r="227">
      <c r="A227" s="27" t="n"/>
      <c r="B227" s="27" t="n"/>
      <c r="C227" s="27" t="n"/>
      <c r="D227" s="34" t="n"/>
      <c r="E227" s="27" t="n"/>
      <c r="F227" s="27" t="n"/>
      <c r="G227" s="28" t="n"/>
      <c r="H227" s="26">
        <f>IF(AND(ISNUMBER(G227),ISNUMBER(D227)),IF(E227="Weeks",G227+7*D227,EDATE(G227,IF(E227="Years",12,1)*D227)),"")</f>
        <v/>
      </c>
      <c r="I227" s="34" t="n"/>
      <c r="J227" s="26">
        <f>IF(ISNUMBER(H227),H227-IF(ISNUMBER(I227),I227,30),"")</f>
        <v/>
      </c>
      <c r="K227" s="35">
        <f>IF(H227="","",IF(ISNUMBER(H227),H227-TODAY(),"Check date"))</f>
        <v/>
      </c>
      <c r="L227" s="32">
        <f>IF(K227="","",IF(ISNUMBER(K227),IF(K227&lt;0,"Overdue",IF(K227&lt;=30,"Due ≤30 days",IF(K227&lt;=90,"Due ≤90 days","OK"))),"Check date"))</f>
        <v/>
      </c>
      <c r="M227" s="27" t="n"/>
      <c r="N227" s="27" t="n"/>
      <c r="O227" s="27" t="n"/>
      <c r="P227" s="27" t="n"/>
      <c r="Q227" s="27" t="n"/>
      <c r="R227" s="27" t="n"/>
    </row>
    <row r="228">
      <c r="A228" s="27" t="n"/>
      <c r="B228" s="27" t="n"/>
      <c r="C228" s="27" t="n"/>
      <c r="D228" s="34" t="n"/>
      <c r="E228" s="27" t="n"/>
      <c r="F228" s="27" t="n"/>
      <c r="G228" s="28" t="n"/>
      <c r="H228" s="26">
        <f>IF(AND(ISNUMBER(G228),ISNUMBER(D228)),IF(E228="Weeks",G228+7*D228,EDATE(G228,IF(E228="Years",12,1)*D228)),"")</f>
        <v/>
      </c>
      <c r="I228" s="34" t="n"/>
      <c r="J228" s="26">
        <f>IF(ISNUMBER(H228),H228-IF(ISNUMBER(I228),I228,30),"")</f>
        <v/>
      </c>
      <c r="K228" s="35">
        <f>IF(H228="","",IF(ISNUMBER(H228),H228-TODAY(),"Check date"))</f>
        <v/>
      </c>
      <c r="L228" s="32">
        <f>IF(K228="","",IF(ISNUMBER(K228),IF(K228&lt;0,"Overdue",IF(K228&lt;=30,"Due ≤30 days",IF(K228&lt;=90,"Due ≤90 days","OK"))),"Check date"))</f>
        <v/>
      </c>
      <c r="M228" s="27" t="n"/>
      <c r="N228" s="27" t="n"/>
      <c r="O228" s="27" t="n"/>
      <c r="P228" s="27" t="n"/>
      <c r="Q228" s="27" t="n"/>
      <c r="R228" s="27" t="n"/>
    </row>
    <row r="229">
      <c r="A229" s="27" t="n"/>
      <c r="B229" s="27" t="n"/>
      <c r="C229" s="27" t="n"/>
      <c r="D229" s="34" t="n"/>
      <c r="E229" s="27" t="n"/>
      <c r="F229" s="27" t="n"/>
      <c r="G229" s="28" t="n"/>
      <c r="H229" s="26">
        <f>IF(AND(ISNUMBER(G229),ISNUMBER(D229)),IF(E229="Weeks",G229+7*D229,EDATE(G229,IF(E229="Years",12,1)*D229)),"")</f>
        <v/>
      </c>
      <c r="I229" s="34" t="n"/>
      <c r="J229" s="26">
        <f>IF(ISNUMBER(H229),H229-IF(ISNUMBER(I229),I229,30),"")</f>
        <v/>
      </c>
      <c r="K229" s="35">
        <f>IF(H229="","",IF(ISNUMBER(H229),H229-TODAY(),"Check date"))</f>
        <v/>
      </c>
      <c r="L229" s="32">
        <f>IF(K229="","",IF(ISNUMBER(K229),IF(K229&lt;0,"Overdue",IF(K229&lt;=30,"Due ≤30 days",IF(K229&lt;=90,"Due ≤90 days","OK"))),"Check date"))</f>
        <v/>
      </c>
      <c r="M229" s="27" t="n"/>
      <c r="N229" s="27" t="n"/>
      <c r="O229" s="27" t="n"/>
      <c r="P229" s="27" t="n"/>
      <c r="Q229" s="27" t="n"/>
      <c r="R229" s="27" t="n"/>
    </row>
    <row r="230">
      <c r="A230" s="27" t="n"/>
      <c r="B230" s="27" t="n"/>
      <c r="C230" s="27" t="n"/>
      <c r="D230" s="34" t="n"/>
      <c r="E230" s="27" t="n"/>
      <c r="F230" s="27" t="n"/>
      <c r="G230" s="28" t="n"/>
      <c r="H230" s="26">
        <f>IF(AND(ISNUMBER(G230),ISNUMBER(D230)),IF(E230="Weeks",G230+7*D230,EDATE(G230,IF(E230="Years",12,1)*D230)),"")</f>
        <v/>
      </c>
      <c r="I230" s="34" t="n"/>
      <c r="J230" s="26">
        <f>IF(ISNUMBER(H230),H230-IF(ISNUMBER(I230),I230,30),"")</f>
        <v/>
      </c>
      <c r="K230" s="35">
        <f>IF(H230="","",IF(ISNUMBER(H230),H230-TODAY(),"Check date"))</f>
        <v/>
      </c>
      <c r="L230" s="32">
        <f>IF(K230="","",IF(ISNUMBER(K230),IF(K230&lt;0,"Overdue",IF(K230&lt;=30,"Due ≤30 days",IF(K230&lt;=90,"Due ≤90 days","OK"))),"Check date"))</f>
        <v/>
      </c>
      <c r="M230" s="27" t="n"/>
      <c r="N230" s="27" t="n"/>
      <c r="O230" s="27" t="n"/>
      <c r="P230" s="27" t="n"/>
      <c r="Q230" s="27" t="n"/>
      <c r="R230" s="27" t="n"/>
    </row>
    <row r="231">
      <c r="A231" s="27" t="n"/>
      <c r="B231" s="27" t="n"/>
      <c r="C231" s="27" t="n"/>
      <c r="D231" s="34" t="n"/>
      <c r="E231" s="27" t="n"/>
      <c r="F231" s="27" t="n"/>
      <c r="G231" s="28" t="n"/>
      <c r="H231" s="26">
        <f>IF(AND(ISNUMBER(G231),ISNUMBER(D231)),IF(E231="Weeks",G231+7*D231,EDATE(G231,IF(E231="Years",12,1)*D231)),"")</f>
        <v/>
      </c>
      <c r="I231" s="34" t="n"/>
      <c r="J231" s="26">
        <f>IF(ISNUMBER(H231),H231-IF(ISNUMBER(I231),I231,30),"")</f>
        <v/>
      </c>
      <c r="K231" s="35">
        <f>IF(H231="","",IF(ISNUMBER(H231),H231-TODAY(),"Check date"))</f>
        <v/>
      </c>
      <c r="L231" s="32">
        <f>IF(K231="","",IF(ISNUMBER(K231),IF(K231&lt;0,"Overdue",IF(K231&lt;=30,"Due ≤30 days",IF(K231&lt;=90,"Due ≤90 days","OK"))),"Check date"))</f>
        <v/>
      </c>
      <c r="M231" s="27" t="n"/>
      <c r="N231" s="27" t="n"/>
      <c r="O231" s="27" t="n"/>
      <c r="P231" s="27" t="n"/>
      <c r="Q231" s="27" t="n"/>
      <c r="R231" s="27" t="n"/>
    </row>
    <row r="232">
      <c r="A232" s="27" t="n"/>
      <c r="B232" s="27" t="n"/>
      <c r="C232" s="27" t="n"/>
      <c r="D232" s="34" t="n"/>
      <c r="E232" s="27" t="n"/>
      <c r="F232" s="27" t="n"/>
      <c r="G232" s="28" t="n"/>
      <c r="H232" s="26">
        <f>IF(AND(ISNUMBER(G232),ISNUMBER(D232)),IF(E232="Weeks",G232+7*D232,EDATE(G232,IF(E232="Years",12,1)*D232)),"")</f>
        <v/>
      </c>
      <c r="I232" s="34" t="n"/>
      <c r="J232" s="26">
        <f>IF(ISNUMBER(H232),H232-IF(ISNUMBER(I232),I232,30),"")</f>
        <v/>
      </c>
      <c r="K232" s="35">
        <f>IF(H232="","",IF(ISNUMBER(H232),H232-TODAY(),"Check date"))</f>
        <v/>
      </c>
      <c r="L232" s="32">
        <f>IF(K232="","",IF(ISNUMBER(K232),IF(K232&lt;0,"Overdue",IF(K232&lt;=30,"Due ≤30 days",IF(K232&lt;=90,"Due ≤90 days","OK"))),"Check date"))</f>
        <v/>
      </c>
      <c r="M232" s="27" t="n"/>
      <c r="N232" s="27" t="n"/>
      <c r="O232" s="27" t="n"/>
      <c r="P232" s="27" t="n"/>
      <c r="Q232" s="27" t="n"/>
      <c r="R232" s="27" t="n"/>
    </row>
    <row r="233">
      <c r="A233" s="27" t="n"/>
      <c r="B233" s="27" t="n"/>
      <c r="C233" s="27" t="n"/>
      <c r="D233" s="34" t="n"/>
      <c r="E233" s="27" t="n"/>
      <c r="F233" s="27" t="n"/>
      <c r="G233" s="28" t="n"/>
      <c r="H233" s="26">
        <f>IF(AND(ISNUMBER(G233),ISNUMBER(D233)),IF(E233="Weeks",G233+7*D233,EDATE(G233,IF(E233="Years",12,1)*D233)),"")</f>
        <v/>
      </c>
      <c r="I233" s="34" t="n"/>
      <c r="J233" s="26">
        <f>IF(ISNUMBER(H233),H233-IF(ISNUMBER(I233),I233,30),"")</f>
        <v/>
      </c>
      <c r="K233" s="35">
        <f>IF(H233="","",IF(ISNUMBER(H233),H233-TODAY(),"Check date"))</f>
        <v/>
      </c>
      <c r="L233" s="32">
        <f>IF(K233="","",IF(ISNUMBER(K233),IF(K233&lt;0,"Overdue",IF(K233&lt;=30,"Due ≤30 days",IF(K233&lt;=90,"Due ≤90 days","OK"))),"Check date"))</f>
        <v/>
      </c>
      <c r="M233" s="27" t="n"/>
      <c r="N233" s="27" t="n"/>
      <c r="O233" s="27" t="n"/>
      <c r="P233" s="27" t="n"/>
      <c r="Q233" s="27" t="n"/>
      <c r="R233" s="27" t="n"/>
    </row>
    <row r="234">
      <c r="A234" s="27" t="n"/>
      <c r="B234" s="27" t="n"/>
      <c r="C234" s="27" t="n"/>
      <c r="D234" s="34" t="n"/>
      <c r="E234" s="27" t="n"/>
      <c r="F234" s="27" t="n"/>
      <c r="G234" s="28" t="n"/>
      <c r="H234" s="26">
        <f>IF(AND(ISNUMBER(G234),ISNUMBER(D234)),IF(E234="Weeks",G234+7*D234,EDATE(G234,IF(E234="Years",12,1)*D234)),"")</f>
        <v/>
      </c>
      <c r="I234" s="34" t="n"/>
      <c r="J234" s="26">
        <f>IF(ISNUMBER(H234),H234-IF(ISNUMBER(I234),I234,30),"")</f>
        <v/>
      </c>
      <c r="K234" s="35">
        <f>IF(H234="","",IF(ISNUMBER(H234),H234-TODAY(),"Check date"))</f>
        <v/>
      </c>
      <c r="L234" s="32">
        <f>IF(K234="","",IF(ISNUMBER(K234),IF(K234&lt;0,"Overdue",IF(K234&lt;=30,"Due ≤30 days",IF(K234&lt;=90,"Due ≤90 days","OK"))),"Check date"))</f>
        <v/>
      </c>
      <c r="M234" s="27" t="n"/>
      <c r="N234" s="27" t="n"/>
      <c r="O234" s="27" t="n"/>
      <c r="P234" s="27" t="n"/>
      <c r="Q234" s="27" t="n"/>
      <c r="R234" s="27" t="n"/>
    </row>
    <row r="235">
      <c r="A235" s="27" t="n"/>
      <c r="B235" s="27" t="n"/>
      <c r="C235" s="27" t="n"/>
      <c r="D235" s="34" t="n"/>
      <c r="E235" s="27" t="n"/>
      <c r="F235" s="27" t="n"/>
      <c r="G235" s="28" t="n"/>
      <c r="H235" s="26">
        <f>IF(AND(ISNUMBER(G235),ISNUMBER(D235)),IF(E235="Weeks",G235+7*D235,EDATE(G235,IF(E235="Years",12,1)*D235)),"")</f>
        <v/>
      </c>
      <c r="I235" s="34" t="n"/>
      <c r="J235" s="26">
        <f>IF(ISNUMBER(H235),H235-IF(ISNUMBER(I235),I235,30),"")</f>
        <v/>
      </c>
      <c r="K235" s="35">
        <f>IF(H235="","",IF(ISNUMBER(H235),H235-TODAY(),"Check date"))</f>
        <v/>
      </c>
      <c r="L235" s="32">
        <f>IF(K235="","",IF(ISNUMBER(K235),IF(K235&lt;0,"Overdue",IF(K235&lt;=30,"Due ≤30 days",IF(K235&lt;=90,"Due ≤90 days","OK"))),"Check date"))</f>
        <v/>
      </c>
      <c r="M235" s="27" t="n"/>
      <c r="N235" s="27" t="n"/>
      <c r="O235" s="27" t="n"/>
      <c r="P235" s="27" t="n"/>
      <c r="Q235" s="27" t="n"/>
      <c r="R235" s="27" t="n"/>
    </row>
    <row r="236">
      <c r="A236" s="27" t="n"/>
      <c r="B236" s="27" t="n"/>
      <c r="C236" s="27" t="n"/>
      <c r="D236" s="34" t="n"/>
      <c r="E236" s="27" t="n"/>
      <c r="F236" s="27" t="n"/>
      <c r="G236" s="28" t="n"/>
      <c r="H236" s="26">
        <f>IF(AND(ISNUMBER(G236),ISNUMBER(D236)),IF(E236="Weeks",G236+7*D236,EDATE(G236,IF(E236="Years",12,1)*D236)),"")</f>
        <v/>
      </c>
      <c r="I236" s="34" t="n"/>
      <c r="J236" s="26">
        <f>IF(ISNUMBER(H236),H236-IF(ISNUMBER(I236),I236,30),"")</f>
        <v/>
      </c>
      <c r="K236" s="35">
        <f>IF(H236="","",IF(ISNUMBER(H236),H236-TODAY(),"Check date"))</f>
        <v/>
      </c>
      <c r="L236" s="32">
        <f>IF(K236="","",IF(ISNUMBER(K236),IF(K236&lt;0,"Overdue",IF(K236&lt;=30,"Due ≤30 days",IF(K236&lt;=90,"Due ≤90 days","OK"))),"Check date"))</f>
        <v/>
      </c>
      <c r="M236" s="27" t="n"/>
      <c r="N236" s="27" t="n"/>
      <c r="O236" s="27" t="n"/>
      <c r="P236" s="27" t="n"/>
      <c r="Q236" s="27" t="n"/>
      <c r="R236" s="27" t="n"/>
    </row>
    <row r="237">
      <c r="A237" s="27" t="n"/>
      <c r="B237" s="27" t="n"/>
      <c r="C237" s="27" t="n"/>
      <c r="D237" s="34" t="n"/>
      <c r="E237" s="27" t="n"/>
      <c r="F237" s="27" t="n"/>
      <c r="G237" s="28" t="n"/>
      <c r="H237" s="26">
        <f>IF(AND(ISNUMBER(G237),ISNUMBER(D237)),IF(E237="Weeks",G237+7*D237,EDATE(G237,IF(E237="Years",12,1)*D237)),"")</f>
        <v/>
      </c>
      <c r="I237" s="34" t="n"/>
      <c r="J237" s="26">
        <f>IF(ISNUMBER(H237),H237-IF(ISNUMBER(I237),I237,30),"")</f>
        <v/>
      </c>
      <c r="K237" s="35">
        <f>IF(H237="","",IF(ISNUMBER(H237),H237-TODAY(),"Check date"))</f>
        <v/>
      </c>
      <c r="L237" s="32">
        <f>IF(K237="","",IF(ISNUMBER(K237),IF(K237&lt;0,"Overdue",IF(K237&lt;=30,"Due ≤30 days",IF(K237&lt;=90,"Due ≤90 days","OK"))),"Check date"))</f>
        <v/>
      </c>
      <c r="M237" s="27" t="n"/>
      <c r="N237" s="27" t="n"/>
      <c r="O237" s="27" t="n"/>
      <c r="P237" s="27" t="n"/>
      <c r="Q237" s="27" t="n"/>
      <c r="R237" s="27" t="n"/>
    </row>
    <row r="238">
      <c r="A238" s="27" t="n"/>
      <c r="B238" s="27" t="n"/>
      <c r="C238" s="27" t="n"/>
      <c r="D238" s="34" t="n"/>
      <c r="E238" s="27" t="n"/>
      <c r="F238" s="27" t="n"/>
      <c r="G238" s="28" t="n"/>
      <c r="H238" s="26">
        <f>IF(AND(ISNUMBER(G238),ISNUMBER(D238)),IF(E238="Weeks",G238+7*D238,EDATE(G238,IF(E238="Years",12,1)*D238)),"")</f>
        <v/>
      </c>
      <c r="I238" s="34" t="n"/>
      <c r="J238" s="26">
        <f>IF(ISNUMBER(H238),H238-IF(ISNUMBER(I238),I238,30),"")</f>
        <v/>
      </c>
      <c r="K238" s="35">
        <f>IF(H238="","",IF(ISNUMBER(H238),H238-TODAY(),"Check date"))</f>
        <v/>
      </c>
      <c r="L238" s="32">
        <f>IF(K238="","",IF(ISNUMBER(K238),IF(K238&lt;0,"Overdue",IF(K238&lt;=30,"Due ≤30 days",IF(K238&lt;=90,"Due ≤90 days","OK"))),"Check date"))</f>
        <v/>
      </c>
      <c r="M238" s="27" t="n"/>
      <c r="N238" s="27" t="n"/>
      <c r="O238" s="27" t="n"/>
      <c r="P238" s="27" t="n"/>
      <c r="Q238" s="27" t="n"/>
      <c r="R238" s="27" t="n"/>
    </row>
    <row r="239">
      <c r="A239" s="27" t="n"/>
      <c r="B239" s="27" t="n"/>
      <c r="C239" s="27" t="n"/>
      <c r="D239" s="34" t="n"/>
      <c r="E239" s="27" t="n"/>
      <c r="F239" s="27" t="n"/>
      <c r="G239" s="28" t="n"/>
      <c r="H239" s="26">
        <f>IF(AND(ISNUMBER(G239),ISNUMBER(D239)),IF(E239="Weeks",G239+7*D239,EDATE(G239,IF(E239="Years",12,1)*D239)),"")</f>
        <v/>
      </c>
      <c r="I239" s="34" t="n"/>
      <c r="J239" s="26">
        <f>IF(ISNUMBER(H239),H239-IF(ISNUMBER(I239),I239,30),"")</f>
        <v/>
      </c>
      <c r="K239" s="35">
        <f>IF(H239="","",IF(ISNUMBER(H239),H239-TODAY(),"Check date"))</f>
        <v/>
      </c>
      <c r="L239" s="32">
        <f>IF(K239="","",IF(ISNUMBER(K239),IF(K239&lt;0,"Overdue",IF(K239&lt;=30,"Due ≤30 days",IF(K239&lt;=90,"Due ≤90 days","OK"))),"Check date"))</f>
        <v/>
      </c>
      <c r="M239" s="27" t="n"/>
      <c r="N239" s="27" t="n"/>
      <c r="O239" s="27" t="n"/>
      <c r="P239" s="27" t="n"/>
      <c r="Q239" s="27" t="n"/>
      <c r="R239" s="27" t="n"/>
    </row>
    <row r="240">
      <c r="A240" s="27" t="n"/>
      <c r="B240" s="27" t="n"/>
      <c r="C240" s="27" t="n"/>
      <c r="D240" s="34" t="n"/>
      <c r="E240" s="27" t="n"/>
      <c r="F240" s="27" t="n"/>
      <c r="G240" s="28" t="n"/>
      <c r="H240" s="26">
        <f>IF(AND(ISNUMBER(G240),ISNUMBER(D240)),IF(E240="Weeks",G240+7*D240,EDATE(G240,IF(E240="Years",12,1)*D240)),"")</f>
        <v/>
      </c>
      <c r="I240" s="34" t="n"/>
      <c r="J240" s="26">
        <f>IF(ISNUMBER(H240),H240-IF(ISNUMBER(I240),I240,30),"")</f>
        <v/>
      </c>
      <c r="K240" s="35">
        <f>IF(H240="","",IF(ISNUMBER(H240),H240-TODAY(),"Check date"))</f>
        <v/>
      </c>
      <c r="L240" s="32">
        <f>IF(K240="","",IF(ISNUMBER(K240),IF(K240&lt;0,"Overdue",IF(K240&lt;=30,"Due ≤30 days",IF(K240&lt;=90,"Due ≤90 days","OK"))),"Check date"))</f>
        <v/>
      </c>
      <c r="M240" s="27" t="n"/>
      <c r="N240" s="27" t="n"/>
      <c r="O240" s="27" t="n"/>
      <c r="P240" s="27" t="n"/>
      <c r="Q240" s="27" t="n"/>
      <c r="R240" s="27" t="n"/>
    </row>
    <row r="241">
      <c r="A241" s="27" t="n"/>
      <c r="B241" s="27" t="n"/>
      <c r="C241" s="27" t="n"/>
      <c r="D241" s="34" t="n"/>
      <c r="E241" s="27" t="n"/>
      <c r="F241" s="27" t="n"/>
      <c r="G241" s="28" t="n"/>
      <c r="H241" s="26">
        <f>IF(AND(ISNUMBER(G241),ISNUMBER(D241)),IF(E241="Weeks",G241+7*D241,EDATE(G241,IF(E241="Years",12,1)*D241)),"")</f>
        <v/>
      </c>
      <c r="I241" s="34" t="n"/>
      <c r="J241" s="26">
        <f>IF(ISNUMBER(H241),H241-IF(ISNUMBER(I241),I241,30),"")</f>
        <v/>
      </c>
      <c r="K241" s="35">
        <f>IF(H241="","",IF(ISNUMBER(H241),H241-TODAY(),"Check date"))</f>
        <v/>
      </c>
      <c r="L241" s="32">
        <f>IF(K241="","",IF(ISNUMBER(K241),IF(K241&lt;0,"Overdue",IF(K241&lt;=30,"Due ≤30 days",IF(K241&lt;=90,"Due ≤90 days","OK"))),"Check date"))</f>
        <v/>
      </c>
      <c r="M241" s="27" t="n"/>
      <c r="N241" s="27" t="n"/>
      <c r="O241" s="27" t="n"/>
      <c r="P241" s="27" t="n"/>
      <c r="Q241" s="27" t="n"/>
      <c r="R241" s="27" t="n"/>
    </row>
    <row r="242">
      <c r="A242" s="27" t="n"/>
      <c r="B242" s="27" t="n"/>
      <c r="C242" s="27" t="n"/>
      <c r="D242" s="34" t="n"/>
      <c r="E242" s="27" t="n"/>
      <c r="F242" s="27" t="n"/>
      <c r="G242" s="28" t="n"/>
      <c r="H242" s="26">
        <f>IF(AND(ISNUMBER(G242),ISNUMBER(D242)),IF(E242="Weeks",G242+7*D242,EDATE(G242,IF(E242="Years",12,1)*D242)),"")</f>
        <v/>
      </c>
      <c r="I242" s="34" t="n"/>
      <c r="J242" s="26">
        <f>IF(ISNUMBER(H242),H242-IF(ISNUMBER(I242),I242,30),"")</f>
        <v/>
      </c>
      <c r="K242" s="35">
        <f>IF(H242="","",IF(ISNUMBER(H242),H242-TODAY(),"Check date"))</f>
        <v/>
      </c>
      <c r="L242" s="32">
        <f>IF(K242="","",IF(ISNUMBER(K242),IF(K242&lt;0,"Overdue",IF(K242&lt;=30,"Due ≤30 days",IF(K242&lt;=90,"Due ≤90 days","OK"))),"Check date"))</f>
        <v/>
      </c>
      <c r="M242" s="27" t="n"/>
      <c r="N242" s="27" t="n"/>
      <c r="O242" s="27" t="n"/>
      <c r="P242" s="27" t="n"/>
      <c r="Q242" s="27" t="n"/>
      <c r="R242" s="27" t="n"/>
    </row>
    <row r="243">
      <c r="A243" s="27" t="n"/>
      <c r="B243" s="27" t="n"/>
      <c r="C243" s="27" t="n"/>
      <c r="D243" s="34" t="n"/>
      <c r="E243" s="27" t="n"/>
      <c r="F243" s="27" t="n"/>
      <c r="G243" s="28" t="n"/>
      <c r="H243" s="26">
        <f>IF(AND(ISNUMBER(G243),ISNUMBER(D243)),IF(E243="Weeks",G243+7*D243,EDATE(G243,IF(E243="Years",12,1)*D243)),"")</f>
        <v/>
      </c>
      <c r="I243" s="34" t="n"/>
      <c r="J243" s="26">
        <f>IF(ISNUMBER(H243),H243-IF(ISNUMBER(I243),I243,30),"")</f>
        <v/>
      </c>
      <c r="K243" s="35">
        <f>IF(H243="","",IF(ISNUMBER(H243),H243-TODAY(),"Check date"))</f>
        <v/>
      </c>
      <c r="L243" s="32">
        <f>IF(K243="","",IF(ISNUMBER(K243),IF(K243&lt;0,"Overdue",IF(K243&lt;=30,"Due ≤30 days",IF(K243&lt;=90,"Due ≤90 days","OK"))),"Check date"))</f>
        <v/>
      </c>
      <c r="M243" s="27" t="n"/>
      <c r="N243" s="27" t="n"/>
      <c r="O243" s="27" t="n"/>
      <c r="P243" s="27" t="n"/>
      <c r="Q243" s="27" t="n"/>
      <c r="R243" s="27" t="n"/>
    </row>
    <row r="244">
      <c r="A244" s="27" t="n"/>
      <c r="B244" s="27" t="n"/>
      <c r="C244" s="27" t="n"/>
      <c r="D244" s="34" t="n"/>
      <c r="E244" s="27" t="n"/>
      <c r="F244" s="27" t="n"/>
      <c r="G244" s="28" t="n"/>
      <c r="H244" s="26">
        <f>IF(AND(ISNUMBER(G244),ISNUMBER(D244)),IF(E244="Weeks",G244+7*D244,EDATE(G244,IF(E244="Years",12,1)*D244)),"")</f>
        <v/>
      </c>
      <c r="I244" s="34" t="n"/>
      <c r="J244" s="26">
        <f>IF(ISNUMBER(H244),H244-IF(ISNUMBER(I244),I244,30),"")</f>
        <v/>
      </c>
      <c r="K244" s="35">
        <f>IF(H244="","",IF(ISNUMBER(H244),H244-TODAY(),"Check date"))</f>
        <v/>
      </c>
      <c r="L244" s="32">
        <f>IF(K244="","",IF(ISNUMBER(K244),IF(K244&lt;0,"Overdue",IF(K244&lt;=30,"Due ≤30 days",IF(K244&lt;=90,"Due ≤90 days","OK"))),"Check date"))</f>
        <v/>
      </c>
      <c r="M244" s="27" t="n"/>
      <c r="N244" s="27" t="n"/>
      <c r="O244" s="27" t="n"/>
      <c r="P244" s="27" t="n"/>
      <c r="Q244" s="27" t="n"/>
      <c r="R244" s="27" t="n"/>
    </row>
    <row r="245">
      <c r="A245" s="27" t="n"/>
      <c r="B245" s="27" t="n"/>
      <c r="C245" s="27" t="n"/>
      <c r="D245" s="34" t="n"/>
      <c r="E245" s="27" t="n"/>
      <c r="F245" s="27" t="n"/>
      <c r="G245" s="28" t="n"/>
      <c r="H245" s="26">
        <f>IF(AND(ISNUMBER(G245),ISNUMBER(D245)),IF(E245="Weeks",G245+7*D245,EDATE(G245,IF(E245="Years",12,1)*D245)),"")</f>
        <v/>
      </c>
      <c r="I245" s="34" t="n"/>
      <c r="J245" s="26">
        <f>IF(ISNUMBER(H245),H245-IF(ISNUMBER(I245),I245,30),"")</f>
        <v/>
      </c>
      <c r="K245" s="35">
        <f>IF(H245="","",IF(ISNUMBER(H245),H245-TODAY(),"Check date"))</f>
        <v/>
      </c>
      <c r="L245" s="32">
        <f>IF(K245="","",IF(ISNUMBER(K245),IF(K245&lt;0,"Overdue",IF(K245&lt;=30,"Due ≤30 days",IF(K245&lt;=90,"Due ≤90 days","OK"))),"Check date"))</f>
        <v/>
      </c>
      <c r="M245" s="27" t="n"/>
      <c r="N245" s="27" t="n"/>
      <c r="O245" s="27" t="n"/>
      <c r="P245" s="27" t="n"/>
      <c r="Q245" s="27" t="n"/>
      <c r="R245" s="27" t="n"/>
    </row>
    <row r="246">
      <c r="A246" s="27" t="n"/>
      <c r="B246" s="27" t="n"/>
      <c r="C246" s="27" t="n"/>
      <c r="D246" s="34" t="n"/>
      <c r="E246" s="27" t="n"/>
      <c r="F246" s="27" t="n"/>
      <c r="G246" s="28" t="n"/>
      <c r="H246" s="26">
        <f>IF(AND(ISNUMBER(G246),ISNUMBER(D246)),IF(E246="Weeks",G246+7*D246,EDATE(G246,IF(E246="Years",12,1)*D246)),"")</f>
        <v/>
      </c>
      <c r="I246" s="34" t="n"/>
      <c r="J246" s="26">
        <f>IF(ISNUMBER(H246),H246-IF(ISNUMBER(I246),I246,30),"")</f>
        <v/>
      </c>
      <c r="K246" s="35">
        <f>IF(H246="","",IF(ISNUMBER(H246),H246-TODAY(),"Check date"))</f>
        <v/>
      </c>
      <c r="L246" s="32">
        <f>IF(K246="","",IF(ISNUMBER(K246),IF(K246&lt;0,"Overdue",IF(K246&lt;=30,"Due ≤30 days",IF(K246&lt;=90,"Due ≤90 days","OK"))),"Check date"))</f>
        <v/>
      </c>
      <c r="M246" s="27" t="n"/>
      <c r="N246" s="27" t="n"/>
      <c r="O246" s="27" t="n"/>
      <c r="P246" s="27" t="n"/>
      <c r="Q246" s="27" t="n"/>
      <c r="R246" s="27" t="n"/>
    </row>
    <row r="247">
      <c r="A247" s="27" t="n"/>
      <c r="B247" s="27" t="n"/>
      <c r="C247" s="27" t="n"/>
      <c r="D247" s="34" t="n"/>
      <c r="E247" s="27" t="n"/>
      <c r="F247" s="27" t="n"/>
      <c r="G247" s="28" t="n"/>
      <c r="H247" s="26">
        <f>IF(AND(ISNUMBER(G247),ISNUMBER(D247)),IF(E247="Weeks",G247+7*D247,EDATE(G247,IF(E247="Years",12,1)*D247)),"")</f>
        <v/>
      </c>
      <c r="I247" s="34" t="n"/>
      <c r="J247" s="26">
        <f>IF(ISNUMBER(H247),H247-IF(ISNUMBER(I247),I247,30),"")</f>
        <v/>
      </c>
      <c r="K247" s="35">
        <f>IF(H247="","",IF(ISNUMBER(H247),H247-TODAY(),"Check date"))</f>
        <v/>
      </c>
      <c r="L247" s="32">
        <f>IF(K247="","",IF(ISNUMBER(K247),IF(K247&lt;0,"Overdue",IF(K247&lt;=30,"Due ≤30 days",IF(K247&lt;=90,"Due ≤90 days","OK"))),"Check date"))</f>
        <v/>
      </c>
      <c r="M247" s="27" t="n"/>
      <c r="N247" s="27" t="n"/>
      <c r="O247" s="27" t="n"/>
      <c r="P247" s="27" t="n"/>
      <c r="Q247" s="27" t="n"/>
      <c r="R247" s="27" t="n"/>
    </row>
    <row r="248">
      <c r="A248" s="27" t="n"/>
      <c r="B248" s="27" t="n"/>
      <c r="C248" s="27" t="n"/>
      <c r="D248" s="34" t="n"/>
      <c r="E248" s="27" t="n"/>
      <c r="F248" s="27" t="n"/>
      <c r="G248" s="28" t="n"/>
      <c r="H248" s="26">
        <f>IF(AND(ISNUMBER(G248),ISNUMBER(D248)),IF(E248="Weeks",G248+7*D248,EDATE(G248,IF(E248="Years",12,1)*D248)),"")</f>
        <v/>
      </c>
      <c r="I248" s="34" t="n"/>
      <c r="J248" s="26">
        <f>IF(ISNUMBER(H248),H248-IF(ISNUMBER(I248),I248,30),"")</f>
        <v/>
      </c>
      <c r="K248" s="35">
        <f>IF(H248="","",IF(ISNUMBER(H248),H248-TODAY(),"Check date"))</f>
        <v/>
      </c>
      <c r="L248" s="32">
        <f>IF(K248="","",IF(ISNUMBER(K248),IF(K248&lt;0,"Overdue",IF(K248&lt;=30,"Due ≤30 days",IF(K248&lt;=90,"Due ≤90 days","OK"))),"Check date"))</f>
        <v/>
      </c>
      <c r="M248" s="27" t="n"/>
      <c r="N248" s="27" t="n"/>
      <c r="O248" s="27" t="n"/>
      <c r="P248" s="27" t="n"/>
      <c r="Q248" s="27" t="n"/>
      <c r="R248" s="27" t="n"/>
    </row>
    <row r="249">
      <c r="A249" s="27" t="n"/>
      <c r="B249" s="27" t="n"/>
      <c r="C249" s="27" t="n"/>
      <c r="D249" s="34" t="n"/>
      <c r="E249" s="27" t="n"/>
      <c r="F249" s="27" t="n"/>
      <c r="G249" s="28" t="n"/>
      <c r="H249" s="26">
        <f>IF(AND(ISNUMBER(G249),ISNUMBER(D249)),IF(E249="Weeks",G249+7*D249,EDATE(G249,IF(E249="Years",12,1)*D249)),"")</f>
        <v/>
      </c>
      <c r="I249" s="34" t="n"/>
      <c r="J249" s="26">
        <f>IF(ISNUMBER(H249),H249-IF(ISNUMBER(I249),I249,30),"")</f>
        <v/>
      </c>
      <c r="K249" s="35">
        <f>IF(H249="","",IF(ISNUMBER(H249),H249-TODAY(),"Check date"))</f>
        <v/>
      </c>
      <c r="L249" s="32">
        <f>IF(K249="","",IF(ISNUMBER(K249),IF(K249&lt;0,"Overdue",IF(K249&lt;=30,"Due ≤30 days",IF(K249&lt;=90,"Due ≤90 days","OK"))),"Check date"))</f>
        <v/>
      </c>
      <c r="M249" s="27" t="n"/>
      <c r="N249" s="27" t="n"/>
      <c r="O249" s="27" t="n"/>
      <c r="P249" s="27" t="n"/>
      <c r="Q249" s="27" t="n"/>
      <c r="R249" s="27" t="n"/>
    </row>
    <row r="250">
      <c r="A250" s="27" t="n"/>
      <c r="B250" s="27" t="n"/>
      <c r="C250" s="27" t="n"/>
      <c r="D250" s="34" t="n"/>
      <c r="E250" s="27" t="n"/>
      <c r="F250" s="27" t="n"/>
      <c r="G250" s="28" t="n"/>
      <c r="H250" s="26">
        <f>IF(AND(ISNUMBER(G250),ISNUMBER(D250)),IF(E250="Weeks",G250+7*D250,EDATE(G250,IF(E250="Years",12,1)*D250)),"")</f>
        <v/>
      </c>
      <c r="I250" s="34" t="n"/>
      <c r="J250" s="26">
        <f>IF(ISNUMBER(H250),H250-IF(ISNUMBER(I250),I250,30),"")</f>
        <v/>
      </c>
      <c r="K250" s="35">
        <f>IF(H250="","",IF(ISNUMBER(H250),H250-TODAY(),"Check date"))</f>
        <v/>
      </c>
      <c r="L250" s="32">
        <f>IF(K250="","",IF(ISNUMBER(K250),IF(K250&lt;0,"Overdue",IF(K250&lt;=30,"Due ≤30 days",IF(K250&lt;=90,"Due ≤90 days","OK"))),"Check date"))</f>
        <v/>
      </c>
      <c r="M250" s="27" t="n"/>
      <c r="N250" s="27" t="n"/>
      <c r="O250" s="27" t="n"/>
      <c r="P250" s="27" t="n"/>
      <c r="Q250" s="27" t="n"/>
      <c r="R250" s="27" t="n"/>
    </row>
    <row r="251">
      <c r="A251" s="27" t="n"/>
      <c r="B251" s="27" t="n"/>
      <c r="C251" s="27" t="n"/>
      <c r="D251" s="34" t="n"/>
      <c r="E251" s="27" t="n"/>
      <c r="F251" s="27" t="n"/>
      <c r="G251" s="28" t="n"/>
      <c r="H251" s="26">
        <f>IF(AND(ISNUMBER(G251),ISNUMBER(D251)),IF(E251="Weeks",G251+7*D251,EDATE(G251,IF(E251="Years",12,1)*D251)),"")</f>
        <v/>
      </c>
      <c r="I251" s="34" t="n"/>
      <c r="J251" s="26">
        <f>IF(ISNUMBER(H251),H251-IF(ISNUMBER(I251),I251,30),"")</f>
        <v/>
      </c>
      <c r="K251" s="35">
        <f>IF(H251="","",IF(ISNUMBER(H251),H251-TODAY(),"Check date"))</f>
        <v/>
      </c>
      <c r="L251" s="32">
        <f>IF(K251="","",IF(ISNUMBER(K251),IF(K251&lt;0,"Overdue",IF(K251&lt;=30,"Due ≤30 days",IF(K251&lt;=90,"Due ≤90 days","OK"))),"Check date"))</f>
        <v/>
      </c>
      <c r="M251" s="27" t="n"/>
      <c r="N251" s="27" t="n"/>
      <c r="O251" s="27" t="n"/>
      <c r="P251" s="27" t="n"/>
      <c r="Q251" s="27" t="n"/>
      <c r="R251" s="27" t="n"/>
    </row>
    <row r="252">
      <c r="A252" s="27" t="n"/>
      <c r="B252" s="27" t="n"/>
      <c r="C252" s="27" t="n"/>
      <c r="D252" s="34" t="n"/>
      <c r="E252" s="27" t="n"/>
      <c r="F252" s="27" t="n"/>
      <c r="G252" s="28" t="n"/>
      <c r="H252" s="26">
        <f>IF(AND(ISNUMBER(G252),ISNUMBER(D252)),IF(E252="Weeks",G252+7*D252,EDATE(G252,IF(E252="Years",12,1)*D252)),"")</f>
        <v/>
      </c>
      <c r="I252" s="34" t="n"/>
      <c r="J252" s="26">
        <f>IF(ISNUMBER(H252),H252-IF(ISNUMBER(I252),I252,30),"")</f>
        <v/>
      </c>
      <c r="K252" s="35">
        <f>IF(H252="","",IF(ISNUMBER(H252),H252-TODAY(),"Check date"))</f>
        <v/>
      </c>
      <c r="L252" s="32">
        <f>IF(K252="","",IF(ISNUMBER(K252),IF(K252&lt;0,"Overdue",IF(K252&lt;=30,"Due ≤30 days",IF(K252&lt;=90,"Due ≤90 days","OK"))),"Check date"))</f>
        <v/>
      </c>
      <c r="M252" s="27" t="n"/>
      <c r="N252" s="27" t="n"/>
      <c r="O252" s="27" t="n"/>
      <c r="P252" s="27" t="n"/>
      <c r="Q252" s="27" t="n"/>
      <c r="R252" s="27" t="n"/>
    </row>
    <row r="253">
      <c r="A253" s="27" t="n"/>
      <c r="B253" s="27" t="n"/>
      <c r="C253" s="27" t="n"/>
      <c r="D253" s="34" t="n"/>
      <c r="E253" s="27" t="n"/>
      <c r="F253" s="27" t="n"/>
      <c r="G253" s="28" t="n"/>
      <c r="H253" s="26">
        <f>IF(AND(ISNUMBER(G253),ISNUMBER(D253)),IF(E253="Weeks",G253+7*D253,EDATE(G253,IF(E253="Years",12,1)*D253)),"")</f>
        <v/>
      </c>
      <c r="I253" s="34" t="n"/>
      <c r="J253" s="26">
        <f>IF(ISNUMBER(H253),H253-IF(ISNUMBER(I253),I253,30),"")</f>
        <v/>
      </c>
      <c r="K253" s="35">
        <f>IF(H253="","",IF(ISNUMBER(H253),H253-TODAY(),"Check date"))</f>
        <v/>
      </c>
      <c r="L253" s="32">
        <f>IF(K253="","",IF(ISNUMBER(K253),IF(K253&lt;0,"Overdue",IF(K253&lt;=30,"Due ≤30 days",IF(K253&lt;=90,"Due ≤90 days","OK"))),"Check date"))</f>
        <v/>
      </c>
      <c r="M253" s="27" t="n"/>
      <c r="N253" s="27" t="n"/>
      <c r="O253" s="27" t="n"/>
      <c r="P253" s="27" t="n"/>
      <c r="Q253" s="27" t="n"/>
      <c r="R253" s="27" t="n"/>
    </row>
    <row r="254">
      <c r="A254" s="27" t="n"/>
      <c r="B254" s="27" t="n"/>
      <c r="C254" s="27" t="n"/>
      <c r="D254" s="34" t="n"/>
      <c r="E254" s="27" t="n"/>
      <c r="F254" s="27" t="n"/>
      <c r="G254" s="28" t="n"/>
      <c r="H254" s="26">
        <f>IF(AND(ISNUMBER(G254),ISNUMBER(D254)),IF(E254="Weeks",G254+7*D254,EDATE(G254,IF(E254="Years",12,1)*D254)),"")</f>
        <v/>
      </c>
      <c r="I254" s="34" t="n"/>
      <c r="J254" s="26">
        <f>IF(ISNUMBER(H254),H254-IF(ISNUMBER(I254),I254,30),"")</f>
        <v/>
      </c>
      <c r="K254" s="35">
        <f>IF(H254="","",IF(ISNUMBER(H254),H254-TODAY(),"Check date"))</f>
        <v/>
      </c>
      <c r="L254" s="32">
        <f>IF(K254="","",IF(ISNUMBER(K254),IF(K254&lt;0,"Overdue",IF(K254&lt;=30,"Due ≤30 days",IF(K254&lt;=90,"Due ≤90 days","OK"))),"Check date"))</f>
        <v/>
      </c>
      <c r="M254" s="27" t="n"/>
      <c r="N254" s="27" t="n"/>
      <c r="O254" s="27" t="n"/>
      <c r="P254" s="27" t="n"/>
      <c r="Q254" s="27" t="n"/>
      <c r="R254" s="27" t="n"/>
    </row>
    <row r="255">
      <c r="A255" s="27" t="n"/>
      <c r="B255" s="27" t="n"/>
      <c r="C255" s="27" t="n"/>
      <c r="D255" s="34" t="n"/>
      <c r="E255" s="27" t="n"/>
      <c r="F255" s="27" t="n"/>
      <c r="G255" s="28" t="n"/>
      <c r="H255" s="26">
        <f>IF(AND(ISNUMBER(G255),ISNUMBER(D255)),IF(E255="Weeks",G255+7*D255,EDATE(G255,IF(E255="Years",12,1)*D255)),"")</f>
        <v/>
      </c>
      <c r="I255" s="34" t="n"/>
      <c r="J255" s="26">
        <f>IF(ISNUMBER(H255),H255-IF(ISNUMBER(I255),I255,30),"")</f>
        <v/>
      </c>
      <c r="K255" s="35">
        <f>IF(H255="","",IF(ISNUMBER(H255),H255-TODAY(),"Check date"))</f>
        <v/>
      </c>
      <c r="L255" s="32">
        <f>IF(K255="","",IF(ISNUMBER(K255),IF(K255&lt;0,"Overdue",IF(K255&lt;=30,"Due ≤30 days",IF(K255&lt;=90,"Due ≤90 days","OK"))),"Check date"))</f>
        <v/>
      </c>
      <c r="M255" s="27" t="n"/>
      <c r="N255" s="27" t="n"/>
      <c r="O255" s="27" t="n"/>
      <c r="P255" s="27" t="n"/>
      <c r="Q255" s="27" t="n"/>
      <c r="R255" s="27" t="n"/>
    </row>
    <row r="256">
      <c r="A256" s="27" t="n"/>
      <c r="B256" s="27" t="n"/>
      <c r="C256" s="27" t="n"/>
      <c r="D256" s="34" t="n"/>
      <c r="E256" s="27" t="n"/>
      <c r="F256" s="27" t="n"/>
      <c r="G256" s="28" t="n"/>
      <c r="H256" s="26">
        <f>IF(AND(ISNUMBER(G256),ISNUMBER(D256)),IF(E256="Weeks",G256+7*D256,EDATE(G256,IF(E256="Years",12,1)*D256)),"")</f>
        <v/>
      </c>
      <c r="I256" s="34" t="n"/>
      <c r="J256" s="26">
        <f>IF(ISNUMBER(H256),H256-IF(ISNUMBER(I256),I256,30),"")</f>
        <v/>
      </c>
      <c r="K256" s="35">
        <f>IF(H256="","",IF(ISNUMBER(H256),H256-TODAY(),"Check date"))</f>
        <v/>
      </c>
      <c r="L256" s="32">
        <f>IF(K256="","",IF(ISNUMBER(K256),IF(K256&lt;0,"Overdue",IF(K256&lt;=30,"Due ≤30 days",IF(K256&lt;=90,"Due ≤90 days","OK"))),"Check date"))</f>
        <v/>
      </c>
      <c r="M256" s="27" t="n"/>
      <c r="N256" s="27" t="n"/>
      <c r="O256" s="27" t="n"/>
      <c r="P256" s="27" t="n"/>
      <c r="Q256" s="27" t="n"/>
      <c r="R256" s="27" t="n"/>
    </row>
    <row r="257">
      <c r="A257" s="27" t="n"/>
      <c r="B257" s="27" t="n"/>
      <c r="C257" s="27" t="n"/>
      <c r="D257" s="34" t="n"/>
      <c r="E257" s="27" t="n"/>
      <c r="F257" s="27" t="n"/>
      <c r="G257" s="28" t="n"/>
      <c r="H257" s="26">
        <f>IF(AND(ISNUMBER(G257),ISNUMBER(D257)),IF(E257="Weeks",G257+7*D257,EDATE(G257,IF(E257="Years",12,1)*D257)),"")</f>
        <v/>
      </c>
      <c r="I257" s="34" t="n"/>
      <c r="J257" s="26">
        <f>IF(ISNUMBER(H257),H257-IF(ISNUMBER(I257),I257,30),"")</f>
        <v/>
      </c>
      <c r="K257" s="35">
        <f>IF(H257="","",IF(ISNUMBER(H257),H257-TODAY(),"Check date"))</f>
        <v/>
      </c>
      <c r="L257" s="32">
        <f>IF(K257="","",IF(ISNUMBER(K257),IF(K257&lt;0,"Overdue",IF(K257&lt;=30,"Due ≤30 days",IF(K257&lt;=90,"Due ≤90 days","OK"))),"Check date"))</f>
        <v/>
      </c>
      <c r="M257" s="27" t="n"/>
      <c r="N257" s="27" t="n"/>
      <c r="O257" s="27" t="n"/>
      <c r="P257" s="27" t="n"/>
      <c r="Q257" s="27" t="n"/>
      <c r="R257" s="27" t="n"/>
    </row>
    <row r="258">
      <c r="A258" s="27" t="n"/>
      <c r="B258" s="27" t="n"/>
      <c r="C258" s="27" t="n"/>
      <c r="D258" s="34" t="n"/>
      <c r="E258" s="27" t="n"/>
      <c r="F258" s="27" t="n"/>
      <c r="G258" s="28" t="n"/>
      <c r="H258" s="26">
        <f>IF(AND(ISNUMBER(G258),ISNUMBER(D258)),IF(E258="Weeks",G258+7*D258,EDATE(G258,IF(E258="Years",12,1)*D258)),"")</f>
        <v/>
      </c>
      <c r="I258" s="34" t="n"/>
      <c r="J258" s="26">
        <f>IF(ISNUMBER(H258),H258-IF(ISNUMBER(I258),I258,30),"")</f>
        <v/>
      </c>
      <c r="K258" s="35">
        <f>IF(H258="","",IF(ISNUMBER(H258),H258-TODAY(),"Check date"))</f>
        <v/>
      </c>
      <c r="L258" s="32">
        <f>IF(K258="","",IF(ISNUMBER(K258),IF(K258&lt;0,"Overdue",IF(K258&lt;=30,"Due ≤30 days",IF(K258&lt;=90,"Due ≤90 days","OK"))),"Check date"))</f>
        <v/>
      </c>
      <c r="M258" s="27" t="n"/>
      <c r="N258" s="27" t="n"/>
      <c r="O258" s="27" t="n"/>
      <c r="P258" s="27" t="n"/>
      <c r="Q258" s="27" t="n"/>
      <c r="R258" s="27" t="n"/>
    </row>
    <row r="259">
      <c r="A259" s="27" t="n"/>
      <c r="B259" s="27" t="n"/>
      <c r="C259" s="27" t="n"/>
      <c r="D259" s="34" t="n"/>
      <c r="E259" s="27" t="n"/>
      <c r="F259" s="27" t="n"/>
      <c r="G259" s="28" t="n"/>
      <c r="H259" s="26">
        <f>IF(AND(ISNUMBER(G259),ISNUMBER(D259)),IF(E259="Weeks",G259+7*D259,EDATE(G259,IF(E259="Years",12,1)*D259)),"")</f>
        <v/>
      </c>
      <c r="I259" s="34" t="n"/>
      <c r="J259" s="26">
        <f>IF(ISNUMBER(H259),H259-IF(ISNUMBER(I259),I259,30),"")</f>
        <v/>
      </c>
      <c r="K259" s="35">
        <f>IF(H259="","",IF(ISNUMBER(H259),H259-TODAY(),"Check date"))</f>
        <v/>
      </c>
      <c r="L259" s="32">
        <f>IF(K259="","",IF(ISNUMBER(K259),IF(K259&lt;0,"Overdue",IF(K259&lt;=30,"Due ≤30 days",IF(K259&lt;=90,"Due ≤90 days","OK"))),"Check date"))</f>
        <v/>
      </c>
      <c r="M259" s="27" t="n"/>
      <c r="N259" s="27" t="n"/>
      <c r="O259" s="27" t="n"/>
      <c r="P259" s="27" t="n"/>
      <c r="Q259" s="27" t="n"/>
      <c r="R259" s="27" t="n"/>
    </row>
    <row r="260">
      <c r="A260" s="27" t="n"/>
      <c r="B260" s="27" t="n"/>
      <c r="C260" s="27" t="n"/>
      <c r="D260" s="34" t="n"/>
      <c r="E260" s="27" t="n"/>
      <c r="F260" s="27" t="n"/>
      <c r="G260" s="28" t="n"/>
      <c r="H260" s="26">
        <f>IF(AND(ISNUMBER(G260),ISNUMBER(D260)),IF(E260="Weeks",G260+7*D260,EDATE(G260,IF(E260="Years",12,1)*D260)),"")</f>
        <v/>
      </c>
      <c r="I260" s="34" t="n"/>
      <c r="J260" s="26">
        <f>IF(ISNUMBER(H260),H260-IF(ISNUMBER(I260),I260,30),"")</f>
        <v/>
      </c>
      <c r="K260" s="35">
        <f>IF(H260="","",IF(ISNUMBER(H260),H260-TODAY(),"Check date"))</f>
        <v/>
      </c>
      <c r="L260" s="32">
        <f>IF(K260="","",IF(ISNUMBER(K260),IF(K260&lt;0,"Overdue",IF(K260&lt;=30,"Due ≤30 days",IF(K260&lt;=90,"Due ≤90 days","OK"))),"Check date"))</f>
        <v/>
      </c>
      <c r="M260" s="27" t="n"/>
      <c r="N260" s="27" t="n"/>
      <c r="O260" s="27" t="n"/>
      <c r="P260" s="27" t="n"/>
      <c r="Q260" s="27" t="n"/>
      <c r="R260" s="27" t="n"/>
    </row>
    <row r="261">
      <c r="A261" s="27" t="n"/>
      <c r="B261" s="27" t="n"/>
      <c r="C261" s="27" t="n"/>
      <c r="D261" s="34" t="n"/>
      <c r="E261" s="27" t="n"/>
      <c r="F261" s="27" t="n"/>
      <c r="G261" s="28" t="n"/>
      <c r="H261" s="26">
        <f>IF(AND(ISNUMBER(G261),ISNUMBER(D261)),IF(E261="Weeks",G261+7*D261,EDATE(G261,IF(E261="Years",12,1)*D261)),"")</f>
        <v/>
      </c>
      <c r="I261" s="34" t="n"/>
      <c r="J261" s="26">
        <f>IF(ISNUMBER(H261),H261-IF(ISNUMBER(I261),I261,30),"")</f>
        <v/>
      </c>
      <c r="K261" s="35">
        <f>IF(H261="","",IF(ISNUMBER(H261),H261-TODAY(),"Check date"))</f>
        <v/>
      </c>
      <c r="L261" s="32">
        <f>IF(K261="","",IF(ISNUMBER(K261),IF(K261&lt;0,"Overdue",IF(K261&lt;=30,"Due ≤30 days",IF(K261&lt;=90,"Due ≤90 days","OK"))),"Check date"))</f>
        <v/>
      </c>
      <c r="M261" s="27" t="n"/>
      <c r="N261" s="27" t="n"/>
      <c r="O261" s="27" t="n"/>
      <c r="P261" s="27" t="n"/>
      <c r="Q261" s="27" t="n"/>
      <c r="R261" s="27" t="n"/>
    </row>
    <row r="262">
      <c r="A262" s="27" t="n"/>
      <c r="B262" s="27" t="n"/>
      <c r="C262" s="27" t="n"/>
      <c r="D262" s="34" t="n"/>
      <c r="E262" s="27" t="n"/>
      <c r="F262" s="27" t="n"/>
      <c r="G262" s="28" t="n"/>
      <c r="H262" s="26">
        <f>IF(AND(ISNUMBER(G262),ISNUMBER(D262)),IF(E262="Weeks",G262+7*D262,EDATE(G262,IF(E262="Years",12,1)*D262)),"")</f>
        <v/>
      </c>
      <c r="I262" s="34" t="n"/>
      <c r="J262" s="26">
        <f>IF(ISNUMBER(H262),H262-IF(ISNUMBER(I262),I262,30),"")</f>
        <v/>
      </c>
      <c r="K262" s="35">
        <f>IF(H262="","",IF(ISNUMBER(H262),H262-TODAY(),"Check date"))</f>
        <v/>
      </c>
      <c r="L262" s="32">
        <f>IF(K262="","",IF(ISNUMBER(K262),IF(K262&lt;0,"Overdue",IF(K262&lt;=30,"Due ≤30 days",IF(K262&lt;=90,"Due ≤90 days","OK"))),"Check date"))</f>
        <v/>
      </c>
      <c r="M262" s="27" t="n"/>
      <c r="N262" s="27" t="n"/>
      <c r="O262" s="27" t="n"/>
      <c r="P262" s="27" t="n"/>
      <c r="Q262" s="27" t="n"/>
      <c r="R262" s="27" t="n"/>
    </row>
    <row r="263">
      <c r="A263" s="27" t="n"/>
      <c r="B263" s="27" t="n"/>
      <c r="C263" s="27" t="n"/>
      <c r="D263" s="34" t="n"/>
      <c r="E263" s="27" t="n"/>
      <c r="F263" s="27" t="n"/>
      <c r="G263" s="28" t="n"/>
      <c r="H263" s="26">
        <f>IF(AND(ISNUMBER(G263),ISNUMBER(D263)),IF(E263="Weeks",G263+7*D263,EDATE(G263,IF(E263="Years",12,1)*D263)),"")</f>
        <v/>
      </c>
      <c r="I263" s="34" t="n"/>
      <c r="J263" s="26">
        <f>IF(ISNUMBER(H263),H263-IF(ISNUMBER(I263),I263,30),"")</f>
        <v/>
      </c>
      <c r="K263" s="35">
        <f>IF(H263="","",IF(ISNUMBER(H263),H263-TODAY(),"Check date"))</f>
        <v/>
      </c>
      <c r="L263" s="32">
        <f>IF(K263="","",IF(ISNUMBER(K263),IF(K263&lt;0,"Overdue",IF(K263&lt;=30,"Due ≤30 days",IF(K263&lt;=90,"Due ≤90 days","OK"))),"Check date"))</f>
        <v/>
      </c>
      <c r="M263" s="27" t="n"/>
      <c r="N263" s="27" t="n"/>
      <c r="O263" s="27" t="n"/>
      <c r="P263" s="27" t="n"/>
      <c r="Q263" s="27" t="n"/>
      <c r="R263" s="27" t="n"/>
    </row>
    <row r="264">
      <c r="A264" s="27" t="n"/>
      <c r="B264" s="27" t="n"/>
      <c r="C264" s="27" t="n"/>
      <c r="D264" s="34" t="n"/>
      <c r="E264" s="27" t="n"/>
      <c r="F264" s="27" t="n"/>
      <c r="G264" s="28" t="n"/>
      <c r="H264" s="26">
        <f>IF(AND(ISNUMBER(G264),ISNUMBER(D264)),IF(E264="Weeks",G264+7*D264,EDATE(G264,IF(E264="Years",12,1)*D264)),"")</f>
        <v/>
      </c>
      <c r="I264" s="34" t="n"/>
      <c r="J264" s="26">
        <f>IF(ISNUMBER(H264),H264-IF(ISNUMBER(I264),I264,30),"")</f>
        <v/>
      </c>
      <c r="K264" s="35">
        <f>IF(H264="","",IF(ISNUMBER(H264),H264-TODAY(),"Check date"))</f>
        <v/>
      </c>
      <c r="L264" s="32">
        <f>IF(K264="","",IF(ISNUMBER(K264),IF(K264&lt;0,"Overdue",IF(K264&lt;=30,"Due ≤30 days",IF(K264&lt;=90,"Due ≤90 days","OK"))),"Check date"))</f>
        <v/>
      </c>
      <c r="M264" s="27" t="n"/>
      <c r="N264" s="27" t="n"/>
      <c r="O264" s="27" t="n"/>
      <c r="P264" s="27" t="n"/>
      <c r="Q264" s="27" t="n"/>
      <c r="R264" s="27" t="n"/>
    </row>
    <row r="265">
      <c r="A265" s="27" t="n"/>
      <c r="B265" s="27" t="n"/>
      <c r="C265" s="27" t="n"/>
      <c r="D265" s="34" t="n"/>
      <c r="E265" s="27" t="n"/>
      <c r="F265" s="27" t="n"/>
      <c r="G265" s="28" t="n"/>
      <c r="H265" s="26">
        <f>IF(AND(ISNUMBER(G265),ISNUMBER(D265)),IF(E265="Weeks",G265+7*D265,EDATE(G265,IF(E265="Years",12,1)*D265)),"")</f>
        <v/>
      </c>
      <c r="I265" s="34" t="n"/>
      <c r="J265" s="26">
        <f>IF(ISNUMBER(H265),H265-IF(ISNUMBER(I265),I265,30),"")</f>
        <v/>
      </c>
      <c r="K265" s="35">
        <f>IF(H265="","",IF(ISNUMBER(H265),H265-TODAY(),"Check date"))</f>
        <v/>
      </c>
      <c r="L265" s="32">
        <f>IF(K265="","",IF(ISNUMBER(K265),IF(K265&lt;0,"Overdue",IF(K265&lt;=30,"Due ≤30 days",IF(K265&lt;=90,"Due ≤90 days","OK"))),"Check date"))</f>
        <v/>
      </c>
      <c r="M265" s="27" t="n"/>
      <c r="N265" s="27" t="n"/>
      <c r="O265" s="27" t="n"/>
      <c r="P265" s="27" t="n"/>
      <c r="Q265" s="27" t="n"/>
      <c r="R265" s="27" t="n"/>
    </row>
    <row r="266">
      <c r="A266" s="27" t="n"/>
      <c r="B266" s="27" t="n"/>
      <c r="C266" s="27" t="n"/>
      <c r="D266" s="34" t="n"/>
      <c r="E266" s="27" t="n"/>
      <c r="F266" s="27" t="n"/>
      <c r="G266" s="28" t="n"/>
      <c r="H266" s="26">
        <f>IF(AND(ISNUMBER(G266),ISNUMBER(D266)),IF(E266="Weeks",G266+7*D266,EDATE(G266,IF(E266="Years",12,1)*D266)),"")</f>
        <v/>
      </c>
      <c r="I266" s="34" t="n"/>
      <c r="J266" s="26">
        <f>IF(ISNUMBER(H266),H266-IF(ISNUMBER(I266),I266,30),"")</f>
        <v/>
      </c>
      <c r="K266" s="35">
        <f>IF(H266="","",IF(ISNUMBER(H266),H266-TODAY(),"Check date"))</f>
        <v/>
      </c>
      <c r="L266" s="32">
        <f>IF(K266="","",IF(ISNUMBER(K266),IF(K266&lt;0,"Overdue",IF(K266&lt;=30,"Due ≤30 days",IF(K266&lt;=90,"Due ≤90 days","OK"))),"Check date"))</f>
        <v/>
      </c>
      <c r="M266" s="27" t="n"/>
      <c r="N266" s="27" t="n"/>
      <c r="O266" s="27" t="n"/>
      <c r="P266" s="27" t="n"/>
      <c r="Q266" s="27" t="n"/>
      <c r="R266" s="27" t="n"/>
    </row>
    <row r="267">
      <c r="A267" s="27" t="n"/>
      <c r="B267" s="27" t="n"/>
      <c r="C267" s="27" t="n"/>
      <c r="D267" s="34" t="n"/>
      <c r="E267" s="27" t="n"/>
      <c r="F267" s="27" t="n"/>
      <c r="G267" s="28" t="n"/>
      <c r="H267" s="26">
        <f>IF(AND(ISNUMBER(G267),ISNUMBER(D267)),IF(E267="Weeks",G267+7*D267,EDATE(G267,IF(E267="Years",12,1)*D267)),"")</f>
        <v/>
      </c>
      <c r="I267" s="34" t="n"/>
      <c r="J267" s="26">
        <f>IF(ISNUMBER(H267),H267-IF(ISNUMBER(I267),I267,30),"")</f>
        <v/>
      </c>
      <c r="K267" s="35">
        <f>IF(H267="","",IF(ISNUMBER(H267),H267-TODAY(),"Check date"))</f>
        <v/>
      </c>
      <c r="L267" s="32">
        <f>IF(K267="","",IF(ISNUMBER(K267),IF(K267&lt;0,"Overdue",IF(K267&lt;=30,"Due ≤30 days",IF(K267&lt;=90,"Due ≤90 days","OK"))),"Check date"))</f>
        <v/>
      </c>
      <c r="M267" s="27" t="n"/>
      <c r="N267" s="27" t="n"/>
      <c r="O267" s="27" t="n"/>
      <c r="P267" s="27" t="n"/>
      <c r="Q267" s="27" t="n"/>
      <c r="R267" s="27" t="n"/>
    </row>
    <row r="268">
      <c r="A268" s="27" t="n"/>
      <c r="B268" s="27" t="n"/>
      <c r="C268" s="27" t="n"/>
      <c r="D268" s="34" t="n"/>
      <c r="E268" s="27" t="n"/>
      <c r="F268" s="27" t="n"/>
      <c r="G268" s="28" t="n"/>
      <c r="H268" s="26">
        <f>IF(AND(ISNUMBER(G268),ISNUMBER(D268)),IF(E268="Weeks",G268+7*D268,EDATE(G268,IF(E268="Years",12,1)*D268)),"")</f>
        <v/>
      </c>
      <c r="I268" s="34" t="n"/>
      <c r="J268" s="26">
        <f>IF(ISNUMBER(H268),H268-IF(ISNUMBER(I268),I268,30),"")</f>
        <v/>
      </c>
      <c r="K268" s="35">
        <f>IF(H268="","",IF(ISNUMBER(H268),H268-TODAY(),"Check date"))</f>
        <v/>
      </c>
      <c r="L268" s="32">
        <f>IF(K268="","",IF(ISNUMBER(K268),IF(K268&lt;0,"Overdue",IF(K268&lt;=30,"Due ≤30 days",IF(K268&lt;=90,"Due ≤90 days","OK"))),"Check date"))</f>
        <v/>
      </c>
      <c r="M268" s="27" t="n"/>
      <c r="N268" s="27" t="n"/>
      <c r="O268" s="27" t="n"/>
      <c r="P268" s="27" t="n"/>
      <c r="Q268" s="27" t="n"/>
      <c r="R268" s="27" t="n"/>
    </row>
    <row r="269">
      <c r="A269" s="27" t="n"/>
      <c r="B269" s="27" t="n"/>
      <c r="C269" s="27" t="n"/>
      <c r="D269" s="34" t="n"/>
      <c r="E269" s="27" t="n"/>
      <c r="F269" s="27" t="n"/>
      <c r="G269" s="28" t="n"/>
      <c r="H269" s="26">
        <f>IF(AND(ISNUMBER(G269),ISNUMBER(D269)),IF(E269="Weeks",G269+7*D269,EDATE(G269,IF(E269="Years",12,1)*D269)),"")</f>
        <v/>
      </c>
      <c r="I269" s="34" t="n"/>
      <c r="J269" s="26">
        <f>IF(ISNUMBER(H269),H269-IF(ISNUMBER(I269),I269,30),"")</f>
        <v/>
      </c>
      <c r="K269" s="35">
        <f>IF(H269="","",IF(ISNUMBER(H269),H269-TODAY(),"Check date"))</f>
        <v/>
      </c>
      <c r="L269" s="32">
        <f>IF(K269="","",IF(ISNUMBER(K269),IF(K269&lt;0,"Overdue",IF(K269&lt;=30,"Due ≤30 days",IF(K269&lt;=90,"Due ≤90 days","OK"))),"Check date"))</f>
        <v/>
      </c>
      <c r="M269" s="27" t="n"/>
      <c r="N269" s="27" t="n"/>
      <c r="O269" s="27" t="n"/>
      <c r="P269" s="27" t="n"/>
      <c r="Q269" s="27" t="n"/>
      <c r="R269" s="27" t="n"/>
    </row>
    <row r="270">
      <c r="A270" s="27" t="n"/>
      <c r="B270" s="27" t="n"/>
      <c r="C270" s="27" t="n"/>
      <c r="D270" s="34" t="n"/>
      <c r="E270" s="27" t="n"/>
      <c r="F270" s="27" t="n"/>
      <c r="G270" s="28" t="n"/>
      <c r="H270" s="26">
        <f>IF(AND(ISNUMBER(G270),ISNUMBER(D270)),IF(E270="Weeks",G270+7*D270,EDATE(G270,IF(E270="Years",12,1)*D270)),"")</f>
        <v/>
      </c>
      <c r="I270" s="34" t="n"/>
      <c r="J270" s="26">
        <f>IF(ISNUMBER(H270),H270-IF(ISNUMBER(I270),I270,30),"")</f>
        <v/>
      </c>
      <c r="K270" s="35">
        <f>IF(H270="","",IF(ISNUMBER(H270),H270-TODAY(),"Check date"))</f>
        <v/>
      </c>
      <c r="L270" s="32">
        <f>IF(K270="","",IF(ISNUMBER(K270),IF(K270&lt;0,"Overdue",IF(K270&lt;=30,"Due ≤30 days",IF(K270&lt;=90,"Due ≤90 days","OK"))),"Check date"))</f>
        <v/>
      </c>
      <c r="M270" s="27" t="n"/>
      <c r="N270" s="27" t="n"/>
      <c r="O270" s="27" t="n"/>
      <c r="P270" s="27" t="n"/>
      <c r="Q270" s="27" t="n"/>
      <c r="R270" s="27" t="n"/>
    </row>
    <row r="271">
      <c r="A271" s="27" t="n"/>
      <c r="B271" s="27" t="n"/>
      <c r="C271" s="27" t="n"/>
      <c r="D271" s="34" t="n"/>
      <c r="E271" s="27" t="n"/>
      <c r="F271" s="27" t="n"/>
      <c r="G271" s="28" t="n"/>
      <c r="H271" s="26">
        <f>IF(AND(ISNUMBER(G271),ISNUMBER(D271)),IF(E271="Weeks",G271+7*D271,EDATE(G271,IF(E271="Years",12,1)*D271)),"")</f>
        <v/>
      </c>
      <c r="I271" s="34" t="n"/>
      <c r="J271" s="26">
        <f>IF(ISNUMBER(H271),H271-IF(ISNUMBER(I271),I271,30),"")</f>
        <v/>
      </c>
      <c r="K271" s="35">
        <f>IF(H271="","",IF(ISNUMBER(H271),H271-TODAY(),"Check date"))</f>
        <v/>
      </c>
      <c r="L271" s="32">
        <f>IF(K271="","",IF(ISNUMBER(K271),IF(K271&lt;0,"Overdue",IF(K271&lt;=30,"Due ≤30 days",IF(K271&lt;=90,"Due ≤90 days","OK"))),"Check date"))</f>
        <v/>
      </c>
      <c r="M271" s="27" t="n"/>
      <c r="N271" s="27" t="n"/>
      <c r="O271" s="27" t="n"/>
      <c r="P271" s="27" t="n"/>
      <c r="Q271" s="27" t="n"/>
      <c r="R271" s="27" t="n"/>
    </row>
    <row r="272">
      <c r="A272" s="27" t="n"/>
      <c r="B272" s="27" t="n"/>
      <c r="C272" s="27" t="n"/>
      <c r="D272" s="34" t="n"/>
      <c r="E272" s="27" t="n"/>
      <c r="F272" s="27" t="n"/>
      <c r="G272" s="28" t="n"/>
      <c r="H272" s="26">
        <f>IF(AND(ISNUMBER(G272),ISNUMBER(D272)),IF(E272="Weeks",G272+7*D272,EDATE(G272,IF(E272="Years",12,1)*D272)),"")</f>
        <v/>
      </c>
      <c r="I272" s="34" t="n"/>
      <c r="J272" s="26">
        <f>IF(ISNUMBER(H272),H272-IF(ISNUMBER(I272),I272,30),"")</f>
        <v/>
      </c>
      <c r="K272" s="35">
        <f>IF(H272="","",IF(ISNUMBER(H272),H272-TODAY(),"Check date"))</f>
        <v/>
      </c>
      <c r="L272" s="32">
        <f>IF(K272="","",IF(ISNUMBER(K272),IF(K272&lt;0,"Overdue",IF(K272&lt;=30,"Due ≤30 days",IF(K272&lt;=90,"Due ≤90 days","OK"))),"Check date"))</f>
        <v/>
      </c>
      <c r="M272" s="27" t="n"/>
      <c r="N272" s="27" t="n"/>
      <c r="O272" s="27" t="n"/>
      <c r="P272" s="27" t="n"/>
      <c r="Q272" s="27" t="n"/>
      <c r="R272" s="27" t="n"/>
    </row>
    <row r="273">
      <c r="A273" s="27" t="n"/>
      <c r="B273" s="27" t="n"/>
      <c r="C273" s="27" t="n"/>
      <c r="D273" s="34" t="n"/>
      <c r="E273" s="27" t="n"/>
      <c r="F273" s="27" t="n"/>
      <c r="G273" s="28" t="n"/>
      <c r="H273" s="26">
        <f>IF(AND(ISNUMBER(G273),ISNUMBER(D273)),IF(E273="Weeks",G273+7*D273,EDATE(G273,IF(E273="Years",12,1)*D273)),"")</f>
        <v/>
      </c>
      <c r="I273" s="34" t="n"/>
      <c r="J273" s="26">
        <f>IF(ISNUMBER(H273),H273-IF(ISNUMBER(I273),I273,30),"")</f>
        <v/>
      </c>
      <c r="K273" s="35">
        <f>IF(H273="","",IF(ISNUMBER(H273),H273-TODAY(),"Check date"))</f>
        <v/>
      </c>
      <c r="L273" s="32">
        <f>IF(K273="","",IF(ISNUMBER(K273),IF(K273&lt;0,"Overdue",IF(K273&lt;=30,"Due ≤30 days",IF(K273&lt;=90,"Due ≤90 days","OK"))),"Check date"))</f>
        <v/>
      </c>
      <c r="M273" s="27" t="n"/>
      <c r="N273" s="27" t="n"/>
      <c r="O273" s="27" t="n"/>
      <c r="P273" s="27" t="n"/>
      <c r="Q273" s="27" t="n"/>
      <c r="R273" s="27" t="n"/>
    </row>
    <row r="274">
      <c r="A274" s="27" t="n"/>
      <c r="B274" s="27" t="n"/>
      <c r="C274" s="27" t="n"/>
      <c r="D274" s="34" t="n"/>
      <c r="E274" s="27" t="n"/>
      <c r="F274" s="27" t="n"/>
      <c r="G274" s="28" t="n"/>
      <c r="H274" s="26">
        <f>IF(AND(ISNUMBER(G274),ISNUMBER(D274)),IF(E274="Weeks",G274+7*D274,EDATE(G274,IF(E274="Years",12,1)*D274)),"")</f>
        <v/>
      </c>
      <c r="I274" s="34" t="n"/>
      <c r="J274" s="26">
        <f>IF(ISNUMBER(H274),H274-IF(ISNUMBER(I274),I274,30),"")</f>
        <v/>
      </c>
      <c r="K274" s="35">
        <f>IF(H274="","",IF(ISNUMBER(H274),H274-TODAY(),"Check date"))</f>
        <v/>
      </c>
      <c r="L274" s="32">
        <f>IF(K274="","",IF(ISNUMBER(K274),IF(K274&lt;0,"Overdue",IF(K274&lt;=30,"Due ≤30 days",IF(K274&lt;=90,"Due ≤90 days","OK"))),"Check date"))</f>
        <v/>
      </c>
      <c r="M274" s="27" t="n"/>
      <c r="N274" s="27" t="n"/>
      <c r="O274" s="27" t="n"/>
      <c r="P274" s="27" t="n"/>
      <c r="Q274" s="27" t="n"/>
      <c r="R274" s="27" t="n"/>
    </row>
    <row r="275">
      <c r="A275" s="27" t="n"/>
      <c r="B275" s="27" t="n"/>
      <c r="C275" s="27" t="n"/>
      <c r="D275" s="34" t="n"/>
      <c r="E275" s="27" t="n"/>
      <c r="F275" s="27" t="n"/>
      <c r="G275" s="28" t="n"/>
      <c r="H275" s="26">
        <f>IF(AND(ISNUMBER(G275),ISNUMBER(D275)),IF(E275="Weeks",G275+7*D275,EDATE(G275,IF(E275="Years",12,1)*D275)),"")</f>
        <v/>
      </c>
      <c r="I275" s="34" t="n"/>
      <c r="J275" s="26">
        <f>IF(ISNUMBER(H275),H275-IF(ISNUMBER(I275),I275,30),"")</f>
        <v/>
      </c>
      <c r="K275" s="35">
        <f>IF(H275="","",IF(ISNUMBER(H275),H275-TODAY(),"Check date"))</f>
        <v/>
      </c>
      <c r="L275" s="32">
        <f>IF(K275="","",IF(ISNUMBER(K275),IF(K275&lt;0,"Overdue",IF(K275&lt;=30,"Due ≤30 days",IF(K275&lt;=90,"Due ≤90 days","OK"))),"Check date"))</f>
        <v/>
      </c>
      <c r="M275" s="27" t="n"/>
      <c r="N275" s="27" t="n"/>
      <c r="O275" s="27" t="n"/>
      <c r="P275" s="27" t="n"/>
      <c r="Q275" s="27" t="n"/>
      <c r="R275" s="27" t="n"/>
    </row>
    <row r="276">
      <c r="A276" s="27" t="n"/>
      <c r="B276" s="27" t="n"/>
      <c r="C276" s="27" t="n"/>
      <c r="D276" s="34" t="n"/>
      <c r="E276" s="27" t="n"/>
      <c r="F276" s="27" t="n"/>
      <c r="G276" s="28" t="n"/>
      <c r="H276" s="26">
        <f>IF(AND(ISNUMBER(G276),ISNUMBER(D276)),IF(E276="Weeks",G276+7*D276,EDATE(G276,IF(E276="Years",12,1)*D276)),"")</f>
        <v/>
      </c>
      <c r="I276" s="34" t="n"/>
      <c r="J276" s="26">
        <f>IF(ISNUMBER(H276),H276-IF(ISNUMBER(I276),I276,30),"")</f>
        <v/>
      </c>
      <c r="K276" s="35">
        <f>IF(H276="","",IF(ISNUMBER(H276),H276-TODAY(),"Check date"))</f>
        <v/>
      </c>
      <c r="L276" s="32">
        <f>IF(K276="","",IF(ISNUMBER(K276),IF(K276&lt;0,"Overdue",IF(K276&lt;=30,"Due ≤30 days",IF(K276&lt;=90,"Due ≤90 days","OK"))),"Check date"))</f>
        <v/>
      </c>
      <c r="M276" s="27" t="n"/>
      <c r="N276" s="27" t="n"/>
      <c r="O276" s="27" t="n"/>
      <c r="P276" s="27" t="n"/>
      <c r="Q276" s="27" t="n"/>
      <c r="R276" s="27" t="n"/>
    </row>
    <row r="277">
      <c r="A277" s="27" t="n"/>
      <c r="B277" s="27" t="n"/>
      <c r="C277" s="27" t="n"/>
      <c r="D277" s="34" t="n"/>
      <c r="E277" s="27" t="n"/>
      <c r="F277" s="27" t="n"/>
      <c r="G277" s="28" t="n"/>
      <c r="H277" s="26">
        <f>IF(AND(ISNUMBER(G277),ISNUMBER(D277)),IF(E277="Weeks",G277+7*D277,EDATE(G277,IF(E277="Years",12,1)*D277)),"")</f>
        <v/>
      </c>
      <c r="I277" s="34" t="n"/>
      <c r="J277" s="26">
        <f>IF(ISNUMBER(H277),H277-IF(ISNUMBER(I277),I277,30),"")</f>
        <v/>
      </c>
      <c r="K277" s="35">
        <f>IF(H277="","",IF(ISNUMBER(H277),H277-TODAY(),"Check date"))</f>
        <v/>
      </c>
      <c r="L277" s="32">
        <f>IF(K277="","",IF(ISNUMBER(K277),IF(K277&lt;0,"Overdue",IF(K277&lt;=30,"Due ≤30 days",IF(K277&lt;=90,"Due ≤90 days","OK"))),"Check date"))</f>
        <v/>
      </c>
      <c r="M277" s="27" t="n"/>
      <c r="N277" s="27" t="n"/>
      <c r="O277" s="27" t="n"/>
      <c r="P277" s="27" t="n"/>
      <c r="Q277" s="27" t="n"/>
      <c r="R277" s="27" t="n"/>
    </row>
    <row r="278">
      <c r="A278" s="27" t="n"/>
      <c r="B278" s="27" t="n"/>
      <c r="C278" s="27" t="n"/>
      <c r="D278" s="34" t="n"/>
      <c r="E278" s="27" t="n"/>
      <c r="F278" s="27" t="n"/>
      <c r="G278" s="28" t="n"/>
      <c r="H278" s="26">
        <f>IF(AND(ISNUMBER(G278),ISNUMBER(D278)),IF(E278="Weeks",G278+7*D278,EDATE(G278,IF(E278="Years",12,1)*D278)),"")</f>
        <v/>
      </c>
      <c r="I278" s="34" t="n"/>
      <c r="J278" s="26">
        <f>IF(ISNUMBER(H278),H278-IF(ISNUMBER(I278),I278,30),"")</f>
        <v/>
      </c>
      <c r="K278" s="35">
        <f>IF(H278="","",IF(ISNUMBER(H278),H278-TODAY(),"Check date"))</f>
        <v/>
      </c>
      <c r="L278" s="32">
        <f>IF(K278="","",IF(ISNUMBER(K278),IF(K278&lt;0,"Overdue",IF(K278&lt;=30,"Due ≤30 days",IF(K278&lt;=90,"Due ≤90 days","OK"))),"Check date"))</f>
        <v/>
      </c>
      <c r="M278" s="27" t="n"/>
      <c r="N278" s="27" t="n"/>
      <c r="O278" s="27" t="n"/>
      <c r="P278" s="27" t="n"/>
      <c r="Q278" s="27" t="n"/>
      <c r="R278" s="27" t="n"/>
    </row>
    <row r="279">
      <c r="A279" s="27" t="n"/>
      <c r="B279" s="27" t="n"/>
      <c r="C279" s="27" t="n"/>
      <c r="D279" s="34" t="n"/>
      <c r="E279" s="27" t="n"/>
      <c r="F279" s="27" t="n"/>
      <c r="G279" s="28" t="n"/>
      <c r="H279" s="26">
        <f>IF(AND(ISNUMBER(G279),ISNUMBER(D279)),IF(E279="Weeks",G279+7*D279,EDATE(G279,IF(E279="Years",12,1)*D279)),"")</f>
        <v/>
      </c>
      <c r="I279" s="34" t="n"/>
      <c r="J279" s="26">
        <f>IF(ISNUMBER(H279),H279-IF(ISNUMBER(I279),I279,30),"")</f>
        <v/>
      </c>
      <c r="K279" s="35">
        <f>IF(H279="","",IF(ISNUMBER(H279),H279-TODAY(),"Check date"))</f>
        <v/>
      </c>
      <c r="L279" s="32">
        <f>IF(K279="","",IF(ISNUMBER(K279),IF(K279&lt;0,"Overdue",IF(K279&lt;=30,"Due ≤30 days",IF(K279&lt;=90,"Due ≤90 days","OK"))),"Check date"))</f>
        <v/>
      </c>
      <c r="M279" s="27" t="n"/>
      <c r="N279" s="27" t="n"/>
      <c r="O279" s="27" t="n"/>
      <c r="P279" s="27" t="n"/>
      <c r="Q279" s="27" t="n"/>
      <c r="R279" s="27" t="n"/>
    </row>
    <row r="280">
      <c r="A280" s="27" t="n"/>
      <c r="B280" s="27" t="n"/>
      <c r="C280" s="27" t="n"/>
      <c r="D280" s="34" t="n"/>
      <c r="E280" s="27" t="n"/>
      <c r="F280" s="27" t="n"/>
      <c r="G280" s="28" t="n"/>
      <c r="H280" s="26">
        <f>IF(AND(ISNUMBER(G280),ISNUMBER(D280)),IF(E280="Weeks",G280+7*D280,EDATE(G280,IF(E280="Years",12,1)*D280)),"")</f>
        <v/>
      </c>
      <c r="I280" s="34" t="n"/>
      <c r="J280" s="26">
        <f>IF(ISNUMBER(H280),H280-IF(ISNUMBER(I280),I280,30),"")</f>
        <v/>
      </c>
      <c r="K280" s="35">
        <f>IF(H280="","",IF(ISNUMBER(H280),H280-TODAY(),"Check date"))</f>
        <v/>
      </c>
      <c r="L280" s="32">
        <f>IF(K280="","",IF(ISNUMBER(K280),IF(K280&lt;0,"Overdue",IF(K280&lt;=30,"Due ≤30 days",IF(K280&lt;=90,"Due ≤90 days","OK"))),"Check date"))</f>
        <v/>
      </c>
      <c r="M280" s="27" t="n"/>
      <c r="N280" s="27" t="n"/>
      <c r="O280" s="27" t="n"/>
      <c r="P280" s="27" t="n"/>
      <c r="Q280" s="27" t="n"/>
      <c r="R280" s="27" t="n"/>
    </row>
    <row r="281">
      <c r="A281" s="27" t="n"/>
      <c r="B281" s="27" t="n"/>
      <c r="C281" s="27" t="n"/>
      <c r="D281" s="34" t="n"/>
      <c r="E281" s="27" t="n"/>
      <c r="F281" s="27" t="n"/>
      <c r="G281" s="28" t="n"/>
      <c r="H281" s="26">
        <f>IF(AND(ISNUMBER(G281),ISNUMBER(D281)),IF(E281="Weeks",G281+7*D281,EDATE(G281,IF(E281="Years",12,1)*D281)),"")</f>
        <v/>
      </c>
      <c r="I281" s="34" t="n"/>
      <c r="J281" s="26">
        <f>IF(ISNUMBER(H281),H281-IF(ISNUMBER(I281),I281,30),"")</f>
        <v/>
      </c>
      <c r="K281" s="35">
        <f>IF(H281="","",IF(ISNUMBER(H281),H281-TODAY(),"Check date"))</f>
        <v/>
      </c>
      <c r="L281" s="32">
        <f>IF(K281="","",IF(ISNUMBER(K281),IF(K281&lt;0,"Overdue",IF(K281&lt;=30,"Due ≤30 days",IF(K281&lt;=90,"Due ≤90 days","OK"))),"Check date"))</f>
        <v/>
      </c>
      <c r="M281" s="27" t="n"/>
      <c r="N281" s="27" t="n"/>
      <c r="O281" s="27" t="n"/>
      <c r="P281" s="27" t="n"/>
      <c r="Q281" s="27" t="n"/>
      <c r="R281" s="27" t="n"/>
    </row>
    <row r="282">
      <c r="A282" s="27" t="n"/>
      <c r="B282" s="27" t="n"/>
      <c r="C282" s="27" t="n"/>
      <c r="D282" s="34" t="n"/>
      <c r="E282" s="27" t="n"/>
      <c r="F282" s="27" t="n"/>
      <c r="G282" s="28" t="n"/>
      <c r="H282" s="26">
        <f>IF(AND(ISNUMBER(G282),ISNUMBER(D282)),IF(E282="Weeks",G282+7*D282,EDATE(G282,IF(E282="Years",12,1)*D282)),"")</f>
        <v/>
      </c>
      <c r="I282" s="34" t="n"/>
      <c r="J282" s="26">
        <f>IF(ISNUMBER(H282),H282-IF(ISNUMBER(I282),I282,30),"")</f>
        <v/>
      </c>
      <c r="K282" s="35">
        <f>IF(H282="","",IF(ISNUMBER(H282),H282-TODAY(),"Check date"))</f>
        <v/>
      </c>
      <c r="L282" s="32">
        <f>IF(K282="","",IF(ISNUMBER(K282),IF(K282&lt;0,"Overdue",IF(K282&lt;=30,"Due ≤30 days",IF(K282&lt;=90,"Due ≤90 days","OK"))),"Check date"))</f>
        <v/>
      </c>
      <c r="M282" s="27" t="n"/>
      <c r="N282" s="27" t="n"/>
      <c r="O282" s="27" t="n"/>
      <c r="P282" s="27" t="n"/>
      <c r="Q282" s="27" t="n"/>
      <c r="R282" s="27" t="n"/>
    </row>
    <row r="283">
      <c r="A283" s="27" t="n"/>
      <c r="B283" s="27" t="n"/>
      <c r="C283" s="27" t="n"/>
      <c r="D283" s="34" t="n"/>
      <c r="E283" s="27" t="n"/>
      <c r="F283" s="27" t="n"/>
      <c r="G283" s="28" t="n"/>
      <c r="H283" s="26">
        <f>IF(AND(ISNUMBER(G283),ISNUMBER(D283)),IF(E283="Weeks",G283+7*D283,EDATE(G283,IF(E283="Years",12,1)*D283)),"")</f>
        <v/>
      </c>
      <c r="I283" s="34" t="n"/>
      <c r="J283" s="26">
        <f>IF(ISNUMBER(H283),H283-IF(ISNUMBER(I283),I283,30),"")</f>
        <v/>
      </c>
      <c r="K283" s="35">
        <f>IF(H283="","",IF(ISNUMBER(H283),H283-TODAY(),"Check date"))</f>
        <v/>
      </c>
      <c r="L283" s="32">
        <f>IF(K283="","",IF(ISNUMBER(K283),IF(K283&lt;0,"Overdue",IF(K283&lt;=30,"Due ≤30 days",IF(K283&lt;=90,"Due ≤90 days","OK"))),"Check date"))</f>
        <v/>
      </c>
      <c r="M283" s="27" t="n"/>
      <c r="N283" s="27" t="n"/>
      <c r="O283" s="27" t="n"/>
      <c r="P283" s="27" t="n"/>
      <c r="Q283" s="27" t="n"/>
      <c r="R283" s="27" t="n"/>
    </row>
    <row r="284">
      <c r="A284" s="27" t="n"/>
      <c r="B284" s="27" t="n"/>
      <c r="C284" s="27" t="n"/>
      <c r="D284" s="34" t="n"/>
      <c r="E284" s="27" t="n"/>
      <c r="F284" s="27" t="n"/>
      <c r="G284" s="28" t="n"/>
      <c r="H284" s="26">
        <f>IF(AND(ISNUMBER(G284),ISNUMBER(D284)),IF(E284="Weeks",G284+7*D284,EDATE(G284,IF(E284="Years",12,1)*D284)),"")</f>
        <v/>
      </c>
      <c r="I284" s="34" t="n"/>
      <c r="J284" s="26">
        <f>IF(ISNUMBER(H284),H284-IF(ISNUMBER(I284),I284,30),"")</f>
        <v/>
      </c>
      <c r="K284" s="35">
        <f>IF(H284="","",IF(ISNUMBER(H284),H284-TODAY(),"Check date"))</f>
        <v/>
      </c>
      <c r="L284" s="32">
        <f>IF(K284="","",IF(ISNUMBER(K284),IF(K284&lt;0,"Overdue",IF(K284&lt;=30,"Due ≤30 days",IF(K284&lt;=90,"Due ≤90 days","OK"))),"Check date"))</f>
        <v/>
      </c>
      <c r="M284" s="27" t="n"/>
      <c r="N284" s="27" t="n"/>
      <c r="O284" s="27" t="n"/>
      <c r="P284" s="27" t="n"/>
      <c r="Q284" s="27" t="n"/>
      <c r="R284" s="27" t="n"/>
    </row>
    <row r="285">
      <c r="A285" s="27" t="n"/>
      <c r="B285" s="27" t="n"/>
      <c r="C285" s="27" t="n"/>
      <c r="D285" s="34" t="n"/>
      <c r="E285" s="27" t="n"/>
      <c r="F285" s="27" t="n"/>
      <c r="G285" s="28" t="n"/>
      <c r="H285" s="26">
        <f>IF(AND(ISNUMBER(G285),ISNUMBER(D285)),IF(E285="Weeks",G285+7*D285,EDATE(G285,IF(E285="Years",12,1)*D285)),"")</f>
        <v/>
      </c>
      <c r="I285" s="34" t="n"/>
      <c r="J285" s="26">
        <f>IF(ISNUMBER(H285),H285-IF(ISNUMBER(I285),I285,30),"")</f>
        <v/>
      </c>
      <c r="K285" s="35">
        <f>IF(H285="","",IF(ISNUMBER(H285),H285-TODAY(),"Check date"))</f>
        <v/>
      </c>
      <c r="L285" s="32">
        <f>IF(K285="","",IF(ISNUMBER(K285),IF(K285&lt;0,"Overdue",IF(K285&lt;=30,"Due ≤30 days",IF(K285&lt;=90,"Due ≤90 days","OK"))),"Check date"))</f>
        <v/>
      </c>
      <c r="M285" s="27" t="n"/>
      <c r="N285" s="27" t="n"/>
      <c r="O285" s="27" t="n"/>
      <c r="P285" s="27" t="n"/>
      <c r="Q285" s="27" t="n"/>
      <c r="R285" s="27" t="n"/>
    </row>
    <row r="286">
      <c r="A286" s="27" t="n"/>
      <c r="B286" s="27" t="n"/>
      <c r="C286" s="27" t="n"/>
      <c r="D286" s="34" t="n"/>
      <c r="E286" s="27" t="n"/>
      <c r="F286" s="27" t="n"/>
      <c r="G286" s="28" t="n"/>
      <c r="H286" s="26">
        <f>IF(AND(ISNUMBER(G286),ISNUMBER(D286)),IF(E286="Weeks",G286+7*D286,EDATE(G286,IF(E286="Years",12,1)*D286)),"")</f>
        <v/>
      </c>
      <c r="I286" s="34" t="n"/>
      <c r="J286" s="26">
        <f>IF(ISNUMBER(H286),H286-IF(ISNUMBER(I286),I286,30),"")</f>
        <v/>
      </c>
      <c r="K286" s="35">
        <f>IF(H286="","",IF(ISNUMBER(H286),H286-TODAY(),"Check date"))</f>
        <v/>
      </c>
      <c r="L286" s="32">
        <f>IF(K286="","",IF(ISNUMBER(K286),IF(K286&lt;0,"Overdue",IF(K286&lt;=30,"Due ≤30 days",IF(K286&lt;=90,"Due ≤90 days","OK"))),"Check date"))</f>
        <v/>
      </c>
      <c r="M286" s="27" t="n"/>
      <c r="N286" s="27" t="n"/>
      <c r="O286" s="27" t="n"/>
      <c r="P286" s="27" t="n"/>
      <c r="Q286" s="27" t="n"/>
      <c r="R286" s="27" t="n"/>
    </row>
    <row r="287">
      <c r="A287" s="27" t="n"/>
      <c r="B287" s="27" t="n"/>
      <c r="C287" s="27" t="n"/>
      <c r="D287" s="34" t="n"/>
      <c r="E287" s="27" t="n"/>
      <c r="F287" s="27" t="n"/>
      <c r="G287" s="28" t="n"/>
      <c r="H287" s="26">
        <f>IF(AND(ISNUMBER(G287),ISNUMBER(D287)),IF(E287="Weeks",G287+7*D287,EDATE(G287,IF(E287="Years",12,1)*D287)),"")</f>
        <v/>
      </c>
      <c r="I287" s="34" t="n"/>
      <c r="J287" s="26">
        <f>IF(ISNUMBER(H287),H287-IF(ISNUMBER(I287),I287,30),"")</f>
        <v/>
      </c>
      <c r="K287" s="35">
        <f>IF(H287="","",IF(ISNUMBER(H287),H287-TODAY(),"Check date"))</f>
        <v/>
      </c>
      <c r="L287" s="32">
        <f>IF(K287="","",IF(ISNUMBER(K287),IF(K287&lt;0,"Overdue",IF(K287&lt;=30,"Due ≤30 days",IF(K287&lt;=90,"Due ≤90 days","OK"))),"Check date"))</f>
        <v/>
      </c>
      <c r="M287" s="27" t="n"/>
      <c r="N287" s="27" t="n"/>
      <c r="O287" s="27" t="n"/>
      <c r="P287" s="27" t="n"/>
      <c r="Q287" s="27" t="n"/>
      <c r="R287" s="27" t="n"/>
    </row>
    <row r="288">
      <c r="A288" s="27" t="n"/>
      <c r="B288" s="27" t="n"/>
      <c r="C288" s="27" t="n"/>
      <c r="D288" s="34" t="n"/>
      <c r="E288" s="27" t="n"/>
      <c r="F288" s="27" t="n"/>
      <c r="G288" s="28" t="n"/>
      <c r="H288" s="26">
        <f>IF(AND(ISNUMBER(G288),ISNUMBER(D288)),IF(E288="Weeks",G288+7*D288,EDATE(G288,IF(E288="Years",12,1)*D288)),"")</f>
        <v/>
      </c>
      <c r="I288" s="34" t="n"/>
      <c r="J288" s="26">
        <f>IF(ISNUMBER(H288),H288-IF(ISNUMBER(I288),I288,30),"")</f>
        <v/>
      </c>
      <c r="K288" s="35">
        <f>IF(H288="","",IF(ISNUMBER(H288),H288-TODAY(),"Check date"))</f>
        <v/>
      </c>
      <c r="L288" s="32">
        <f>IF(K288="","",IF(ISNUMBER(K288),IF(K288&lt;0,"Overdue",IF(K288&lt;=30,"Due ≤30 days",IF(K288&lt;=90,"Due ≤90 days","OK"))),"Check date"))</f>
        <v/>
      </c>
      <c r="M288" s="27" t="n"/>
      <c r="N288" s="27" t="n"/>
      <c r="O288" s="27" t="n"/>
      <c r="P288" s="27" t="n"/>
      <c r="Q288" s="27" t="n"/>
      <c r="R288" s="27" t="n"/>
    </row>
    <row r="289">
      <c r="A289" s="27" t="n"/>
      <c r="B289" s="27" t="n"/>
      <c r="C289" s="27" t="n"/>
      <c r="D289" s="34" t="n"/>
      <c r="E289" s="27" t="n"/>
      <c r="F289" s="27" t="n"/>
      <c r="G289" s="28" t="n"/>
      <c r="H289" s="26">
        <f>IF(AND(ISNUMBER(G289),ISNUMBER(D289)),IF(E289="Weeks",G289+7*D289,EDATE(G289,IF(E289="Years",12,1)*D289)),"")</f>
        <v/>
      </c>
      <c r="I289" s="34" t="n"/>
      <c r="J289" s="26">
        <f>IF(ISNUMBER(H289),H289-IF(ISNUMBER(I289),I289,30),"")</f>
        <v/>
      </c>
      <c r="K289" s="35">
        <f>IF(H289="","",IF(ISNUMBER(H289),H289-TODAY(),"Check date"))</f>
        <v/>
      </c>
      <c r="L289" s="32">
        <f>IF(K289="","",IF(ISNUMBER(K289),IF(K289&lt;0,"Overdue",IF(K289&lt;=30,"Due ≤30 days",IF(K289&lt;=90,"Due ≤90 days","OK"))),"Check date"))</f>
        <v/>
      </c>
      <c r="M289" s="27" t="n"/>
      <c r="N289" s="27" t="n"/>
      <c r="O289" s="27" t="n"/>
      <c r="P289" s="27" t="n"/>
      <c r="Q289" s="27" t="n"/>
      <c r="R289" s="27" t="n"/>
    </row>
    <row r="290">
      <c r="A290" s="27" t="n"/>
      <c r="B290" s="27" t="n"/>
      <c r="C290" s="27" t="n"/>
      <c r="D290" s="34" t="n"/>
      <c r="E290" s="27" t="n"/>
      <c r="F290" s="27" t="n"/>
      <c r="G290" s="28" t="n"/>
      <c r="H290" s="26">
        <f>IF(AND(ISNUMBER(G290),ISNUMBER(D290)),IF(E290="Weeks",G290+7*D290,EDATE(G290,IF(E290="Years",12,1)*D290)),"")</f>
        <v/>
      </c>
      <c r="I290" s="34" t="n"/>
      <c r="J290" s="26">
        <f>IF(ISNUMBER(H290),H290-IF(ISNUMBER(I290),I290,30),"")</f>
        <v/>
      </c>
      <c r="K290" s="35">
        <f>IF(H290="","",IF(ISNUMBER(H290),H290-TODAY(),"Check date"))</f>
        <v/>
      </c>
      <c r="L290" s="32">
        <f>IF(K290="","",IF(ISNUMBER(K290),IF(K290&lt;0,"Overdue",IF(K290&lt;=30,"Due ≤30 days",IF(K290&lt;=90,"Due ≤90 days","OK"))),"Check date"))</f>
        <v/>
      </c>
      <c r="M290" s="27" t="n"/>
      <c r="N290" s="27" t="n"/>
      <c r="O290" s="27" t="n"/>
      <c r="P290" s="27" t="n"/>
      <c r="Q290" s="27" t="n"/>
      <c r="R290" s="27" t="n"/>
    </row>
    <row r="291">
      <c r="A291" s="27" t="n"/>
      <c r="B291" s="27" t="n"/>
      <c r="C291" s="27" t="n"/>
      <c r="D291" s="34" t="n"/>
      <c r="E291" s="27" t="n"/>
      <c r="F291" s="27" t="n"/>
      <c r="G291" s="28" t="n"/>
      <c r="H291" s="26">
        <f>IF(AND(ISNUMBER(G291),ISNUMBER(D291)),IF(E291="Weeks",G291+7*D291,EDATE(G291,IF(E291="Years",12,1)*D291)),"")</f>
        <v/>
      </c>
      <c r="I291" s="34" t="n"/>
      <c r="J291" s="26">
        <f>IF(ISNUMBER(H291),H291-IF(ISNUMBER(I291),I291,30),"")</f>
        <v/>
      </c>
      <c r="K291" s="35">
        <f>IF(H291="","",IF(ISNUMBER(H291),H291-TODAY(),"Check date"))</f>
        <v/>
      </c>
      <c r="L291" s="32">
        <f>IF(K291="","",IF(ISNUMBER(K291),IF(K291&lt;0,"Overdue",IF(K291&lt;=30,"Due ≤30 days",IF(K291&lt;=90,"Due ≤90 days","OK"))),"Check date"))</f>
        <v/>
      </c>
      <c r="M291" s="27" t="n"/>
      <c r="N291" s="27" t="n"/>
      <c r="O291" s="27" t="n"/>
      <c r="P291" s="27" t="n"/>
      <c r="Q291" s="27" t="n"/>
      <c r="R291" s="27" t="n"/>
    </row>
    <row r="292">
      <c r="A292" s="27" t="n"/>
      <c r="B292" s="27" t="n"/>
      <c r="C292" s="27" t="n"/>
      <c r="D292" s="34" t="n"/>
      <c r="E292" s="27" t="n"/>
      <c r="F292" s="27" t="n"/>
      <c r="G292" s="28" t="n"/>
      <c r="H292" s="26">
        <f>IF(AND(ISNUMBER(G292),ISNUMBER(D292)),IF(E292="Weeks",G292+7*D292,EDATE(G292,IF(E292="Years",12,1)*D292)),"")</f>
        <v/>
      </c>
      <c r="I292" s="34" t="n"/>
      <c r="J292" s="26">
        <f>IF(ISNUMBER(H292),H292-IF(ISNUMBER(I292),I292,30),"")</f>
        <v/>
      </c>
      <c r="K292" s="35">
        <f>IF(H292="","",IF(ISNUMBER(H292),H292-TODAY(),"Check date"))</f>
        <v/>
      </c>
      <c r="L292" s="32">
        <f>IF(K292="","",IF(ISNUMBER(K292),IF(K292&lt;0,"Overdue",IF(K292&lt;=30,"Due ≤30 days",IF(K292&lt;=90,"Due ≤90 days","OK"))),"Check date"))</f>
        <v/>
      </c>
      <c r="M292" s="27" t="n"/>
      <c r="N292" s="27" t="n"/>
      <c r="O292" s="27" t="n"/>
      <c r="P292" s="27" t="n"/>
      <c r="Q292" s="27" t="n"/>
      <c r="R292" s="27" t="n"/>
    </row>
    <row r="293">
      <c r="A293" s="27" t="n"/>
      <c r="B293" s="27" t="n"/>
      <c r="C293" s="27" t="n"/>
      <c r="D293" s="34" t="n"/>
      <c r="E293" s="27" t="n"/>
      <c r="F293" s="27" t="n"/>
      <c r="G293" s="28" t="n"/>
      <c r="H293" s="26">
        <f>IF(AND(ISNUMBER(G293),ISNUMBER(D293)),IF(E293="Weeks",G293+7*D293,EDATE(G293,IF(E293="Years",12,1)*D293)),"")</f>
        <v/>
      </c>
      <c r="I293" s="34" t="n"/>
      <c r="J293" s="26">
        <f>IF(ISNUMBER(H293),H293-IF(ISNUMBER(I293),I293,30),"")</f>
        <v/>
      </c>
      <c r="K293" s="35">
        <f>IF(H293="","",IF(ISNUMBER(H293),H293-TODAY(),"Check date"))</f>
        <v/>
      </c>
      <c r="L293" s="32">
        <f>IF(K293="","",IF(ISNUMBER(K293),IF(K293&lt;0,"Overdue",IF(K293&lt;=30,"Due ≤30 days",IF(K293&lt;=90,"Due ≤90 days","OK"))),"Check date"))</f>
        <v/>
      </c>
      <c r="M293" s="27" t="n"/>
      <c r="N293" s="27" t="n"/>
      <c r="O293" s="27" t="n"/>
      <c r="P293" s="27" t="n"/>
      <c r="Q293" s="27" t="n"/>
      <c r="R293" s="27" t="n"/>
    </row>
    <row r="294">
      <c r="A294" s="27" t="n"/>
      <c r="B294" s="27" t="n"/>
      <c r="C294" s="27" t="n"/>
      <c r="D294" s="34" t="n"/>
      <c r="E294" s="27" t="n"/>
      <c r="F294" s="27" t="n"/>
      <c r="G294" s="28" t="n"/>
      <c r="H294" s="26">
        <f>IF(AND(ISNUMBER(G294),ISNUMBER(D294)),IF(E294="Weeks",G294+7*D294,EDATE(G294,IF(E294="Years",12,1)*D294)),"")</f>
        <v/>
      </c>
      <c r="I294" s="34" t="n"/>
      <c r="J294" s="26">
        <f>IF(ISNUMBER(H294),H294-IF(ISNUMBER(I294),I294,30),"")</f>
        <v/>
      </c>
      <c r="K294" s="35">
        <f>IF(H294="","",IF(ISNUMBER(H294),H294-TODAY(),"Check date"))</f>
        <v/>
      </c>
      <c r="L294" s="32">
        <f>IF(K294="","",IF(ISNUMBER(K294),IF(K294&lt;0,"Overdue",IF(K294&lt;=30,"Due ≤30 days",IF(K294&lt;=90,"Due ≤90 days","OK"))),"Check date"))</f>
        <v/>
      </c>
      <c r="M294" s="27" t="n"/>
      <c r="N294" s="27" t="n"/>
      <c r="O294" s="27" t="n"/>
      <c r="P294" s="27" t="n"/>
      <c r="Q294" s="27" t="n"/>
      <c r="R294" s="27" t="n"/>
    </row>
    <row r="295">
      <c r="A295" s="27" t="n"/>
      <c r="B295" s="27" t="n"/>
      <c r="C295" s="27" t="n"/>
      <c r="D295" s="34" t="n"/>
      <c r="E295" s="27" t="n"/>
      <c r="F295" s="27" t="n"/>
      <c r="G295" s="28" t="n"/>
      <c r="H295" s="26">
        <f>IF(AND(ISNUMBER(G295),ISNUMBER(D295)),IF(E295="Weeks",G295+7*D295,EDATE(G295,IF(E295="Years",12,1)*D295)),"")</f>
        <v/>
      </c>
      <c r="I295" s="34" t="n"/>
      <c r="J295" s="26">
        <f>IF(ISNUMBER(H295),H295-IF(ISNUMBER(I295),I295,30),"")</f>
        <v/>
      </c>
      <c r="K295" s="35">
        <f>IF(H295="","",IF(ISNUMBER(H295),H295-TODAY(),"Check date"))</f>
        <v/>
      </c>
      <c r="L295" s="32">
        <f>IF(K295="","",IF(ISNUMBER(K295),IF(K295&lt;0,"Overdue",IF(K295&lt;=30,"Due ≤30 days",IF(K295&lt;=90,"Due ≤90 days","OK"))),"Check date"))</f>
        <v/>
      </c>
      <c r="M295" s="27" t="n"/>
      <c r="N295" s="27" t="n"/>
      <c r="O295" s="27" t="n"/>
      <c r="P295" s="27" t="n"/>
      <c r="Q295" s="27" t="n"/>
      <c r="R295" s="27" t="n"/>
    </row>
    <row r="296">
      <c r="A296" s="27" t="n"/>
      <c r="B296" s="27" t="n"/>
      <c r="C296" s="27" t="n"/>
      <c r="D296" s="34" t="n"/>
      <c r="E296" s="27" t="n"/>
      <c r="F296" s="27" t="n"/>
      <c r="G296" s="28" t="n"/>
      <c r="H296" s="26">
        <f>IF(AND(ISNUMBER(G296),ISNUMBER(D296)),IF(E296="Weeks",G296+7*D296,EDATE(G296,IF(E296="Years",12,1)*D296)),"")</f>
        <v/>
      </c>
      <c r="I296" s="34" t="n"/>
      <c r="J296" s="26">
        <f>IF(ISNUMBER(H296),H296-IF(ISNUMBER(I296),I296,30),"")</f>
        <v/>
      </c>
      <c r="K296" s="35">
        <f>IF(H296="","",IF(ISNUMBER(H296),H296-TODAY(),"Check date"))</f>
        <v/>
      </c>
      <c r="L296" s="32">
        <f>IF(K296="","",IF(ISNUMBER(K296),IF(K296&lt;0,"Overdue",IF(K296&lt;=30,"Due ≤30 days",IF(K296&lt;=90,"Due ≤90 days","OK"))),"Check date"))</f>
        <v/>
      </c>
      <c r="M296" s="27" t="n"/>
      <c r="N296" s="27" t="n"/>
      <c r="O296" s="27" t="n"/>
      <c r="P296" s="27" t="n"/>
      <c r="Q296" s="27" t="n"/>
      <c r="R296" s="27" t="n"/>
    </row>
    <row r="297">
      <c r="A297" s="27" t="n"/>
      <c r="B297" s="27" t="n"/>
      <c r="C297" s="27" t="n"/>
      <c r="D297" s="34" t="n"/>
      <c r="E297" s="27" t="n"/>
      <c r="F297" s="27" t="n"/>
      <c r="G297" s="28" t="n"/>
      <c r="H297" s="26">
        <f>IF(AND(ISNUMBER(G297),ISNUMBER(D297)),IF(E297="Weeks",G297+7*D297,EDATE(G297,IF(E297="Years",12,1)*D297)),"")</f>
        <v/>
      </c>
      <c r="I297" s="34" t="n"/>
      <c r="J297" s="26">
        <f>IF(ISNUMBER(H297),H297-IF(ISNUMBER(I297),I297,30),"")</f>
        <v/>
      </c>
      <c r="K297" s="35">
        <f>IF(H297="","",IF(ISNUMBER(H297),H297-TODAY(),"Check date"))</f>
        <v/>
      </c>
      <c r="L297" s="32">
        <f>IF(K297="","",IF(ISNUMBER(K297),IF(K297&lt;0,"Overdue",IF(K297&lt;=30,"Due ≤30 days",IF(K297&lt;=90,"Due ≤90 days","OK"))),"Check date"))</f>
        <v/>
      </c>
      <c r="M297" s="27" t="n"/>
      <c r="N297" s="27" t="n"/>
      <c r="O297" s="27" t="n"/>
      <c r="P297" s="27" t="n"/>
      <c r="Q297" s="27" t="n"/>
      <c r="R297" s="27" t="n"/>
    </row>
    <row r="298">
      <c r="A298" s="27" t="n"/>
      <c r="B298" s="27" t="n"/>
      <c r="C298" s="27" t="n"/>
      <c r="D298" s="34" t="n"/>
      <c r="E298" s="27" t="n"/>
      <c r="F298" s="27" t="n"/>
      <c r="G298" s="28" t="n"/>
      <c r="H298" s="26">
        <f>IF(AND(ISNUMBER(G298),ISNUMBER(D298)),IF(E298="Weeks",G298+7*D298,EDATE(G298,IF(E298="Years",12,1)*D298)),"")</f>
        <v/>
      </c>
      <c r="I298" s="34" t="n"/>
      <c r="J298" s="26">
        <f>IF(ISNUMBER(H298),H298-IF(ISNUMBER(I298),I298,30),"")</f>
        <v/>
      </c>
      <c r="K298" s="35">
        <f>IF(H298="","",IF(ISNUMBER(H298),H298-TODAY(),"Check date"))</f>
        <v/>
      </c>
      <c r="L298" s="32">
        <f>IF(K298="","",IF(ISNUMBER(K298),IF(K298&lt;0,"Overdue",IF(K298&lt;=30,"Due ≤30 days",IF(K298&lt;=90,"Due ≤90 days","OK"))),"Check date"))</f>
        <v/>
      </c>
      <c r="M298" s="27" t="n"/>
      <c r="N298" s="27" t="n"/>
      <c r="O298" s="27" t="n"/>
      <c r="P298" s="27" t="n"/>
      <c r="Q298" s="27" t="n"/>
      <c r="R298" s="27" t="n"/>
    </row>
    <row r="299">
      <c r="A299" s="27" t="n"/>
      <c r="B299" s="27" t="n"/>
      <c r="C299" s="27" t="n"/>
      <c r="D299" s="34" t="n"/>
      <c r="E299" s="27" t="n"/>
      <c r="F299" s="27" t="n"/>
      <c r="G299" s="28" t="n"/>
      <c r="H299" s="26">
        <f>IF(AND(ISNUMBER(G299),ISNUMBER(D299)),IF(E299="Weeks",G299+7*D299,EDATE(G299,IF(E299="Years",12,1)*D299)),"")</f>
        <v/>
      </c>
      <c r="I299" s="34" t="n"/>
      <c r="J299" s="26">
        <f>IF(ISNUMBER(H299),H299-IF(ISNUMBER(I299),I299,30),"")</f>
        <v/>
      </c>
      <c r="K299" s="35">
        <f>IF(H299="","",IF(ISNUMBER(H299),H299-TODAY(),"Check date"))</f>
        <v/>
      </c>
      <c r="L299" s="32">
        <f>IF(K299="","",IF(ISNUMBER(K299),IF(K299&lt;0,"Overdue",IF(K299&lt;=30,"Due ≤30 days",IF(K299&lt;=90,"Due ≤90 days","OK"))),"Check date"))</f>
        <v/>
      </c>
      <c r="M299" s="27" t="n"/>
      <c r="N299" s="27" t="n"/>
      <c r="O299" s="27" t="n"/>
      <c r="P299" s="27" t="n"/>
      <c r="Q299" s="27" t="n"/>
      <c r="R299" s="27" t="n"/>
    </row>
    <row r="300">
      <c r="A300" s="27" t="n"/>
      <c r="B300" s="27" t="n"/>
      <c r="C300" s="27" t="n"/>
      <c r="D300" s="34" t="n"/>
      <c r="E300" s="27" t="n"/>
      <c r="F300" s="27" t="n"/>
      <c r="G300" s="28" t="n"/>
      <c r="H300" s="26">
        <f>IF(AND(ISNUMBER(G300),ISNUMBER(D300)),IF(E300="Weeks",G300+7*D300,EDATE(G300,IF(E300="Years",12,1)*D300)),"")</f>
        <v/>
      </c>
      <c r="I300" s="34" t="n"/>
      <c r="J300" s="26">
        <f>IF(ISNUMBER(H300),H300-IF(ISNUMBER(I300),I300,30),"")</f>
        <v/>
      </c>
      <c r="K300" s="35">
        <f>IF(H300="","",IF(ISNUMBER(H300),H300-TODAY(),"Check date"))</f>
        <v/>
      </c>
      <c r="L300" s="32">
        <f>IF(K300="","",IF(ISNUMBER(K300),IF(K300&lt;0,"Overdue",IF(K300&lt;=30,"Due ≤30 days",IF(K300&lt;=90,"Due ≤90 days","OK"))),"Check date"))</f>
        <v/>
      </c>
      <c r="M300" s="27" t="n"/>
      <c r="N300" s="27" t="n"/>
      <c r="O300" s="27" t="n"/>
      <c r="P300" s="27" t="n"/>
      <c r="Q300" s="27" t="n"/>
      <c r="R300" s="27" t="n"/>
    </row>
    <row r="301">
      <c r="A301" s="27" t="n"/>
      <c r="B301" s="27" t="n"/>
      <c r="C301" s="27" t="n"/>
      <c r="D301" s="34" t="n"/>
      <c r="E301" s="27" t="n"/>
      <c r="F301" s="27" t="n"/>
      <c r="G301" s="28" t="n"/>
      <c r="H301" s="26">
        <f>IF(AND(ISNUMBER(G301),ISNUMBER(D301)),IF(E301="Weeks",G301+7*D301,EDATE(G301,IF(E301="Years",12,1)*D301)),"")</f>
        <v/>
      </c>
      <c r="I301" s="34" t="n"/>
      <c r="J301" s="26">
        <f>IF(ISNUMBER(H301),H301-IF(ISNUMBER(I301),I301,30),"")</f>
        <v/>
      </c>
      <c r="K301" s="35">
        <f>IF(H301="","",IF(ISNUMBER(H301),H301-TODAY(),"Check date"))</f>
        <v/>
      </c>
      <c r="L301" s="32">
        <f>IF(K301="","",IF(ISNUMBER(K301),IF(K301&lt;0,"Overdue",IF(K301&lt;=30,"Due ≤30 days",IF(K301&lt;=90,"Due ≤90 days","OK"))),"Check date"))</f>
        <v/>
      </c>
      <c r="M301" s="27" t="n"/>
      <c r="N301" s="27" t="n"/>
      <c r="O301" s="27" t="n"/>
      <c r="P301" s="27" t="n"/>
      <c r="Q301" s="27" t="n"/>
      <c r="R301" s="27" t="n"/>
    </row>
    <row r="302">
      <c r="A302" s="27" t="n"/>
      <c r="B302" s="27" t="n"/>
      <c r="C302" s="27" t="n"/>
      <c r="D302" s="34" t="n"/>
      <c r="E302" s="27" t="n"/>
      <c r="F302" s="27" t="n"/>
      <c r="G302" s="28" t="n"/>
      <c r="H302" s="26">
        <f>IF(AND(ISNUMBER(G302),ISNUMBER(D302)),IF(E302="Weeks",G302+7*D302,EDATE(G302,IF(E302="Years",12,1)*D302)),"")</f>
        <v/>
      </c>
      <c r="I302" s="34" t="n"/>
      <c r="J302" s="26">
        <f>IF(ISNUMBER(H302),H302-IF(ISNUMBER(I302),I302,30),"")</f>
        <v/>
      </c>
      <c r="K302" s="35">
        <f>IF(H302="","",IF(ISNUMBER(H302),H302-TODAY(),"Check date"))</f>
        <v/>
      </c>
      <c r="L302" s="32">
        <f>IF(K302="","",IF(ISNUMBER(K302),IF(K302&lt;0,"Overdue",IF(K302&lt;=30,"Due ≤30 days",IF(K302&lt;=90,"Due ≤90 days","OK"))),"Check date"))</f>
        <v/>
      </c>
      <c r="M302" s="27" t="n"/>
      <c r="N302" s="27" t="n"/>
      <c r="O302" s="27" t="n"/>
      <c r="P302" s="27" t="n"/>
      <c r="Q302" s="27" t="n"/>
      <c r="R302" s="27" t="n"/>
    </row>
    <row r="303">
      <c r="A303" s="27" t="n"/>
      <c r="B303" s="27" t="n"/>
      <c r="C303" s="27" t="n"/>
      <c r="D303" s="34" t="n"/>
      <c r="E303" s="27" t="n"/>
      <c r="F303" s="27" t="n"/>
      <c r="G303" s="28" t="n"/>
      <c r="H303" s="26">
        <f>IF(AND(ISNUMBER(G303),ISNUMBER(D303)),IF(E303="Weeks",G303+7*D303,EDATE(G303,IF(E303="Years",12,1)*D303)),"")</f>
        <v/>
      </c>
      <c r="I303" s="34" t="n"/>
      <c r="J303" s="26">
        <f>IF(ISNUMBER(H303),H303-IF(ISNUMBER(I303),I303,30),"")</f>
        <v/>
      </c>
      <c r="K303" s="35">
        <f>IF(H303="","",IF(ISNUMBER(H303),H303-TODAY(),"Check date"))</f>
        <v/>
      </c>
      <c r="L303" s="32">
        <f>IF(K303="","",IF(ISNUMBER(K303),IF(K303&lt;0,"Overdue",IF(K303&lt;=30,"Due ≤30 days",IF(K303&lt;=90,"Due ≤90 days","OK"))),"Check date"))</f>
        <v/>
      </c>
      <c r="M303" s="27" t="n"/>
      <c r="N303" s="27" t="n"/>
      <c r="O303" s="27" t="n"/>
      <c r="P303" s="27" t="n"/>
      <c r="Q303" s="27" t="n"/>
      <c r="R303" s="27" t="n"/>
    </row>
    <row r="304">
      <c r="A304" s="27" t="n"/>
      <c r="B304" s="27" t="n"/>
      <c r="C304" s="27" t="n"/>
      <c r="D304" s="34" t="n"/>
      <c r="E304" s="27" t="n"/>
      <c r="F304" s="27" t="n"/>
      <c r="G304" s="28" t="n"/>
      <c r="H304" s="26">
        <f>IF(AND(ISNUMBER(G304),ISNUMBER(D304)),IF(E304="Weeks",G304+7*D304,EDATE(G304,IF(E304="Years",12,1)*D304)),"")</f>
        <v/>
      </c>
      <c r="I304" s="34" t="n"/>
      <c r="J304" s="26">
        <f>IF(ISNUMBER(H304),H304-IF(ISNUMBER(I304),I304,30),"")</f>
        <v/>
      </c>
      <c r="K304" s="35">
        <f>IF(H304="","",IF(ISNUMBER(H304),H304-TODAY(),"Check date"))</f>
        <v/>
      </c>
      <c r="L304" s="32">
        <f>IF(K304="","",IF(ISNUMBER(K304),IF(K304&lt;0,"Overdue",IF(K304&lt;=30,"Due ≤30 days",IF(K304&lt;=90,"Due ≤90 days","OK"))),"Check date"))</f>
        <v/>
      </c>
      <c r="M304" s="27" t="n"/>
      <c r="N304" s="27" t="n"/>
      <c r="O304" s="27" t="n"/>
      <c r="P304" s="27" t="n"/>
      <c r="Q304" s="27" t="n"/>
      <c r="R304" s="27" t="n"/>
    </row>
    <row r="305">
      <c r="A305" s="27" t="n"/>
      <c r="B305" s="27" t="n"/>
      <c r="C305" s="27" t="n"/>
      <c r="D305" s="34" t="n"/>
      <c r="E305" s="27" t="n"/>
      <c r="F305" s="27" t="n"/>
      <c r="G305" s="28" t="n"/>
      <c r="H305" s="26">
        <f>IF(AND(ISNUMBER(G305),ISNUMBER(D305)),IF(E305="Weeks",G305+7*D305,EDATE(G305,IF(E305="Years",12,1)*D305)),"")</f>
        <v/>
      </c>
      <c r="I305" s="34" t="n"/>
      <c r="J305" s="26">
        <f>IF(ISNUMBER(H305),H305-IF(ISNUMBER(I305),I305,30),"")</f>
        <v/>
      </c>
      <c r="K305" s="35">
        <f>IF(H305="","",IF(ISNUMBER(H305),H305-TODAY(),"Check date"))</f>
        <v/>
      </c>
      <c r="L305" s="32">
        <f>IF(K305="","",IF(ISNUMBER(K305),IF(K305&lt;0,"Overdue",IF(K305&lt;=30,"Due ≤30 days",IF(K305&lt;=90,"Due ≤90 days","OK"))),"Check date"))</f>
        <v/>
      </c>
      <c r="M305" s="27" t="n"/>
      <c r="N305" s="27" t="n"/>
      <c r="O305" s="27" t="n"/>
      <c r="P305" s="27" t="n"/>
      <c r="Q305" s="27" t="n"/>
      <c r="R305" s="27" t="n"/>
    </row>
    <row r="306">
      <c r="A306" s="27" t="n"/>
      <c r="B306" s="27" t="n"/>
      <c r="C306" s="27" t="n"/>
      <c r="D306" s="34" t="n"/>
      <c r="E306" s="27" t="n"/>
      <c r="F306" s="27" t="n"/>
      <c r="G306" s="28" t="n"/>
      <c r="H306" s="26">
        <f>IF(AND(ISNUMBER(G306),ISNUMBER(D306)),IF(E306="Weeks",G306+7*D306,EDATE(G306,IF(E306="Years",12,1)*D306)),"")</f>
        <v/>
      </c>
      <c r="I306" s="34" t="n"/>
      <c r="J306" s="26">
        <f>IF(ISNUMBER(H306),H306-IF(ISNUMBER(I306),I306,30),"")</f>
        <v/>
      </c>
      <c r="K306" s="35">
        <f>IF(H306="","",IF(ISNUMBER(H306),H306-TODAY(),"Check date"))</f>
        <v/>
      </c>
      <c r="L306" s="32">
        <f>IF(K306="","",IF(ISNUMBER(K306),IF(K306&lt;0,"Overdue",IF(K306&lt;=30,"Due ≤30 days",IF(K306&lt;=90,"Due ≤90 days","OK"))),"Check date"))</f>
        <v/>
      </c>
      <c r="M306" s="27" t="n"/>
      <c r="N306" s="27" t="n"/>
      <c r="O306" s="27" t="n"/>
      <c r="P306" s="27" t="n"/>
      <c r="Q306" s="27" t="n"/>
      <c r="R306" s="27" t="n"/>
    </row>
    <row r="307">
      <c r="A307" s="27" t="n"/>
      <c r="B307" s="27" t="n"/>
      <c r="C307" s="27" t="n"/>
      <c r="D307" s="34" t="n"/>
      <c r="E307" s="27" t="n"/>
      <c r="F307" s="27" t="n"/>
      <c r="G307" s="28" t="n"/>
      <c r="H307" s="26">
        <f>IF(AND(ISNUMBER(G307),ISNUMBER(D307)),IF(E307="Weeks",G307+7*D307,EDATE(G307,IF(E307="Years",12,1)*D307)),"")</f>
        <v/>
      </c>
      <c r="I307" s="34" t="n"/>
      <c r="J307" s="26">
        <f>IF(ISNUMBER(H307),H307-IF(ISNUMBER(I307),I307,30),"")</f>
        <v/>
      </c>
      <c r="K307" s="35">
        <f>IF(H307="","",IF(ISNUMBER(H307),H307-TODAY(),"Check date"))</f>
        <v/>
      </c>
      <c r="L307" s="32">
        <f>IF(K307="","",IF(ISNUMBER(K307),IF(K307&lt;0,"Overdue",IF(K307&lt;=30,"Due ≤30 days",IF(K307&lt;=90,"Due ≤90 days","OK"))),"Check date"))</f>
        <v/>
      </c>
      <c r="M307" s="27" t="n"/>
      <c r="N307" s="27" t="n"/>
      <c r="O307" s="27" t="n"/>
      <c r="P307" s="27" t="n"/>
      <c r="Q307" s="27" t="n"/>
      <c r="R307" s="27" t="n"/>
    </row>
    <row r="308">
      <c r="A308" s="27" t="n"/>
      <c r="B308" s="27" t="n"/>
      <c r="C308" s="27" t="n"/>
      <c r="D308" s="34" t="n"/>
      <c r="E308" s="27" t="n"/>
      <c r="F308" s="27" t="n"/>
      <c r="G308" s="28" t="n"/>
      <c r="H308" s="26">
        <f>IF(AND(ISNUMBER(G308),ISNUMBER(D308)),IF(E308="Weeks",G308+7*D308,EDATE(G308,IF(E308="Years",12,1)*D308)),"")</f>
        <v/>
      </c>
      <c r="I308" s="34" t="n"/>
      <c r="J308" s="26">
        <f>IF(ISNUMBER(H308),H308-IF(ISNUMBER(I308),I308,30),"")</f>
        <v/>
      </c>
      <c r="K308" s="35">
        <f>IF(H308="","",IF(ISNUMBER(H308),H308-TODAY(),"Check date"))</f>
        <v/>
      </c>
      <c r="L308" s="32">
        <f>IF(K308="","",IF(ISNUMBER(K308),IF(K308&lt;0,"Overdue",IF(K308&lt;=30,"Due ≤30 days",IF(K308&lt;=90,"Due ≤90 days","OK"))),"Check date"))</f>
        <v/>
      </c>
      <c r="M308" s="27" t="n"/>
      <c r="N308" s="27" t="n"/>
      <c r="O308" s="27" t="n"/>
      <c r="P308" s="27" t="n"/>
      <c r="Q308" s="27" t="n"/>
      <c r="R308" s="27" t="n"/>
    </row>
    <row r="309">
      <c r="A309" s="27" t="n"/>
      <c r="B309" s="27" t="n"/>
      <c r="C309" s="27" t="n"/>
      <c r="D309" s="34" t="n"/>
      <c r="E309" s="27" t="n"/>
      <c r="F309" s="27" t="n"/>
      <c r="G309" s="28" t="n"/>
      <c r="H309" s="26">
        <f>IF(AND(ISNUMBER(G309),ISNUMBER(D309)),IF(E309="Weeks",G309+7*D309,EDATE(G309,IF(E309="Years",12,1)*D309)),"")</f>
        <v/>
      </c>
      <c r="I309" s="34" t="n"/>
      <c r="J309" s="26">
        <f>IF(ISNUMBER(H309),H309-IF(ISNUMBER(I309),I309,30),"")</f>
        <v/>
      </c>
      <c r="K309" s="35">
        <f>IF(H309="","",IF(ISNUMBER(H309),H309-TODAY(),"Check date"))</f>
        <v/>
      </c>
      <c r="L309" s="32">
        <f>IF(K309="","",IF(ISNUMBER(K309),IF(K309&lt;0,"Overdue",IF(K309&lt;=30,"Due ≤30 days",IF(K309&lt;=90,"Due ≤90 days","OK"))),"Check date"))</f>
        <v/>
      </c>
      <c r="M309" s="27" t="n"/>
      <c r="N309" s="27" t="n"/>
      <c r="O309" s="27" t="n"/>
      <c r="P309" s="27" t="n"/>
      <c r="Q309" s="27" t="n"/>
      <c r="R309" s="27" t="n"/>
    </row>
    <row r="310">
      <c r="A310" s="27" t="n"/>
      <c r="B310" s="27" t="n"/>
      <c r="C310" s="27" t="n"/>
      <c r="D310" s="34" t="n"/>
      <c r="E310" s="27" t="n"/>
      <c r="F310" s="27" t="n"/>
      <c r="G310" s="28" t="n"/>
      <c r="H310" s="26">
        <f>IF(AND(ISNUMBER(G310),ISNUMBER(D310)),IF(E310="Weeks",G310+7*D310,EDATE(G310,IF(E310="Years",12,1)*D310)),"")</f>
        <v/>
      </c>
      <c r="I310" s="34" t="n"/>
      <c r="J310" s="26">
        <f>IF(ISNUMBER(H310),H310-IF(ISNUMBER(I310),I310,30),"")</f>
        <v/>
      </c>
      <c r="K310" s="35">
        <f>IF(H310="","",IF(ISNUMBER(H310),H310-TODAY(),"Check date"))</f>
        <v/>
      </c>
      <c r="L310" s="32">
        <f>IF(K310="","",IF(ISNUMBER(K310),IF(K310&lt;0,"Overdue",IF(K310&lt;=30,"Due ≤30 days",IF(K310&lt;=90,"Due ≤90 days","OK"))),"Check date"))</f>
        <v/>
      </c>
      <c r="M310" s="27" t="n"/>
      <c r="N310" s="27" t="n"/>
      <c r="O310" s="27" t="n"/>
      <c r="P310" s="27" t="n"/>
      <c r="Q310" s="27" t="n"/>
      <c r="R310" s="27" t="n"/>
    </row>
    <row r="311">
      <c r="A311" s="27" t="n"/>
      <c r="B311" s="27" t="n"/>
      <c r="C311" s="27" t="n"/>
      <c r="D311" s="34" t="n"/>
      <c r="E311" s="27" t="n"/>
      <c r="F311" s="27" t="n"/>
      <c r="G311" s="28" t="n"/>
      <c r="H311" s="26">
        <f>IF(AND(ISNUMBER(G311),ISNUMBER(D311)),IF(E311="Weeks",G311+7*D311,EDATE(G311,IF(E311="Years",12,1)*D311)),"")</f>
        <v/>
      </c>
      <c r="I311" s="34" t="n"/>
      <c r="J311" s="26">
        <f>IF(ISNUMBER(H311),H311-IF(ISNUMBER(I311),I311,30),"")</f>
        <v/>
      </c>
      <c r="K311" s="35">
        <f>IF(H311="","",IF(ISNUMBER(H311),H311-TODAY(),"Check date"))</f>
        <v/>
      </c>
      <c r="L311" s="32">
        <f>IF(K311="","",IF(ISNUMBER(K311),IF(K311&lt;0,"Overdue",IF(K311&lt;=30,"Due ≤30 days",IF(K311&lt;=90,"Due ≤90 days","OK"))),"Check date"))</f>
        <v/>
      </c>
      <c r="M311" s="27" t="n"/>
      <c r="N311" s="27" t="n"/>
      <c r="O311" s="27" t="n"/>
      <c r="P311" s="27" t="n"/>
      <c r="Q311" s="27" t="n"/>
      <c r="R311" s="27" t="n"/>
    </row>
    <row r="312">
      <c r="A312" s="27" t="n"/>
      <c r="B312" s="27" t="n"/>
      <c r="C312" s="27" t="n"/>
      <c r="D312" s="34" t="n"/>
      <c r="E312" s="27" t="n"/>
      <c r="F312" s="27" t="n"/>
      <c r="G312" s="28" t="n"/>
      <c r="H312" s="26">
        <f>IF(AND(ISNUMBER(G312),ISNUMBER(D312)),IF(E312="Weeks",G312+7*D312,EDATE(G312,IF(E312="Years",12,1)*D312)),"")</f>
        <v/>
      </c>
      <c r="I312" s="34" t="n"/>
      <c r="J312" s="26">
        <f>IF(ISNUMBER(H312),H312-IF(ISNUMBER(I312),I312,30),"")</f>
        <v/>
      </c>
      <c r="K312" s="35">
        <f>IF(H312="","",IF(ISNUMBER(H312),H312-TODAY(),"Check date"))</f>
        <v/>
      </c>
      <c r="L312" s="32">
        <f>IF(K312="","",IF(ISNUMBER(K312),IF(K312&lt;0,"Overdue",IF(K312&lt;=30,"Due ≤30 days",IF(K312&lt;=90,"Due ≤90 days","OK"))),"Check date"))</f>
        <v/>
      </c>
      <c r="M312" s="27" t="n"/>
      <c r="N312" s="27" t="n"/>
      <c r="O312" s="27" t="n"/>
      <c r="P312" s="27" t="n"/>
      <c r="Q312" s="27" t="n"/>
      <c r="R312" s="27" t="n"/>
    </row>
    <row r="313">
      <c r="A313" s="27" t="n"/>
      <c r="B313" s="27" t="n"/>
      <c r="C313" s="27" t="n"/>
      <c r="D313" s="34" t="n"/>
      <c r="E313" s="27" t="n"/>
      <c r="F313" s="27" t="n"/>
      <c r="G313" s="28" t="n"/>
      <c r="H313" s="26">
        <f>IF(AND(ISNUMBER(G313),ISNUMBER(D313)),IF(E313="Weeks",G313+7*D313,EDATE(G313,IF(E313="Years",12,1)*D313)),"")</f>
        <v/>
      </c>
      <c r="I313" s="34" t="n"/>
      <c r="J313" s="26">
        <f>IF(ISNUMBER(H313),H313-IF(ISNUMBER(I313),I313,30),"")</f>
        <v/>
      </c>
      <c r="K313" s="35">
        <f>IF(H313="","",IF(ISNUMBER(H313),H313-TODAY(),"Check date"))</f>
        <v/>
      </c>
      <c r="L313" s="32">
        <f>IF(K313="","",IF(ISNUMBER(K313),IF(K313&lt;0,"Overdue",IF(K313&lt;=30,"Due ≤30 days",IF(K313&lt;=90,"Due ≤90 days","OK"))),"Check date"))</f>
        <v/>
      </c>
      <c r="M313" s="27" t="n"/>
      <c r="N313" s="27" t="n"/>
      <c r="O313" s="27" t="n"/>
      <c r="P313" s="27" t="n"/>
      <c r="Q313" s="27" t="n"/>
      <c r="R313" s="27" t="n"/>
    </row>
    <row r="314">
      <c r="A314" s="27" t="n"/>
      <c r="B314" s="27" t="n"/>
      <c r="C314" s="27" t="n"/>
      <c r="D314" s="34" t="n"/>
      <c r="E314" s="27" t="n"/>
      <c r="F314" s="27" t="n"/>
      <c r="G314" s="28" t="n"/>
      <c r="H314" s="26">
        <f>IF(AND(ISNUMBER(G314),ISNUMBER(D314)),IF(E314="Weeks",G314+7*D314,EDATE(G314,IF(E314="Years",12,1)*D314)),"")</f>
        <v/>
      </c>
      <c r="I314" s="34" t="n"/>
      <c r="J314" s="26">
        <f>IF(ISNUMBER(H314),H314-IF(ISNUMBER(I314),I314,30),"")</f>
        <v/>
      </c>
      <c r="K314" s="35">
        <f>IF(H314="","",IF(ISNUMBER(H314),H314-TODAY(),"Check date"))</f>
        <v/>
      </c>
      <c r="L314" s="32">
        <f>IF(K314="","",IF(ISNUMBER(K314),IF(K314&lt;0,"Overdue",IF(K314&lt;=30,"Due ≤30 days",IF(K314&lt;=90,"Due ≤90 days","OK"))),"Check date"))</f>
        <v/>
      </c>
      <c r="M314" s="27" t="n"/>
      <c r="N314" s="27" t="n"/>
      <c r="O314" s="27" t="n"/>
      <c r="P314" s="27" t="n"/>
      <c r="Q314" s="27" t="n"/>
      <c r="R314" s="27" t="n"/>
    </row>
    <row r="315">
      <c r="A315" s="27" t="n"/>
      <c r="B315" s="27" t="n"/>
      <c r="C315" s="27" t="n"/>
      <c r="D315" s="34" t="n"/>
      <c r="E315" s="27" t="n"/>
      <c r="F315" s="27" t="n"/>
      <c r="G315" s="28" t="n"/>
      <c r="H315" s="26">
        <f>IF(AND(ISNUMBER(G315),ISNUMBER(D315)),IF(E315="Weeks",G315+7*D315,EDATE(G315,IF(E315="Years",12,1)*D315)),"")</f>
        <v/>
      </c>
      <c r="I315" s="34" t="n"/>
      <c r="J315" s="26">
        <f>IF(ISNUMBER(H315),H315-IF(ISNUMBER(I315),I315,30),"")</f>
        <v/>
      </c>
      <c r="K315" s="35">
        <f>IF(H315="","",IF(ISNUMBER(H315),H315-TODAY(),"Check date"))</f>
        <v/>
      </c>
      <c r="L315" s="32">
        <f>IF(K315="","",IF(ISNUMBER(K315),IF(K315&lt;0,"Overdue",IF(K315&lt;=30,"Due ≤30 days",IF(K315&lt;=90,"Due ≤90 days","OK"))),"Check date"))</f>
        <v/>
      </c>
      <c r="M315" s="27" t="n"/>
      <c r="N315" s="27" t="n"/>
      <c r="O315" s="27" t="n"/>
      <c r="P315" s="27" t="n"/>
      <c r="Q315" s="27" t="n"/>
      <c r="R315" s="27" t="n"/>
    </row>
    <row r="316">
      <c r="A316" s="27" t="n"/>
      <c r="B316" s="27" t="n"/>
      <c r="C316" s="27" t="n"/>
      <c r="D316" s="34" t="n"/>
      <c r="E316" s="27" t="n"/>
      <c r="F316" s="27" t="n"/>
      <c r="G316" s="28" t="n"/>
      <c r="H316" s="26">
        <f>IF(AND(ISNUMBER(G316),ISNUMBER(D316)),IF(E316="Weeks",G316+7*D316,EDATE(G316,IF(E316="Years",12,1)*D316)),"")</f>
        <v/>
      </c>
      <c r="I316" s="34" t="n"/>
      <c r="J316" s="26">
        <f>IF(ISNUMBER(H316),H316-IF(ISNUMBER(I316),I316,30),"")</f>
        <v/>
      </c>
      <c r="K316" s="35">
        <f>IF(H316="","",IF(ISNUMBER(H316),H316-TODAY(),"Check date"))</f>
        <v/>
      </c>
      <c r="L316" s="32">
        <f>IF(K316="","",IF(ISNUMBER(K316),IF(K316&lt;0,"Overdue",IF(K316&lt;=30,"Due ≤30 days",IF(K316&lt;=90,"Due ≤90 days","OK"))),"Check date"))</f>
        <v/>
      </c>
      <c r="M316" s="27" t="n"/>
      <c r="N316" s="27" t="n"/>
      <c r="O316" s="27" t="n"/>
      <c r="P316" s="27" t="n"/>
      <c r="Q316" s="27" t="n"/>
      <c r="R316" s="27" t="n"/>
    </row>
    <row r="317">
      <c r="A317" s="27" t="n"/>
      <c r="B317" s="27" t="n"/>
      <c r="C317" s="27" t="n"/>
      <c r="D317" s="34" t="n"/>
      <c r="E317" s="27" t="n"/>
      <c r="F317" s="27" t="n"/>
      <c r="G317" s="28" t="n"/>
      <c r="H317" s="26">
        <f>IF(AND(ISNUMBER(G317),ISNUMBER(D317)),IF(E317="Weeks",G317+7*D317,EDATE(G317,IF(E317="Years",12,1)*D317)),"")</f>
        <v/>
      </c>
      <c r="I317" s="34" t="n"/>
      <c r="J317" s="26">
        <f>IF(ISNUMBER(H317),H317-IF(ISNUMBER(I317),I317,30),"")</f>
        <v/>
      </c>
      <c r="K317" s="35">
        <f>IF(H317="","",IF(ISNUMBER(H317),H317-TODAY(),"Check date"))</f>
        <v/>
      </c>
      <c r="L317" s="32">
        <f>IF(K317="","",IF(ISNUMBER(K317),IF(K317&lt;0,"Overdue",IF(K317&lt;=30,"Due ≤30 days",IF(K317&lt;=90,"Due ≤90 days","OK"))),"Check date"))</f>
        <v/>
      </c>
      <c r="M317" s="27" t="n"/>
      <c r="N317" s="27" t="n"/>
      <c r="O317" s="27" t="n"/>
      <c r="P317" s="27" t="n"/>
      <c r="Q317" s="27" t="n"/>
      <c r="R317" s="27" t="n"/>
    </row>
    <row r="318">
      <c r="A318" s="27" t="n"/>
      <c r="B318" s="27" t="n"/>
      <c r="C318" s="27" t="n"/>
      <c r="D318" s="34" t="n"/>
      <c r="E318" s="27" t="n"/>
      <c r="F318" s="27" t="n"/>
      <c r="G318" s="28" t="n"/>
      <c r="H318" s="26">
        <f>IF(AND(ISNUMBER(G318),ISNUMBER(D318)),IF(E318="Weeks",G318+7*D318,EDATE(G318,IF(E318="Years",12,1)*D318)),"")</f>
        <v/>
      </c>
      <c r="I318" s="34" t="n"/>
      <c r="J318" s="26">
        <f>IF(ISNUMBER(H318),H318-IF(ISNUMBER(I318),I318,30),"")</f>
        <v/>
      </c>
      <c r="K318" s="35">
        <f>IF(H318="","",IF(ISNUMBER(H318),H318-TODAY(),"Check date"))</f>
        <v/>
      </c>
      <c r="L318" s="32">
        <f>IF(K318="","",IF(ISNUMBER(K318),IF(K318&lt;0,"Overdue",IF(K318&lt;=30,"Due ≤30 days",IF(K318&lt;=90,"Due ≤90 days","OK"))),"Check date"))</f>
        <v/>
      </c>
      <c r="M318" s="27" t="n"/>
      <c r="N318" s="27" t="n"/>
      <c r="O318" s="27" t="n"/>
      <c r="P318" s="27" t="n"/>
      <c r="Q318" s="27" t="n"/>
      <c r="R318" s="27" t="n"/>
    </row>
    <row r="319">
      <c r="A319" s="27" t="n"/>
      <c r="B319" s="27" t="n"/>
      <c r="C319" s="27" t="n"/>
      <c r="D319" s="34" t="n"/>
      <c r="E319" s="27" t="n"/>
      <c r="F319" s="27" t="n"/>
      <c r="G319" s="28" t="n"/>
      <c r="H319" s="26">
        <f>IF(AND(ISNUMBER(G319),ISNUMBER(D319)),IF(E319="Weeks",G319+7*D319,EDATE(G319,IF(E319="Years",12,1)*D319)),"")</f>
        <v/>
      </c>
      <c r="I319" s="34" t="n"/>
      <c r="J319" s="26">
        <f>IF(ISNUMBER(H319),H319-IF(ISNUMBER(I319),I319,30),"")</f>
        <v/>
      </c>
      <c r="K319" s="35">
        <f>IF(H319="","",IF(ISNUMBER(H319),H319-TODAY(),"Check date"))</f>
        <v/>
      </c>
      <c r="L319" s="32">
        <f>IF(K319="","",IF(ISNUMBER(K319),IF(K319&lt;0,"Overdue",IF(K319&lt;=30,"Due ≤30 days",IF(K319&lt;=90,"Due ≤90 days","OK"))),"Check date"))</f>
        <v/>
      </c>
      <c r="M319" s="27" t="n"/>
      <c r="N319" s="27" t="n"/>
      <c r="O319" s="27" t="n"/>
      <c r="P319" s="27" t="n"/>
      <c r="Q319" s="27" t="n"/>
      <c r="R319" s="27" t="n"/>
    </row>
    <row r="320">
      <c r="A320" s="27" t="n"/>
      <c r="B320" s="27" t="n"/>
      <c r="C320" s="27" t="n"/>
      <c r="D320" s="34" t="n"/>
      <c r="E320" s="27" t="n"/>
      <c r="F320" s="27" t="n"/>
      <c r="G320" s="28" t="n"/>
      <c r="H320" s="26">
        <f>IF(AND(ISNUMBER(G320),ISNUMBER(D320)),IF(E320="Weeks",G320+7*D320,EDATE(G320,IF(E320="Years",12,1)*D320)),"")</f>
        <v/>
      </c>
      <c r="I320" s="34" t="n"/>
      <c r="J320" s="26">
        <f>IF(ISNUMBER(H320),H320-IF(ISNUMBER(I320),I320,30),"")</f>
        <v/>
      </c>
      <c r="K320" s="35">
        <f>IF(H320="","",IF(ISNUMBER(H320),H320-TODAY(),"Check date"))</f>
        <v/>
      </c>
      <c r="L320" s="32">
        <f>IF(K320="","",IF(ISNUMBER(K320),IF(K320&lt;0,"Overdue",IF(K320&lt;=30,"Due ≤30 days",IF(K320&lt;=90,"Due ≤90 days","OK"))),"Check date"))</f>
        <v/>
      </c>
      <c r="M320" s="27" t="n"/>
      <c r="N320" s="27" t="n"/>
      <c r="O320" s="27" t="n"/>
      <c r="P320" s="27" t="n"/>
      <c r="Q320" s="27" t="n"/>
      <c r="R320" s="27" t="n"/>
    </row>
    <row r="321">
      <c r="A321" s="27" t="n"/>
      <c r="B321" s="27" t="n"/>
      <c r="C321" s="27" t="n"/>
      <c r="D321" s="34" t="n"/>
      <c r="E321" s="27" t="n"/>
      <c r="F321" s="27" t="n"/>
      <c r="G321" s="28" t="n"/>
      <c r="H321" s="26">
        <f>IF(AND(ISNUMBER(G321),ISNUMBER(D321)),IF(E321="Weeks",G321+7*D321,EDATE(G321,IF(E321="Years",12,1)*D321)),"")</f>
        <v/>
      </c>
      <c r="I321" s="34" t="n"/>
      <c r="J321" s="26">
        <f>IF(ISNUMBER(H321),H321-IF(ISNUMBER(I321),I321,30),"")</f>
        <v/>
      </c>
      <c r="K321" s="35">
        <f>IF(H321="","",IF(ISNUMBER(H321),H321-TODAY(),"Check date"))</f>
        <v/>
      </c>
      <c r="L321" s="32">
        <f>IF(K321="","",IF(ISNUMBER(K321),IF(K321&lt;0,"Overdue",IF(K321&lt;=30,"Due ≤30 days",IF(K321&lt;=90,"Due ≤90 days","OK"))),"Check date"))</f>
        <v/>
      </c>
      <c r="M321" s="27" t="n"/>
      <c r="N321" s="27" t="n"/>
      <c r="O321" s="27" t="n"/>
      <c r="P321" s="27" t="n"/>
      <c r="Q321" s="27" t="n"/>
      <c r="R321" s="27" t="n"/>
    </row>
    <row r="322">
      <c r="A322" s="27" t="n"/>
      <c r="B322" s="27" t="n"/>
      <c r="C322" s="27" t="n"/>
      <c r="D322" s="34" t="n"/>
      <c r="E322" s="27" t="n"/>
      <c r="F322" s="27" t="n"/>
      <c r="G322" s="28" t="n"/>
      <c r="H322" s="26">
        <f>IF(AND(ISNUMBER(G322),ISNUMBER(D322)),IF(E322="Weeks",G322+7*D322,EDATE(G322,IF(E322="Years",12,1)*D322)),"")</f>
        <v/>
      </c>
      <c r="I322" s="34" t="n"/>
      <c r="J322" s="26">
        <f>IF(ISNUMBER(H322),H322-IF(ISNUMBER(I322),I322,30),"")</f>
        <v/>
      </c>
      <c r="K322" s="35">
        <f>IF(H322="","",IF(ISNUMBER(H322),H322-TODAY(),"Check date"))</f>
        <v/>
      </c>
      <c r="L322" s="32">
        <f>IF(K322="","",IF(ISNUMBER(K322),IF(K322&lt;0,"Overdue",IF(K322&lt;=30,"Due ≤30 days",IF(K322&lt;=90,"Due ≤90 days","OK"))),"Check date"))</f>
        <v/>
      </c>
      <c r="M322" s="27" t="n"/>
      <c r="N322" s="27" t="n"/>
      <c r="O322" s="27" t="n"/>
      <c r="P322" s="27" t="n"/>
      <c r="Q322" s="27" t="n"/>
      <c r="R322" s="27" t="n"/>
    </row>
    <row r="323">
      <c r="A323" s="27" t="n"/>
      <c r="B323" s="27" t="n"/>
      <c r="C323" s="27" t="n"/>
      <c r="D323" s="34" t="n"/>
      <c r="E323" s="27" t="n"/>
      <c r="F323" s="27" t="n"/>
      <c r="G323" s="28" t="n"/>
      <c r="H323" s="26">
        <f>IF(AND(ISNUMBER(G323),ISNUMBER(D323)),IF(E323="Weeks",G323+7*D323,EDATE(G323,IF(E323="Years",12,1)*D323)),"")</f>
        <v/>
      </c>
      <c r="I323" s="34" t="n"/>
      <c r="J323" s="26">
        <f>IF(ISNUMBER(H323),H323-IF(ISNUMBER(I323),I323,30),"")</f>
        <v/>
      </c>
      <c r="K323" s="35">
        <f>IF(H323="","",IF(ISNUMBER(H323),H323-TODAY(),"Check date"))</f>
        <v/>
      </c>
      <c r="L323" s="32">
        <f>IF(K323="","",IF(ISNUMBER(K323),IF(K323&lt;0,"Overdue",IF(K323&lt;=30,"Due ≤30 days",IF(K323&lt;=90,"Due ≤90 days","OK"))),"Check date"))</f>
        <v/>
      </c>
      <c r="M323" s="27" t="n"/>
      <c r="N323" s="27" t="n"/>
      <c r="O323" s="27" t="n"/>
      <c r="P323" s="27" t="n"/>
      <c r="Q323" s="27" t="n"/>
      <c r="R323" s="27" t="n"/>
    </row>
    <row r="324">
      <c r="A324" s="27" t="n"/>
      <c r="B324" s="27" t="n"/>
      <c r="C324" s="27" t="n"/>
      <c r="D324" s="34" t="n"/>
      <c r="E324" s="27" t="n"/>
      <c r="F324" s="27" t="n"/>
      <c r="G324" s="28" t="n"/>
      <c r="H324" s="26">
        <f>IF(AND(ISNUMBER(G324),ISNUMBER(D324)),IF(E324="Weeks",G324+7*D324,EDATE(G324,IF(E324="Years",12,1)*D324)),"")</f>
        <v/>
      </c>
      <c r="I324" s="34" t="n"/>
      <c r="J324" s="26">
        <f>IF(ISNUMBER(H324),H324-IF(ISNUMBER(I324),I324,30),"")</f>
        <v/>
      </c>
      <c r="K324" s="35">
        <f>IF(H324="","",IF(ISNUMBER(H324),H324-TODAY(),"Check date"))</f>
        <v/>
      </c>
      <c r="L324" s="32">
        <f>IF(K324="","",IF(ISNUMBER(K324),IF(K324&lt;0,"Overdue",IF(K324&lt;=30,"Due ≤30 days",IF(K324&lt;=90,"Due ≤90 days","OK"))),"Check date"))</f>
        <v/>
      </c>
      <c r="M324" s="27" t="n"/>
      <c r="N324" s="27" t="n"/>
      <c r="O324" s="27" t="n"/>
      <c r="P324" s="27" t="n"/>
      <c r="Q324" s="27" t="n"/>
      <c r="R324" s="27" t="n"/>
    </row>
    <row r="325">
      <c r="A325" s="27" t="n"/>
      <c r="B325" s="27" t="n"/>
      <c r="C325" s="27" t="n"/>
      <c r="D325" s="34" t="n"/>
      <c r="E325" s="27" t="n"/>
      <c r="F325" s="27" t="n"/>
      <c r="G325" s="28" t="n"/>
      <c r="H325" s="26">
        <f>IF(AND(ISNUMBER(G325),ISNUMBER(D325)),IF(E325="Weeks",G325+7*D325,EDATE(G325,IF(E325="Years",12,1)*D325)),"")</f>
        <v/>
      </c>
      <c r="I325" s="34" t="n"/>
      <c r="J325" s="26">
        <f>IF(ISNUMBER(H325),H325-IF(ISNUMBER(I325),I325,30),"")</f>
        <v/>
      </c>
      <c r="K325" s="35">
        <f>IF(H325="","",IF(ISNUMBER(H325),H325-TODAY(),"Check date"))</f>
        <v/>
      </c>
      <c r="L325" s="32">
        <f>IF(K325="","",IF(ISNUMBER(K325),IF(K325&lt;0,"Overdue",IF(K325&lt;=30,"Due ≤30 days",IF(K325&lt;=90,"Due ≤90 days","OK"))),"Check date"))</f>
        <v/>
      </c>
      <c r="M325" s="27" t="n"/>
      <c r="N325" s="27" t="n"/>
      <c r="O325" s="27" t="n"/>
      <c r="P325" s="27" t="n"/>
      <c r="Q325" s="27" t="n"/>
      <c r="R325" s="27" t="n"/>
    </row>
    <row r="326">
      <c r="A326" s="27" t="n"/>
      <c r="B326" s="27" t="n"/>
      <c r="C326" s="27" t="n"/>
      <c r="D326" s="34" t="n"/>
      <c r="E326" s="27" t="n"/>
      <c r="F326" s="27" t="n"/>
      <c r="G326" s="28" t="n"/>
      <c r="H326" s="26">
        <f>IF(AND(ISNUMBER(G326),ISNUMBER(D326)),IF(E326="Weeks",G326+7*D326,EDATE(G326,IF(E326="Years",12,1)*D326)),"")</f>
        <v/>
      </c>
      <c r="I326" s="34" t="n"/>
      <c r="J326" s="26">
        <f>IF(ISNUMBER(H326),H326-IF(ISNUMBER(I326),I326,30),"")</f>
        <v/>
      </c>
      <c r="K326" s="35">
        <f>IF(H326="","",IF(ISNUMBER(H326),H326-TODAY(),"Check date"))</f>
        <v/>
      </c>
      <c r="L326" s="32">
        <f>IF(K326="","",IF(ISNUMBER(K326),IF(K326&lt;0,"Overdue",IF(K326&lt;=30,"Due ≤30 days",IF(K326&lt;=90,"Due ≤90 days","OK"))),"Check date"))</f>
        <v/>
      </c>
      <c r="M326" s="27" t="n"/>
      <c r="N326" s="27" t="n"/>
      <c r="O326" s="27" t="n"/>
      <c r="P326" s="27" t="n"/>
      <c r="Q326" s="27" t="n"/>
      <c r="R326" s="27" t="n"/>
    </row>
    <row r="327">
      <c r="A327" s="27" t="n"/>
      <c r="B327" s="27" t="n"/>
      <c r="C327" s="27" t="n"/>
      <c r="D327" s="34" t="n"/>
      <c r="E327" s="27" t="n"/>
      <c r="F327" s="27" t="n"/>
      <c r="G327" s="28" t="n"/>
      <c r="H327" s="26">
        <f>IF(AND(ISNUMBER(G327),ISNUMBER(D327)),IF(E327="Weeks",G327+7*D327,EDATE(G327,IF(E327="Years",12,1)*D327)),"")</f>
        <v/>
      </c>
      <c r="I327" s="34" t="n"/>
      <c r="J327" s="26">
        <f>IF(ISNUMBER(H327),H327-IF(ISNUMBER(I327),I327,30),"")</f>
        <v/>
      </c>
      <c r="K327" s="35">
        <f>IF(H327="","",IF(ISNUMBER(H327),H327-TODAY(),"Check date"))</f>
        <v/>
      </c>
      <c r="L327" s="32">
        <f>IF(K327="","",IF(ISNUMBER(K327),IF(K327&lt;0,"Overdue",IF(K327&lt;=30,"Due ≤30 days",IF(K327&lt;=90,"Due ≤90 days","OK"))),"Check date"))</f>
        <v/>
      </c>
      <c r="M327" s="27" t="n"/>
      <c r="N327" s="27" t="n"/>
      <c r="O327" s="27" t="n"/>
      <c r="P327" s="27" t="n"/>
      <c r="Q327" s="27" t="n"/>
      <c r="R327" s="27" t="n"/>
    </row>
    <row r="328">
      <c r="A328" s="27" t="n"/>
      <c r="B328" s="27" t="n"/>
      <c r="C328" s="27" t="n"/>
      <c r="D328" s="34" t="n"/>
      <c r="E328" s="27" t="n"/>
      <c r="F328" s="27" t="n"/>
      <c r="G328" s="28" t="n"/>
      <c r="H328" s="26">
        <f>IF(AND(ISNUMBER(G328),ISNUMBER(D328)),IF(E328="Weeks",G328+7*D328,EDATE(G328,IF(E328="Years",12,1)*D328)),"")</f>
        <v/>
      </c>
      <c r="I328" s="34" t="n"/>
      <c r="J328" s="26">
        <f>IF(ISNUMBER(H328),H328-IF(ISNUMBER(I328),I328,30),"")</f>
        <v/>
      </c>
      <c r="K328" s="35">
        <f>IF(H328="","",IF(ISNUMBER(H328),H328-TODAY(),"Check date"))</f>
        <v/>
      </c>
      <c r="L328" s="32">
        <f>IF(K328="","",IF(ISNUMBER(K328),IF(K328&lt;0,"Overdue",IF(K328&lt;=30,"Due ≤30 days",IF(K328&lt;=90,"Due ≤90 days","OK"))),"Check date"))</f>
        <v/>
      </c>
      <c r="M328" s="27" t="n"/>
      <c r="N328" s="27" t="n"/>
      <c r="O328" s="27" t="n"/>
      <c r="P328" s="27" t="n"/>
      <c r="Q328" s="27" t="n"/>
      <c r="R328" s="27" t="n"/>
    </row>
    <row r="329">
      <c r="A329" s="27" t="n"/>
      <c r="B329" s="27" t="n"/>
      <c r="C329" s="27" t="n"/>
      <c r="D329" s="34" t="n"/>
      <c r="E329" s="27" t="n"/>
      <c r="F329" s="27" t="n"/>
      <c r="G329" s="28" t="n"/>
      <c r="H329" s="26">
        <f>IF(AND(ISNUMBER(G329),ISNUMBER(D329)),IF(E329="Weeks",G329+7*D329,EDATE(G329,IF(E329="Years",12,1)*D329)),"")</f>
        <v/>
      </c>
      <c r="I329" s="34" t="n"/>
      <c r="J329" s="26">
        <f>IF(ISNUMBER(H329),H329-IF(ISNUMBER(I329),I329,30),"")</f>
        <v/>
      </c>
      <c r="K329" s="35">
        <f>IF(H329="","",IF(ISNUMBER(H329),H329-TODAY(),"Check date"))</f>
        <v/>
      </c>
      <c r="L329" s="32">
        <f>IF(K329="","",IF(ISNUMBER(K329),IF(K329&lt;0,"Overdue",IF(K329&lt;=30,"Due ≤30 days",IF(K329&lt;=90,"Due ≤90 days","OK"))),"Check date"))</f>
        <v/>
      </c>
      <c r="M329" s="27" t="n"/>
      <c r="N329" s="27" t="n"/>
      <c r="O329" s="27" t="n"/>
      <c r="P329" s="27" t="n"/>
      <c r="Q329" s="27" t="n"/>
      <c r="R329" s="27" t="n"/>
    </row>
    <row r="330">
      <c r="A330" s="27" t="n"/>
      <c r="B330" s="27" t="n"/>
      <c r="C330" s="27" t="n"/>
      <c r="D330" s="34" t="n"/>
      <c r="E330" s="27" t="n"/>
      <c r="F330" s="27" t="n"/>
      <c r="G330" s="28" t="n"/>
      <c r="H330" s="26">
        <f>IF(AND(ISNUMBER(G330),ISNUMBER(D330)),IF(E330="Weeks",G330+7*D330,EDATE(G330,IF(E330="Years",12,1)*D330)),"")</f>
        <v/>
      </c>
      <c r="I330" s="34" t="n"/>
      <c r="J330" s="26">
        <f>IF(ISNUMBER(H330),H330-IF(ISNUMBER(I330),I330,30),"")</f>
        <v/>
      </c>
      <c r="K330" s="35">
        <f>IF(H330="","",IF(ISNUMBER(H330),H330-TODAY(),"Check date"))</f>
        <v/>
      </c>
      <c r="L330" s="32">
        <f>IF(K330="","",IF(ISNUMBER(K330),IF(K330&lt;0,"Overdue",IF(K330&lt;=30,"Due ≤30 days",IF(K330&lt;=90,"Due ≤90 days","OK"))),"Check date"))</f>
        <v/>
      </c>
      <c r="M330" s="27" t="n"/>
      <c r="N330" s="27" t="n"/>
      <c r="O330" s="27" t="n"/>
      <c r="P330" s="27" t="n"/>
      <c r="Q330" s="27" t="n"/>
      <c r="R330" s="27" t="n"/>
    </row>
    <row r="331">
      <c r="A331" s="27" t="n"/>
      <c r="B331" s="27" t="n"/>
      <c r="C331" s="27" t="n"/>
      <c r="D331" s="34" t="n"/>
      <c r="E331" s="27" t="n"/>
      <c r="F331" s="27" t="n"/>
      <c r="G331" s="28" t="n"/>
      <c r="H331" s="26">
        <f>IF(AND(ISNUMBER(G331),ISNUMBER(D331)),IF(E331="Weeks",G331+7*D331,EDATE(G331,IF(E331="Years",12,1)*D331)),"")</f>
        <v/>
      </c>
      <c r="I331" s="34" t="n"/>
      <c r="J331" s="26">
        <f>IF(ISNUMBER(H331),H331-IF(ISNUMBER(I331),I331,30),"")</f>
        <v/>
      </c>
      <c r="K331" s="35">
        <f>IF(H331="","",IF(ISNUMBER(H331),H331-TODAY(),"Check date"))</f>
        <v/>
      </c>
      <c r="L331" s="32">
        <f>IF(K331="","",IF(ISNUMBER(K331),IF(K331&lt;0,"Overdue",IF(K331&lt;=30,"Due ≤30 days",IF(K331&lt;=90,"Due ≤90 days","OK"))),"Check date"))</f>
        <v/>
      </c>
      <c r="M331" s="27" t="n"/>
      <c r="N331" s="27" t="n"/>
      <c r="O331" s="27" t="n"/>
      <c r="P331" s="27" t="n"/>
      <c r="Q331" s="27" t="n"/>
      <c r="R331" s="27" t="n"/>
    </row>
    <row r="332">
      <c r="A332" s="27" t="n"/>
      <c r="B332" s="27" t="n"/>
      <c r="C332" s="27" t="n"/>
      <c r="D332" s="34" t="n"/>
      <c r="E332" s="27" t="n"/>
      <c r="F332" s="27" t="n"/>
      <c r="G332" s="28" t="n"/>
      <c r="H332" s="26">
        <f>IF(AND(ISNUMBER(G332),ISNUMBER(D332)),IF(E332="Weeks",G332+7*D332,EDATE(G332,IF(E332="Years",12,1)*D332)),"")</f>
        <v/>
      </c>
      <c r="I332" s="34" t="n"/>
      <c r="J332" s="26">
        <f>IF(ISNUMBER(H332),H332-IF(ISNUMBER(I332),I332,30),"")</f>
        <v/>
      </c>
      <c r="K332" s="35">
        <f>IF(H332="","",IF(ISNUMBER(H332),H332-TODAY(),"Check date"))</f>
        <v/>
      </c>
      <c r="L332" s="32">
        <f>IF(K332="","",IF(ISNUMBER(K332),IF(K332&lt;0,"Overdue",IF(K332&lt;=30,"Due ≤30 days",IF(K332&lt;=90,"Due ≤90 days","OK"))),"Check date"))</f>
        <v/>
      </c>
      <c r="M332" s="27" t="n"/>
      <c r="N332" s="27" t="n"/>
      <c r="O332" s="27" t="n"/>
      <c r="P332" s="27" t="n"/>
      <c r="Q332" s="27" t="n"/>
      <c r="R332" s="27" t="n"/>
    </row>
    <row r="333">
      <c r="A333" s="27" t="n"/>
      <c r="B333" s="27" t="n"/>
      <c r="C333" s="27" t="n"/>
      <c r="D333" s="34" t="n"/>
      <c r="E333" s="27" t="n"/>
      <c r="F333" s="27" t="n"/>
      <c r="G333" s="28" t="n"/>
      <c r="H333" s="26">
        <f>IF(AND(ISNUMBER(G333),ISNUMBER(D333)),IF(E333="Weeks",G333+7*D333,EDATE(G333,IF(E333="Years",12,1)*D333)),"")</f>
        <v/>
      </c>
      <c r="I333" s="34" t="n"/>
      <c r="J333" s="26">
        <f>IF(ISNUMBER(H333),H333-IF(ISNUMBER(I333),I333,30),"")</f>
        <v/>
      </c>
      <c r="K333" s="35">
        <f>IF(H333="","",IF(ISNUMBER(H333),H333-TODAY(),"Check date"))</f>
        <v/>
      </c>
      <c r="L333" s="32">
        <f>IF(K333="","",IF(ISNUMBER(K333),IF(K333&lt;0,"Overdue",IF(K333&lt;=30,"Due ≤30 days",IF(K333&lt;=90,"Due ≤90 days","OK"))),"Check date"))</f>
        <v/>
      </c>
      <c r="M333" s="27" t="n"/>
      <c r="N333" s="27" t="n"/>
      <c r="O333" s="27" t="n"/>
      <c r="P333" s="27" t="n"/>
      <c r="Q333" s="27" t="n"/>
      <c r="R333" s="27" t="n"/>
    </row>
    <row r="334">
      <c r="A334" s="27" t="n"/>
      <c r="B334" s="27" t="n"/>
      <c r="C334" s="27" t="n"/>
      <c r="D334" s="34" t="n"/>
      <c r="E334" s="27" t="n"/>
      <c r="F334" s="27" t="n"/>
      <c r="G334" s="28" t="n"/>
      <c r="H334" s="26">
        <f>IF(AND(ISNUMBER(G334),ISNUMBER(D334)),IF(E334="Weeks",G334+7*D334,EDATE(G334,IF(E334="Years",12,1)*D334)),"")</f>
        <v/>
      </c>
      <c r="I334" s="34" t="n"/>
      <c r="J334" s="26">
        <f>IF(ISNUMBER(H334),H334-IF(ISNUMBER(I334),I334,30),"")</f>
        <v/>
      </c>
      <c r="K334" s="35">
        <f>IF(H334="","",IF(ISNUMBER(H334),H334-TODAY(),"Check date"))</f>
        <v/>
      </c>
      <c r="L334" s="32">
        <f>IF(K334="","",IF(ISNUMBER(K334),IF(K334&lt;0,"Overdue",IF(K334&lt;=30,"Due ≤30 days",IF(K334&lt;=90,"Due ≤90 days","OK"))),"Check date"))</f>
        <v/>
      </c>
      <c r="M334" s="27" t="n"/>
      <c r="N334" s="27" t="n"/>
      <c r="O334" s="27" t="n"/>
      <c r="P334" s="27" t="n"/>
      <c r="Q334" s="27" t="n"/>
      <c r="R334" s="27" t="n"/>
    </row>
    <row r="335">
      <c r="A335" s="27" t="n"/>
      <c r="B335" s="27" t="n"/>
      <c r="C335" s="27" t="n"/>
      <c r="D335" s="34" t="n"/>
      <c r="E335" s="27" t="n"/>
      <c r="F335" s="27" t="n"/>
      <c r="G335" s="28" t="n"/>
      <c r="H335" s="26">
        <f>IF(AND(ISNUMBER(G335),ISNUMBER(D335)),IF(E335="Weeks",G335+7*D335,EDATE(G335,IF(E335="Years",12,1)*D335)),"")</f>
        <v/>
      </c>
      <c r="I335" s="34" t="n"/>
      <c r="J335" s="26">
        <f>IF(ISNUMBER(H335),H335-IF(ISNUMBER(I335),I335,30),"")</f>
        <v/>
      </c>
      <c r="K335" s="35">
        <f>IF(H335="","",IF(ISNUMBER(H335),H335-TODAY(),"Check date"))</f>
        <v/>
      </c>
      <c r="L335" s="32">
        <f>IF(K335="","",IF(ISNUMBER(K335),IF(K335&lt;0,"Overdue",IF(K335&lt;=30,"Due ≤30 days",IF(K335&lt;=90,"Due ≤90 days","OK"))),"Check date"))</f>
        <v/>
      </c>
      <c r="M335" s="27" t="n"/>
      <c r="N335" s="27" t="n"/>
      <c r="O335" s="27" t="n"/>
      <c r="P335" s="27" t="n"/>
      <c r="Q335" s="27" t="n"/>
      <c r="R335" s="27" t="n"/>
    </row>
    <row r="336">
      <c r="A336" s="27" t="n"/>
      <c r="B336" s="27" t="n"/>
      <c r="C336" s="27" t="n"/>
      <c r="D336" s="34" t="n"/>
      <c r="E336" s="27" t="n"/>
      <c r="F336" s="27" t="n"/>
      <c r="G336" s="28" t="n"/>
      <c r="H336" s="26">
        <f>IF(AND(ISNUMBER(G336),ISNUMBER(D336)),IF(E336="Weeks",G336+7*D336,EDATE(G336,IF(E336="Years",12,1)*D336)),"")</f>
        <v/>
      </c>
      <c r="I336" s="34" t="n"/>
      <c r="J336" s="26">
        <f>IF(ISNUMBER(H336),H336-IF(ISNUMBER(I336),I336,30),"")</f>
        <v/>
      </c>
      <c r="K336" s="35">
        <f>IF(H336="","",IF(ISNUMBER(H336),H336-TODAY(),"Check date"))</f>
        <v/>
      </c>
      <c r="L336" s="32">
        <f>IF(K336="","",IF(ISNUMBER(K336),IF(K336&lt;0,"Overdue",IF(K336&lt;=30,"Due ≤30 days",IF(K336&lt;=90,"Due ≤90 days","OK"))),"Check date"))</f>
        <v/>
      </c>
      <c r="M336" s="27" t="n"/>
      <c r="N336" s="27" t="n"/>
      <c r="O336" s="27" t="n"/>
      <c r="P336" s="27" t="n"/>
      <c r="Q336" s="27" t="n"/>
      <c r="R336" s="27" t="n"/>
    </row>
    <row r="337">
      <c r="A337" s="27" t="n"/>
      <c r="B337" s="27" t="n"/>
      <c r="C337" s="27" t="n"/>
      <c r="D337" s="34" t="n"/>
      <c r="E337" s="27" t="n"/>
      <c r="F337" s="27" t="n"/>
      <c r="G337" s="28" t="n"/>
      <c r="H337" s="26">
        <f>IF(AND(ISNUMBER(G337),ISNUMBER(D337)),IF(E337="Weeks",G337+7*D337,EDATE(G337,IF(E337="Years",12,1)*D337)),"")</f>
        <v/>
      </c>
      <c r="I337" s="34" t="n"/>
      <c r="J337" s="26">
        <f>IF(ISNUMBER(H337),H337-IF(ISNUMBER(I337),I337,30),"")</f>
        <v/>
      </c>
      <c r="K337" s="35">
        <f>IF(H337="","",IF(ISNUMBER(H337),H337-TODAY(),"Check date"))</f>
        <v/>
      </c>
      <c r="L337" s="32">
        <f>IF(K337="","",IF(ISNUMBER(K337),IF(K337&lt;0,"Overdue",IF(K337&lt;=30,"Due ≤30 days",IF(K337&lt;=90,"Due ≤90 days","OK"))),"Check date"))</f>
        <v/>
      </c>
      <c r="M337" s="27" t="n"/>
      <c r="N337" s="27" t="n"/>
      <c r="O337" s="27" t="n"/>
      <c r="P337" s="27" t="n"/>
      <c r="Q337" s="27" t="n"/>
      <c r="R337" s="27" t="n"/>
    </row>
    <row r="338">
      <c r="A338" s="27" t="n"/>
      <c r="B338" s="27" t="n"/>
      <c r="C338" s="27" t="n"/>
      <c r="D338" s="34" t="n"/>
      <c r="E338" s="27" t="n"/>
      <c r="F338" s="27" t="n"/>
      <c r="G338" s="28" t="n"/>
      <c r="H338" s="26">
        <f>IF(AND(ISNUMBER(G338),ISNUMBER(D338)),IF(E338="Weeks",G338+7*D338,EDATE(G338,IF(E338="Years",12,1)*D338)),"")</f>
        <v/>
      </c>
      <c r="I338" s="34" t="n"/>
      <c r="J338" s="26">
        <f>IF(ISNUMBER(H338),H338-IF(ISNUMBER(I338),I338,30),"")</f>
        <v/>
      </c>
      <c r="K338" s="35">
        <f>IF(H338="","",IF(ISNUMBER(H338),H338-TODAY(),"Check date"))</f>
        <v/>
      </c>
      <c r="L338" s="32">
        <f>IF(K338="","",IF(ISNUMBER(K338),IF(K338&lt;0,"Overdue",IF(K338&lt;=30,"Due ≤30 days",IF(K338&lt;=90,"Due ≤90 days","OK"))),"Check date"))</f>
        <v/>
      </c>
      <c r="M338" s="27" t="n"/>
      <c r="N338" s="27" t="n"/>
      <c r="O338" s="27" t="n"/>
      <c r="P338" s="27" t="n"/>
      <c r="Q338" s="27" t="n"/>
      <c r="R338" s="27" t="n"/>
    </row>
    <row r="339">
      <c r="A339" s="27" t="n"/>
      <c r="B339" s="27" t="n"/>
      <c r="C339" s="27" t="n"/>
      <c r="D339" s="34" t="n"/>
      <c r="E339" s="27" t="n"/>
      <c r="F339" s="27" t="n"/>
      <c r="G339" s="28" t="n"/>
      <c r="H339" s="26">
        <f>IF(AND(ISNUMBER(G339),ISNUMBER(D339)),IF(E339="Weeks",G339+7*D339,EDATE(G339,IF(E339="Years",12,1)*D339)),"")</f>
        <v/>
      </c>
      <c r="I339" s="34" t="n"/>
      <c r="J339" s="26">
        <f>IF(ISNUMBER(H339),H339-IF(ISNUMBER(I339),I339,30),"")</f>
        <v/>
      </c>
      <c r="K339" s="35">
        <f>IF(H339="","",IF(ISNUMBER(H339),H339-TODAY(),"Check date"))</f>
        <v/>
      </c>
      <c r="L339" s="32">
        <f>IF(K339="","",IF(ISNUMBER(K339),IF(K339&lt;0,"Overdue",IF(K339&lt;=30,"Due ≤30 days",IF(K339&lt;=90,"Due ≤90 days","OK"))),"Check date"))</f>
        <v/>
      </c>
      <c r="M339" s="27" t="n"/>
      <c r="N339" s="27" t="n"/>
      <c r="O339" s="27" t="n"/>
      <c r="P339" s="27" t="n"/>
      <c r="Q339" s="27" t="n"/>
      <c r="R339" s="27" t="n"/>
    </row>
    <row r="340">
      <c r="A340" s="27" t="n"/>
      <c r="B340" s="27" t="n"/>
      <c r="C340" s="27" t="n"/>
      <c r="D340" s="34" t="n"/>
      <c r="E340" s="27" t="n"/>
      <c r="F340" s="27" t="n"/>
      <c r="G340" s="28" t="n"/>
      <c r="H340" s="26">
        <f>IF(AND(ISNUMBER(G340),ISNUMBER(D340)),IF(E340="Weeks",G340+7*D340,EDATE(G340,IF(E340="Years",12,1)*D340)),"")</f>
        <v/>
      </c>
      <c r="I340" s="34" t="n"/>
      <c r="J340" s="26">
        <f>IF(ISNUMBER(H340),H340-IF(ISNUMBER(I340),I340,30),"")</f>
        <v/>
      </c>
      <c r="K340" s="35">
        <f>IF(H340="","",IF(ISNUMBER(H340),H340-TODAY(),"Check date"))</f>
        <v/>
      </c>
      <c r="L340" s="32">
        <f>IF(K340="","",IF(ISNUMBER(K340),IF(K340&lt;0,"Overdue",IF(K340&lt;=30,"Due ≤30 days",IF(K340&lt;=90,"Due ≤90 days","OK"))),"Check date"))</f>
        <v/>
      </c>
      <c r="M340" s="27" t="n"/>
      <c r="N340" s="27" t="n"/>
      <c r="O340" s="27" t="n"/>
      <c r="P340" s="27" t="n"/>
      <c r="Q340" s="27" t="n"/>
      <c r="R340" s="27" t="n"/>
    </row>
    <row r="341">
      <c r="A341" s="27" t="n"/>
      <c r="B341" s="27" t="n"/>
      <c r="C341" s="27" t="n"/>
      <c r="D341" s="34" t="n"/>
      <c r="E341" s="27" t="n"/>
      <c r="F341" s="27" t="n"/>
      <c r="G341" s="28" t="n"/>
      <c r="H341" s="26">
        <f>IF(AND(ISNUMBER(G341),ISNUMBER(D341)),IF(E341="Weeks",G341+7*D341,EDATE(G341,IF(E341="Years",12,1)*D341)),"")</f>
        <v/>
      </c>
      <c r="I341" s="34" t="n"/>
      <c r="J341" s="26">
        <f>IF(ISNUMBER(H341),H341-IF(ISNUMBER(I341),I341,30),"")</f>
        <v/>
      </c>
      <c r="K341" s="35">
        <f>IF(H341="","",IF(ISNUMBER(H341),H341-TODAY(),"Check date"))</f>
        <v/>
      </c>
      <c r="L341" s="32">
        <f>IF(K341="","",IF(ISNUMBER(K341),IF(K341&lt;0,"Overdue",IF(K341&lt;=30,"Due ≤30 days",IF(K341&lt;=90,"Due ≤90 days","OK"))),"Check date"))</f>
        <v/>
      </c>
      <c r="M341" s="27" t="n"/>
      <c r="N341" s="27" t="n"/>
      <c r="O341" s="27" t="n"/>
      <c r="P341" s="27" t="n"/>
      <c r="Q341" s="27" t="n"/>
      <c r="R341" s="27" t="n"/>
    </row>
    <row r="342">
      <c r="A342" s="27" t="n"/>
      <c r="B342" s="27" t="n"/>
      <c r="C342" s="27" t="n"/>
      <c r="D342" s="34" t="n"/>
      <c r="E342" s="27" t="n"/>
      <c r="F342" s="27" t="n"/>
      <c r="G342" s="28" t="n"/>
      <c r="H342" s="26">
        <f>IF(AND(ISNUMBER(G342),ISNUMBER(D342)),IF(E342="Weeks",G342+7*D342,EDATE(G342,IF(E342="Years",12,1)*D342)),"")</f>
        <v/>
      </c>
      <c r="I342" s="34" t="n"/>
      <c r="J342" s="26">
        <f>IF(ISNUMBER(H342),H342-IF(ISNUMBER(I342),I342,30),"")</f>
        <v/>
      </c>
      <c r="K342" s="35">
        <f>IF(H342="","",IF(ISNUMBER(H342),H342-TODAY(),"Check date"))</f>
        <v/>
      </c>
      <c r="L342" s="32">
        <f>IF(K342="","",IF(ISNUMBER(K342),IF(K342&lt;0,"Overdue",IF(K342&lt;=30,"Due ≤30 days",IF(K342&lt;=90,"Due ≤90 days","OK"))),"Check date"))</f>
        <v/>
      </c>
      <c r="M342" s="27" t="n"/>
      <c r="N342" s="27" t="n"/>
      <c r="O342" s="27" t="n"/>
      <c r="P342" s="27" t="n"/>
      <c r="Q342" s="27" t="n"/>
      <c r="R342" s="27" t="n"/>
    </row>
    <row r="343">
      <c r="A343" s="27" t="n"/>
      <c r="B343" s="27" t="n"/>
      <c r="C343" s="27" t="n"/>
      <c r="D343" s="34" t="n"/>
      <c r="E343" s="27" t="n"/>
      <c r="F343" s="27" t="n"/>
      <c r="G343" s="28" t="n"/>
      <c r="H343" s="26">
        <f>IF(AND(ISNUMBER(G343),ISNUMBER(D343)),IF(E343="Weeks",G343+7*D343,EDATE(G343,IF(E343="Years",12,1)*D343)),"")</f>
        <v/>
      </c>
      <c r="I343" s="34" t="n"/>
      <c r="J343" s="26">
        <f>IF(ISNUMBER(H343),H343-IF(ISNUMBER(I343),I343,30),"")</f>
        <v/>
      </c>
      <c r="K343" s="35">
        <f>IF(H343="","",IF(ISNUMBER(H343),H343-TODAY(),"Check date"))</f>
        <v/>
      </c>
      <c r="L343" s="32">
        <f>IF(K343="","",IF(ISNUMBER(K343),IF(K343&lt;0,"Overdue",IF(K343&lt;=30,"Due ≤30 days",IF(K343&lt;=90,"Due ≤90 days","OK"))),"Check date"))</f>
        <v/>
      </c>
      <c r="M343" s="27" t="n"/>
      <c r="N343" s="27" t="n"/>
      <c r="O343" s="27" t="n"/>
      <c r="P343" s="27" t="n"/>
      <c r="Q343" s="27" t="n"/>
      <c r="R343" s="27" t="n"/>
    </row>
    <row r="344">
      <c r="A344" s="27" t="n"/>
      <c r="B344" s="27" t="n"/>
      <c r="C344" s="27" t="n"/>
      <c r="D344" s="34" t="n"/>
      <c r="E344" s="27" t="n"/>
      <c r="F344" s="27" t="n"/>
      <c r="G344" s="28" t="n"/>
      <c r="H344" s="26">
        <f>IF(AND(ISNUMBER(G344),ISNUMBER(D344)),IF(E344="Weeks",G344+7*D344,EDATE(G344,IF(E344="Years",12,1)*D344)),"")</f>
        <v/>
      </c>
      <c r="I344" s="34" t="n"/>
      <c r="J344" s="26">
        <f>IF(ISNUMBER(H344),H344-IF(ISNUMBER(I344),I344,30),"")</f>
        <v/>
      </c>
      <c r="K344" s="35">
        <f>IF(H344="","",IF(ISNUMBER(H344),H344-TODAY(),"Check date"))</f>
        <v/>
      </c>
      <c r="L344" s="32">
        <f>IF(K344="","",IF(ISNUMBER(K344),IF(K344&lt;0,"Overdue",IF(K344&lt;=30,"Due ≤30 days",IF(K344&lt;=90,"Due ≤90 days","OK"))),"Check date"))</f>
        <v/>
      </c>
      <c r="M344" s="27" t="n"/>
      <c r="N344" s="27" t="n"/>
      <c r="O344" s="27" t="n"/>
      <c r="P344" s="27" t="n"/>
      <c r="Q344" s="27" t="n"/>
      <c r="R344" s="27" t="n"/>
    </row>
    <row r="345">
      <c r="A345" s="27" t="n"/>
      <c r="B345" s="27" t="n"/>
      <c r="C345" s="27" t="n"/>
      <c r="D345" s="34" t="n"/>
      <c r="E345" s="27" t="n"/>
      <c r="F345" s="27" t="n"/>
      <c r="G345" s="28" t="n"/>
      <c r="H345" s="26">
        <f>IF(AND(ISNUMBER(G345),ISNUMBER(D345)),IF(E345="Weeks",G345+7*D345,EDATE(G345,IF(E345="Years",12,1)*D345)),"")</f>
        <v/>
      </c>
      <c r="I345" s="34" t="n"/>
      <c r="J345" s="26">
        <f>IF(ISNUMBER(H345),H345-IF(ISNUMBER(I345),I345,30),"")</f>
        <v/>
      </c>
      <c r="K345" s="35">
        <f>IF(H345="","",IF(ISNUMBER(H345),H345-TODAY(),"Check date"))</f>
        <v/>
      </c>
      <c r="L345" s="32">
        <f>IF(K345="","",IF(ISNUMBER(K345),IF(K345&lt;0,"Overdue",IF(K345&lt;=30,"Due ≤30 days",IF(K345&lt;=90,"Due ≤90 days","OK"))),"Check date"))</f>
        <v/>
      </c>
      <c r="M345" s="27" t="n"/>
      <c r="N345" s="27" t="n"/>
      <c r="O345" s="27" t="n"/>
      <c r="P345" s="27" t="n"/>
      <c r="Q345" s="27" t="n"/>
      <c r="R345" s="27" t="n"/>
    </row>
    <row r="346">
      <c r="A346" s="27" t="n"/>
      <c r="B346" s="27" t="n"/>
      <c r="C346" s="27" t="n"/>
      <c r="D346" s="34" t="n"/>
      <c r="E346" s="27" t="n"/>
      <c r="F346" s="27" t="n"/>
      <c r="G346" s="28" t="n"/>
      <c r="H346" s="26">
        <f>IF(AND(ISNUMBER(G346),ISNUMBER(D346)),IF(E346="Weeks",G346+7*D346,EDATE(G346,IF(E346="Years",12,1)*D346)),"")</f>
        <v/>
      </c>
      <c r="I346" s="34" t="n"/>
      <c r="J346" s="26">
        <f>IF(ISNUMBER(H346),H346-IF(ISNUMBER(I346),I346,30),"")</f>
        <v/>
      </c>
      <c r="K346" s="35">
        <f>IF(H346="","",IF(ISNUMBER(H346),H346-TODAY(),"Check date"))</f>
        <v/>
      </c>
      <c r="L346" s="32">
        <f>IF(K346="","",IF(ISNUMBER(K346),IF(K346&lt;0,"Overdue",IF(K346&lt;=30,"Due ≤30 days",IF(K346&lt;=90,"Due ≤90 days","OK"))),"Check date"))</f>
        <v/>
      </c>
      <c r="M346" s="27" t="n"/>
      <c r="N346" s="27" t="n"/>
      <c r="O346" s="27" t="n"/>
      <c r="P346" s="27" t="n"/>
      <c r="Q346" s="27" t="n"/>
      <c r="R346" s="27" t="n"/>
    </row>
    <row r="347">
      <c r="A347" s="27" t="n"/>
      <c r="B347" s="27" t="n"/>
      <c r="C347" s="27" t="n"/>
      <c r="D347" s="34" t="n"/>
      <c r="E347" s="27" t="n"/>
      <c r="F347" s="27" t="n"/>
      <c r="G347" s="28" t="n"/>
      <c r="H347" s="26">
        <f>IF(AND(ISNUMBER(G347),ISNUMBER(D347)),IF(E347="Weeks",G347+7*D347,EDATE(G347,IF(E347="Years",12,1)*D347)),"")</f>
        <v/>
      </c>
      <c r="I347" s="34" t="n"/>
      <c r="J347" s="26">
        <f>IF(ISNUMBER(H347),H347-IF(ISNUMBER(I347),I347,30),"")</f>
        <v/>
      </c>
      <c r="K347" s="35">
        <f>IF(H347="","",IF(ISNUMBER(H347),H347-TODAY(),"Check date"))</f>
        <v/>
      </c>
      <c r="L347" s="32">
        <f>IF(K347="","",IF(ISNUMBER(K347),IF(K347&lt;0,"Overdue",IF(K347&lt;=30,"Due ≤30 days",IF(K347&lt;=90,"Due ≤90 days","OK"))),"Check date"))</f>
        <v/>
      </c>
      <c r="M347" s="27" t="n"/>
      <c r="N347" s="27" t="n"/>
      <c r="O347" s="27" t="n"/>
      <c r="P347" s="27" t="n"/>
      <c r="Q347" s="27" t="n"/>
      <c r="R347" s="27" t="n"/>
    </row>
    <row r="348">
      <c r="A348" s="27" t="n"/>
      <c r="B348" s="27" t="n"/>
      <c r="C348" s="27" t="n"/>
      <c r="D348" s="34" t="n"/>
      <c r="E348" s="27" t="n"/>
      <c r="F348" s="27" t="n"/>
      <c r="G348" s="28" t="n"/>
      <c r="H348" s="26">
        <f>IF(AND(ISNUMBER(G348),ISNUMBER(D348)),IF(E348="Weeks",G348+7*D348,EDATE(G348,IF(E348="Years",12,1)*D348)),"")</f>
        <v/>
      </c>
      <c r="I348" s="34" t="n"/>
      <c r="J348" s="26">
        <f>IF(ISNUMBER(H348),H348-IF(ISNUMBER(I348),I348,30),"")</f>
        <v/>
      </c>
      <c r="K348" s="35">
        <f>IF(H348="","",IF(ISNUMBER(H348),H348-TODAY(),"Check date"))</f>
        <v/>
      </c>
      <c r="L348" s="32">
        <f>IF(K348="","",IF(ISNUMBER(K348),IF(K348&lt;0,"Overdue",IF(K348&lt;=30,"Due ≤30 days",IF(K348&lt;=90,"Due ≤90 days","OK"))),"Check date"))</f>
        <v/>
      </c>
      <c r="M348" s="27" t="n"/>
      <c r="N348" s="27" t="n"/>
      <c r="O348" s="27" t="n"/>
      <c r="P348" s="27" t="n"/>
      <c r="Q348" s="27" t="n"/>
      <c r="R348" s="27" t="n"/>
    </row>
    <row r="349">
      <c r="A349" s="27" t="n"/>
      <c r="B349" s="27" t="n"/>
      <c r="C349" s="27" t="n"/>
      <c r="D349" s="34" t="n"/>
      <c r="E349" s="27" t="n"/>
      <c r="F349" s="27" t="n"/>
      <c r="G349" s="28" t="n"/>
      <c r="H349" s="26">
        <f>IF(AND(ISNUMBER(G349),ISNUMBER(D349)),IF(E349="Weeks",G349+7*D349,EDATE(G349,IF(E349="Years",12,1)*D349)),"")</f>
        <v/>
      </c>
      <c r="I349" s="34" t="n"/>
      <c r="J349" s="26">
        <f>IF(ISNUMBER(H349),H349-IF(ISNUMBER(I349),I349,30),"")</f>
        <v/>
      </c>
      <c r="K349" s="35">
        <f>IF(H349="","",IF(ISNUMBER(H349),H349-TODAY(),"Check date"))</f>
        <v/>
      </c>
      <c r="L349" s="32">
        <f>IF(K349="","",IF(ISNUMBER(K349),IF(K349&lt;0,"Overdue",IF(K349&lt;=30,"Due ≤30 days",IF(K349&lt;=90,"Due ≤90 days","OK"))),"Check date"))</f>
        <v/>
      </c>
      <c r="M349" s="27" t="n"/>
      <c r="N349" s="27" t="n"/>
      <c r="O349" s="27" t="n"/>
      <c r="P349" s="27" t="n"/>
      <c r="Q349" s="27" t="n"/>
      <c r="R349" s="27" t="n"/>
    </row>
    <row r="350">
      <c r="A350" s="27" t="n"/>
      <c r="B350" s="27" t="n"/>
      <c r="C350" s="27" t="n"/>
      <c r="D350" s="34" t="n"/>
      <c r="E350" s="27" t="n"/>
      <c r="F350" s="27" t="n"/>
      <c r="G350" s="28" t="n"/>
      <c r="H350" s="26">
        <f>IF(AND(ISNUMBER(G350),ISNUMBER(D350)),IF(E350="Weeks",G350+7*D350,EDATE(G350,IF(E350="Years",12,1)*D350)),"")</f>
        <v/>
      </c>
      <c r="I350" s="34" t="n"/>
      <c r="J350" s="26">
        <f>IF(ISNUMBER(H350),H350-IF(ISNUMBER(I350),I350,30),"")</f>
        <v/>
      </c>
      <c r="K350" s="35">
        <f>IF(H350="","",IF(ISNUMBER(H350),H350-TODAY(),"Check date"))</f>
        <v/>
      </c>
      <c r="L350" s="32">
        <f>IF(K350="","",IF(ISNUMBER(K350),IF(K350&lt;0,"Overdue",IF(K350&lt;=30,"Due ≤30 days",IF(K350&lt;=90,"Due ≤90 days","OK"))),"Check date"))</f>
        <v/>
      </c>
      <c r="M350" s="27" t="n"/>
      <c r="N350" s="27" t="n"/>
      <c r="O350" s="27" t="n"/>
      <c r="P350" s="27" t="n"/>
      <c r="Q350" s="27" t="n"/>
      <c r="R350" s="27" t="n"/>
    </row>
    <row r="351">
      <c r="A351" s="27" t="n"/>
      <c r="B351" s="27" t="n"/>
      <c r="C351" s="27" t="n"/>
      <c r="D351" s="34" t="n"/>
      <c r="E351" s="27" t="n"/>
      <c r="F351" s="27" t="n"/>
      <c r="G351" s="28" t="n"/>
      <c r="H351" s="26">
        <f>IF(AND(ISNUMBER(G351),ISNUMBER(D351)),IF(E351="Weeks",G351+7*D351,EDATE(G351,IF(E351="Years",12,1)*D351)),"")</f>
        <v/>
      </c>
      <c r="I351" s="34" t="n"/>
      <c r="J351" s="26">
        <f>IF(ISNUMBER(H351),H351-IF(ISNUMBER(I351),I351,30),"")</f>
        <v/>
      </c>
      <c r="K351" s="35">
        <f>IF(H351="","",IF(ISNUMBER(H351),H351-TODAY(),"Check date"))</f>
        <v/>
      </c>
      <c r="L351" s="32">
        <f>IF(K351="","",IF(ISNUMBER(K351),IF(K351&lt;0,"Overdue",IF(K351&lt;=30,"Due ≤30 days",IF(K351&lt;=90,"Due ≤90 days","OK"))),"Check date"))</f>
        <v/>
      </c>
      <c r="M351" s="27" t="n"/>
      <c r="N351" s="27" t="n"/>
      <c r="O351" s="27" t="n"/>
      <c r="P351" s="27" t="n"/>
      <c r="Q351" s="27" t="n"/>
      <c r="R351" s="27" t="n"/>
    </row>
    <row r="352">
      <c r="A352" s="27" t="n"/>
      <c r="B352" s="27" t="n"/>
      <c r="C352" s="27" t="n"/>
      <c r="D352" s="34" t="n"/>
      <c r="E352" s="27" t="n"/>
      <c r="F352" s="27" t="n"/>
      <c r="G352" s="28" t="n"/>
      <c r="H352" s="26">
        <f>IF(AND(ISNUMBER(G352),ISNUMBER(D352)),IF(E352="Weeks",G352+7*D352,EDATE(G352,IF(E352="Years",12,1)*D352)),"")</f>
        <v/>
      </c>
      <c r="I352" s="34" t="n"/>
      <c r="J352" s="26">
        <f>IF(ISNUMBER(H352),H352-IF(ISNUMBER(I352),I352,30),"")</f>
        <v/>
      </c>
      <c r="K352" s="35">
        <f>IF(H352="","",IF(ISNUMBER(H352),H352-TODAY(),"Check date"))</f>
        <v/>
      </c>
      <c r="L352" s="32">
        <f>IF(K352="","",IF(ISNUMBER(K352),IF(K352&lt;0,"Overdue",IF(K352&lt;=30,"Due ≤30 days",IF(K352&lt;=90,"Due ≤90 days","OK"))),"Check date"))</f>
        <v/>
      </c>
      <c r="M352" s="27" t="n"/>
      <c r="N352" s="27" t="n"/>
      <c r="O352" s="27" t="n"/>
      <c r="P352" s="27" t="n"/>
      <c r="Q352" s="27" t="n"/>
      <c r="R352" s="27" t="n"/>
    </row>
    <row r="353">
      <c r="A353" s="27" t="n"/>
      <c r="B353" s="27" t="n"/>
      <c r="C353" s="27" t="n"/>
      <c r="D353" s="34" t="n"/>
      <c r="E353" s="27" t="n"/>
      <c r="F353" s="27" t="n"/>
      <c r="G353" s="28" t="n"/>
      <c r="H353" s="26">
        <f>IF(AND(ISNUMBER(G353),ISNUMBER(D353)),IF(E353="Weeks",G353+7*D353,EDATE(G353,IF(E353="Years",12,1)*D353)),"")</f>
        <v/>
      </c>
      <c r="I353" s="34" t="n"/>
      <c r="J353" s="26">
        <f>IF(ISNUMBER(H353),H353-IF(ISNUMBER(I353),I353,30),"")</f>
        <v/>
      </c>
      <c r="K353" s="35">
        <f>IF(H353="","",IF(ISNUMBER(H353),H353-TODAY(),"Check date"))</f>
        <v/>
      </c>
      <c r="L353" s="32">
        <f>IF(K353="","",IF(ISNUMBER(K353),IF(K353&lt;0,"Overdue",IF(K353&lt;=30,"Due ≤30 days",IF(K353&lt;=90,"Due ≤90 days","OK"))),"Check date"))</f>
        <v/>
      </c>
      <c r="M353" s="27" t="n"/>
      <c r="N353" s="27" t="n"/>
      <c r="O353" s="27" t="n"/>
      <c r="P353" s="27" t="n"/>
      <c r="Q353" s="27" t="n"/>
      <c r="R353" s="27" t="n"/>
    </row>
    <row r="354">
      <c r="A354" s="27" t="n"/>
      <c r="B354" s="27" t="n"/>
      <c r="C354" s="27" t="n"/>
      <c r="D354" s="34" t="n"/>
      <c r="E354" s="27" t="n"/>
      <c r="F354" s="27" t="n"/>
      <c r="G354" s="28" t="n"/>
      <c r="H354" s="26">
        <f>IF(AND(ISNUMBER(G354),ISNUMBER(D354)),IF(E354="Weeks",G354+7*D354,EDATE(G354,IF(E354="Years",12,1)*D354)),"")</f>
        <v/>
      </c>
      <c r="I354" s="34" t="n"/>
      <c r="J354" s="26">
        <f>IF(ISNUMBER(H354),H354-IF(ISNUMBER(I354),I354,30),"")</f>
        <v/>
      </c>
      <c r="K354" s="35">
        <f>IF(H354="","",IF(ISNUMBER(H354),H354-TODAY(),"Check date"))</f>
        <v/>
      </c>
      <c r="L354" s="32">
        <f>IF(K354="","",IF(ISNUMBER(K354),IF(K354&lt;0,"Overdue",IF(K354&lt;=30,"Due ≤30 days",IF(K354&lt;=90,"Due ≤90 days","OK"))),"Check date"))</f>
        <v/>
      </c>
      <c r="M354" s="27" t="n"/>
      <c r="N354" s="27" t="n"/>
      <c r="O354" s="27" t="n"/>
      <c r="P354" s="27" t="n"/>
      <c r="Q354" s="27" t="n"/>
      <c r="R354" s="27" t="n"/>
    </row>
    <row r="355">
      <c r="A355" s="27" t="n"/>
      <c r="B355" s="27" t="n"/>
      <c r="C355" s="27" t="n"/>
      <c r="D355" s="34" t="n"/>
      <c r="E355" s="27" t="n"/>
      <c r="F355" s="27" t="n"/>
      <c r="G355" s="28" t="n"/>
      <c r="H355" s="26">
        <f>IF(AND(ISNUMBER(G355),ISNUMBER(D355)),IF(E355="Weeks",G355+7*D355,EDATE(G355,IF(E355="Years",12,1)*D355)),"")</f>
        <v/>
      </c>
      <c r="I355" s="34" t="n"/>
      <c r="J355" s="26">
        <f>IF(ISNUMBER(H355),H355-IF(ISNUMBER(I355),I355,30),"")</f>
        <v/>
      </c>
      <c r="K355" s="35">
        <f>IF(H355="","",IF(ISNUMBER(H355),H355-TODAY(),"Check date"))</f>
        <v/>
      </c>
      <c r="L355" s="32">
        <f>IF(K355="","",IF(ISNUMBER(K355),IF(K355&lt;0,"Overdue",IF(K355&lt;=30,"Due ≤30 days",IF(K355&lt;=90,"Due ≤90 days","OK"))),"Check date"))</f>
        <v/>
      </c>
      <c r="M355" s="27" t="n"/>
      <c r="N355" s="27" t="n"/>
      <c r="O355" s="27" t="n"/>
      <c r="P355" s="27" t="n"/>
      <c r="Q355" s="27" t="n"/>
      <c r="R355" s="27" t="n"/>
    </row>
    <row r="356">
      <c r="A356" s="27" t="n"/>
      <c r="B356" s="27" t="n"/>
      <c r="C356" s="27" t="n"/>
      <c r="D356" s="34" t="n"/>
      <c r="E356" s="27" t="n"/>
      <c r="F356" s="27" t="n"/>
      <c r="G356" s="28" t="n"/>
      <c r="H356" s="26">
        <f>IF(AND(ISNUMBER(G356),ISNUMBER(D356)),IF(E356="Weeks",G356+7*D356,EDATE(G356,IF(E356="Years",12,1)*D356)),"")</f>
        <v/>
      </c>
      <c r="I356" s="34" t="n"/>
      <c r="J356" s="26">
        <f>IF(ISNUMBER(H356),H356-IF(ISNUMBER(I356),I356,30),"")</f>
        <v/>
      </c>
      <c r="K356" s="35">
        <f>IF(H356="","",IF(ISNUMBER(H356),H356-TODAY(),"Check date"))</f>
        <v/>
      </c>
      <c r="L356" s="32">
        <f>IF(K356="","",IF(ISNUMBER(K356),IF(K356&lt;0,"Overdue",IF(K356&lt;=30,"Due ≤30 days",IF(K356&lt;=90,"Due ≤90 days","OK"))),"Check date"))</f>
        <v/>
      </c>
      <c r="M356" s="27" t="n"/>
      <c r="N356" s="27" t="n"/>
      <c r="O356" s="27" t="n"/>
      <c r="P356" s="27" t="n"/>
      <c r="Q356" s="27" t="n"/>
      <c r="R356" s="27" t="n"/>
    </row>
    <row r="357">
      <c r="A357" s="27" t="n"/>
      <c r="B357" s="27" t="n"/>
      <c r="C357" s="27" t="n"/>
      <c r="D357" s="34" t="n"/>
      <c r="E357" s="27" t="n"/>
      <c r="F357" s="27" t="n"/>
      <c r="G357" s="28" t="n"/>
      <c r="H357" s="26">
        <f>IF(AND(ISNUMBER(G357),ISNUMBER(D357)),IF(E357="Weeks",G357+7*D357,EDATE(G357,IF(E357="Years",12,1)*D357)),"")</f>
        <v/>
      </c>
      <c r="I357" s="34" t="n"/>
      <c r="J357" s="26">
        <f>IF(ISNUMBER(H357),H357-IF(ISNUMBER(I357),I357,30),"")</f>
        <v/>
      </c>
      <c r="K357" s="35">
        <f>IF(H357="","",IF(ISNUMBER(H357),H357-TODAY(),"Check date"))</f>
        <v/>
      </c>
      <c r="L357" s="32">
        <f>IF(K357="","",IF(ISNUMBER(K357),IF(K357&lt;0,"Overdue",IF(K357&lt;=30,"Due ≤30 days",IF(K357&lt;=90,"Due ≤90 days","OK"))),"Check date"))</f>
        <v/>
      </c>
      <c r="M357" s="27" t="n"/>
      <c r="N357" s="27" t="n"/>
      <c r="O357" s="27" t="n"/>
      <c r="P357" s="27" t="n"/>
      <c r="Q357" s="27" t="n"/>
      <c r="R357" s="27" t="n"/>
    </row>
    <row r="358">
      <c r="A358" s="27" t="n"/>
      <c r="B358" s="27" t="n"/>
      <c r="C358" s="27" t="n"/>
      <c r="D358" s="34" t="n"/>
      <c r="E358" s="27" t="n"/>
      <c r="F358" s="27" t="n"/>
      <c r="G358" s="28" t="n"/>
      <c r="H358" s="26">
        <f>IF(AND(ISNUMBER(G358),ISNUMBER(D358)),IF(E358="Weeks",G358+7*D358,EDATE(G358,IF(E358="Years",12,1)*D358)),"")</f>
        <v/>
      </c>
      <c r="I358" s="34" t="n"/>
      <c r="J358" s="26">
        <f>IF(ISNUMBER(H358),H358-IF(ISNUMBER(I358),I358,30),"")</f>
        <v/>
      </c>
      <c r="K358" s="35">
        <f>IF(H358="","",IF(ISNUMBER(H358),H358-TODAY(),"Check date"))</f>
        <v/>
      </c>
      <c r="L358" s="32">
        <f>IF(K358="","",IF(ISNUMBER(K358),IF(K358&lt;0,"Overdue",IF(K358&lt;=30,"Due ≤30 days",IF(K358&lt;=90,"Due ≤90 days","OK"))),"Check date"))</f>
        <v/>
      </c>
      <c r="M358" s="27" t="n"/>
      <c r="N358" s="27" t="n"/>
      <c r="O358" s="27" t="n"/>
      <c r="P358" s="27" t="n"/>
      <c r="Q358" s="27" t="n"/>
      <c r="R358" s="27" t="n"/>
    </row>
    <row r="359">
      <c r="A359" s="27" t="n"/>
      <c r="B359" s="27" t="n"/>
      <c r="C359" s="27" t="n"/>
      <c r="D359" s="34" t="n"/>
      <c r="E359" s="27" t="n"/>
      <c r="F359" s="27" t="n"/>
      <c r="G359" s="28" t="n"/>
      <c r="H359" s="26">
        <f>IF(AND(ISNUMBER(G359),ISNUMBER(D359)),IF(E359="Weeks",G359+7*D359,EDATE(G359,IF(E359="Years",12,1)*D359)),"")</f>
        <v/>
      </c>
      <c r="I359" s="34" t="n"/>
      <c r="J359" s="26">
        <f>IF(ISNUMBER(H359),H359-IF(ISNUMBER(I359),I359,30),"")</f>
        <v/>
      </c>
      <c r="K359" s="35">
        <f>IF(H359="","",IF(ISNUMBER(H359),H359-TODAY(),"Check date"))</f>
        <v/>
      </c>
      <c r="L359" s="32">
        <f>IF(K359="","",IF(ISNUMBER(K359),IF(K359&lt;0,"Overdue",IF(K359&lt;=30,"Due ≤30 days",IF(K359&lt;=90,"Due ≤90 days","OK"))),"Check date"))</f>
        <v/>
      </c>
      <c r="M359" s="27" t="n"/>
      <c r="N359" s="27" t="n"/>
      <c r="O359" s="27" t="n"/>
      <c r="P359" s="27" t="n"/>
      <c r="Q359" s="27" t="n"/>
      <c r="R359" s="27" t="n"/>
    </row>
    <row r="360">
      <c r="A360" s="27" t="n"/>
      <c r="B360" s="27" t="n"/>
      <c r="C360" s="27" t="n"/>
      <c r="D360" s="34" t="n"/>
      <c r="E360" s="27" t="n"/>
      <c r="F360" s="27" t="n"/>
      <c r="G360" s="28" t="n"/>
      <c r="H360" s="26">
        <f>IF(AND(ISNUMBER(G360),ISNUMBER(D360)),IF(E360="Weeks",G360+7*D360,EDATE(G360,IF(E360="Years",12,1)*D360)),"")</f>
        <v/>
      </c>
      <c r="I360" s="34" t="n"/>
      <c r="J360" s="26">
        <f>IF(ISNUMBER(H360),H360-IF(ISNUMBER(I360),I360,30),"")</f>
        <v/>
      </c>
      <c r="K360" s="35">
        <f>IF(H360="","",IF(ISNUMBER(H360),H360-TODAY(),"Check date"))</f>
        <v/>
      </c>
      <c r="L360" s="32">
        <f>IF(K360="","",IF(ISNUMBER(K360),IF(K360&lt;0,"Overdue",IF(K360&lt;=30,"Due ≤30 days",IF(K360&lt;=90,"Due ≤90 days","OK"))),"Check date"))</f>
        <v/>
      </c>
      <c r="M360" s="27" t="n"/>
      <c r="N360" s="27" t="n"/>
      <c r="O360" s="27" t="n"/>
      <c r="P360" s="27" t="n"/>
      <c r="Q360" s="27" t="n"/>
      <c r="R360" s="27" t="n"/>
    </row>
    <row r="361">
      <c r="A361" s="27" t="n"/>
      <c r="B361" s="27" t="n"/>
      <c r="C361" s="27" t="n"/>
      <c r="D361" s="34" t="n"/>
      <c r="E361" s="27" t="n"/>
      <c r="F361" s="27" t="n"/>
      <c r="G361" s="28" t="n"/>
      <c r="H361" s="26">
        <f>IF(AND(ISNUMBER(G361),ISNUMBER(D361)),IF(E361="Weeks",G361+7*D361,EDATE(G361,IF(E361="Years",12,1)*D361)),"")</f>
        <v/>
      </c>
      <c r="I361" s="34" t="n"/>
      <c r="J361" s="26">
        <f>IF(ISNUMBER(H361),H361-IF(ISNUMBER(I361),I361,30),"")</f>
        <v/>
      </c>
      <c r="K361" s="35">
        <f>IF(H361="","",IF(ISNUMBER(H361),H361-TODAY(),"Check date"))</f>
        <v/>
      </c>
      <c r="L361" s="32">
        <f>IF(K361="","",IF(ISNUMBER(K361),IF(K361&lt;0,"Overdue",IF(K361&lt;=30,"Due ≤30 days",IF(K361&lt;=90,"Due ≤90 days","OK"))),"Check date"))</f>
        <v/>
      </c>
      <c r="M361" s="27" t="n"/>
      <c r="N361" s="27" t="n"/>
      <c r="O361" s="27" t="n"/>
      <c r="P361" s="27" t="n"/>
      <c r="Q361" s="27" t="n"/>
      <c r="R361" s="27" t="n"/>
    </row>
    <row r="362">
      <c r="A362" s="27" t="n"/>
      <c r="B362" s="27" t="n"/>
      <c r="C362" s="27" t="n"/>
      <c r="D362" s="34" t="n"/>
      <c r="E362" s="27" t="n"/>
      <c r="F362" s="27" t="n"/>
      <c r="G362" s="28" t="n"/>
      <c r="H362" s="26">
        <f>IF(AND(ISNUMBER(G362),ISNUMBER(D362)),IF(E362="Weeks",G362+7*D362,EDATE(G362,IF(E362="Years",12,1)*D362)),"")</f>
        <v/>
      </c>
      <c r="I362" s="34" t="n"/>
      <c r="J362" s="26">
        <f>IF(ISNUMBER(H362),H362-IF(ISNUMBER(I362),I362,30),"")</f>
        <v/>
      </c>
      <c r="K362" s="35">
        <f>IF(H362="","",IF(ISNUMBER(H362),H362-TODAY(),"Check date"))</f>
        <v/>
      </c>
      <c r="L362" s="32">
        <f>IF(K362="","",IF(ISNUMBER(K362),IF(K362&lt;0,"Overdue",IF(K362&lt;=30,"Due ≤30 days",IF(K362&lt;=90,"Due ≤90 days","OK"))),"Check date"))</f>
        <v/>
      </c>
      <c r="M362" s="27" t="n"/>
      <c r="N362" s="27" t="n"/>
      <c r="O362" s="27" t="n"/>
      <c r="P362" s="27" t="n"/>
      <c r="Q362" s="27" t="n"/>
      <c r="R362" s="27" t="n"/>
    </row>
    <row r="363">
      <c r="A363" s="27" t="n"/>
      <c r="B363" s="27" t="n"/>
      <c r="C363" s="27" t="n"/>
      <c r="D363" s="34" t="n"/>
      <c r="E363" s="27" t="n"/>
      <c r="F363" s="27" t="n"/>
      <c r="G363" s="28" t="n"/>
      <c r="H363" s="26">
        <f>IF(AND(ISNUMBER(G363),ISNUMBER(D363)),IF(E363="Weeks",G363+7*D363,EDATE(G363,IF(E363="Years",12,1)*D363)),"")</f>
        <v/>
      </c>
      <c r="I363" s="34" t="n"/>
      <c r="J363" s="26">
        <f>IF(ISNUMBER(H363),H363-IF(ISNUMBER(I363),I363,30),"")</f>
        <v/>
      </c>
      <c r="K363" s="35">
        <f>IF(H363="","",IF(ISNUMBER(H363),H363-TODAY(),"Check date"))</f>
        <v/>
      </c>
      <c r="L363" s="32">
        <f>IF(K363="","",IF(ISNUMBER(K363),IF(K363&lt;0,"Overdue",IF(K363&lt;=30,"Due ≤30 days",IF(K363&lt;=90,"Due ≤90 days","OK"))),"Check date"))</f>
        <v/>
      </c>
      <c r="M363" s="27" t="n"/>
      <c r="N363" s="27" t="n"/>
      <c r="O363" s="27" t="n"/>
      <c r="P363" s="27" t="n"/>
      <c r="Q363" s="27" t="n"/>
      <c r="R363" s="27" t="n"/>
    </row>
    <row r="364">
      <c r="A364" s="27" t="n"/>
      <c r="B364" s="27" t="n"/>
      <c r="C364" s="27" t="n"/>
      <c r="D364" s="34" t="n"/>
      <c r="E364" s="27" t="n"/>
      <c r="F364" s="27" t="n"/>
      <c r="G364" s="28" t="n"/>
      <c r="H364" s="26">
        <f>IF(AND(ISNUMBER(G364),ISNUMBER(D364)),IF(E364="Weeks",G364+7*D364,EDATE(G364,IF(E364="Years",12,1)*D364)),"")</f>
        <v/>
      </c>
      <c r="I364" s="34" t="n"/>
      <c r="J364" s="26">
        <f>IF(ISNUMBER(H364),H364-IF(ISNUMBER(I364),I364,30),"")</f>
        <v/>
      </c>
      <c r="K364" s="35">
        <f>IF(H364="","",IF(ISNUMBER(H364),H364-TODAY(),"Check date"))</f>
        <v/>
      </c>
      <c r="L364" s="32">
        <f>IF(K364="","",IF(ISNUMBER(K364),IF(K364&lt;0,"Overdue",IF(K364&lt;=30,"Due ≤30 days",IF(K364&lt;=90,"Due ≤90 days","OK"))),"Check date"))</f>
        <v/>
      </c>
      <c r="M364" s="27" t="n"/>
      <c r="N364" s="27" t="n"/>
      <c r="O364" s="27" t="n"/>
      <c r="P364" s="27" t="n"/>
      <c r="Q364" s="27" t="n"/>
      <c r="R364" s="27" t="n"/>
    </row>
    <row r="365">
      <c r="A365" s="27" t="n"/>
      <c r="B365" s="27" t="n"/>
      <c r="C365" s="27" t="n"/>
      <c r="D365" s="34" t="n"/>
      <c r="E365" s="27" t="n"/>
      <c r="F365" s="27" t="n"/>
      <c r="G365" s="28" t="n"/>
      <c r="H365" s="26">
        <f>IF(AND(ISNUMBER(G365),ISNUMBER(D365)),IF(E365="Weeks",G365+7*D365,EDATE(G365,IF(E365="Years",12,1)*D365)),"")</f>
        <v/>
      </c>
      <c r="I365" s="34" t="n"/>
      <c r="J365" s="26">
        <f>IF(ISNUMBER(H365),H365-IF(ISNUMBER(I365),I365,30),"")</f>
        <v/>
      </c>
      <c r="K365" s="35">
        <f>IF(H365="","",IF(ISNUMBER(H365),H365-TODAY(),"Check date"))</f>
        <v/>
      </c>
      <c r="L365" s="32">
        <f>IF(K365="","",IF(ISNUMBER(K365),IF(K365&lt;0,"Overdue",IF(K365&lt;=30,"Due ≤30 days",IF(K365&lt;=90,"Due ≤90 days","OK"))),"Check date"))</f>
        <v/>
      </c>
      <c r="M365" s="27" t="n"/>
      <c r="N365" s="27" t="n"/>
      <c r="O365" s="27" t="n"/>
      <c r="P365" s="27" t="n"/>
      <c r="Q365" s="27" t="n"/>
      <c r="R365" s="27" t="n"/>
    </row>
    <row r="366">
      <c r="A366" s="27" t="n"/>
      <c r="B366" s="27" t="n"/>
      <c r="C366" s="27" t="n"/>
      <c r="D366" s="34" t="n"/>
      <c r="E366" s="27" t="n"/>
      <c r="F366" s="27" t="n"/>
      <c r="G366" s="28" t="n"/>
      <c r="H366" s="26">
        <f>IF(AND(ISNUMBER(G366),ISNUMBER(D366)),IF(E366="Weeks",G366+7*D366,EDATE(G366,IF(E366="Years",12,1)*D366)),"")</f>
        <v/>
      </c>
      <c r="I366" s="34" t="n"/>
      <c r="J366" s="26">
        <f>IF(ISNUMBER(H366),H366-IF(ISNUMBER(I366),I366,30),"")</f>
        <v/>
      </c>
      <c r="K366" s="35">
        <f>IF(H366="","",IF(ISNUMBER(H366),H366-TODAY(),"Check date"))</f>
        <v/>
      </c>
      <c r="L366" s="32">
        <f>IF(K366="","",IF(ISNUMBER(K366),IF(K366&lt;0,"Overdue",IF(K366&lt;=30,"Due ≤30 days",IF(K366&lt;=90,"Due ≤90 days","OK"))),"Check date"))</f>
        <v/>
      </c>
      <c r="M366" s="27" t="n"/>
      <c r="N366" s="27" t="n"/>
      <c r="O366" s="27" t="n"/>
      <c r="P366" s="27" t="n"/>
      <c r="Q366" s="27" t="n"/>
      <c r="R366" s="27" t="n"/>
    </row>
    <row r="367">
      <c r="A367" s="27" t="n"/>
      <c r="B367" s="27" t="n"/>
      <c r="C367" s="27" t="n"/>
      <c r="D367" s="34" t="n"/>
      <c r="E367" s="27" t="n"/>
      <c r="F367" s="27" t="n"/>
      <c r="G367" s="28" t="n"/>
      <c r="H367" s="26">
        <f>IF(AND(ISNUMBER(G367),ISNUMBER(D367)),IF(E367="Weeks",G367+7*D367,EDATE(G367,IF(E367="Years",12,1)*D367)),"")</f>
        <v/>
      </c>
      <c r="I367" s="34" t="n"/>
      <c r="J367" s="26">
        <f>IF(ISNUMBER(H367),H367-IF(ISNUMBER(I367),I367,30),"")</f>
        <v/>
      </c>
      <c r="K367" s="35">
        <f>IF(H367="","",IF(ISNUMBER(H367),H367-TODAY(),"Check date"))</f>
        <v/>
      </c>
      <c r="L367" s="32">
        <f>IF(K367="","",IF(ISNUMBER(K367),IF(K367&lt;0,"Overdue",IF(K367&lt;=30,"Due ≤30 days",IF(K367&lt;=90,"Due ≤90 days","OK"))),"Check date"))</f>
        <v/>
      </c>
      <c r="M367" s="27" t="n"/>
      <c r="N367" s="27" t="n"/>
      <c r="O367" s="27" t="n"/>
      <c r="P367" s="27" t="n"/>
      <c r="Q367" s="27" t="n"/>
      <c r="R367" s="27" t="n"/>
    </row>
    <row r="368">
      <c r="A368" s="27" t="n"/>
      <c r="B368" s="27" t="n"/>
      <c r="C368" s="27" t="n"/>
      <c r="D368" s="34" t="n"/>
      <c r="E368" s="27" t="n"/>
      <c r="F368" s="27" t="n"/>
      <c r="G368" s="28" t="n"/>
      <c r="H368" s="26">
        <f>IF(AND(ISNUMBER(G368),ISNUMBER(D368)),IF(E368="Weeks",G368+7*D368,EDATE(G368,IF(E368="Years",12,1)*D368)),"")</f>
        <v/>
      </c>
      <c r="I368" s="34" t="n"/>
      <c r="J368" s="26">
        <f>IF(ISNUMBER(H368),H368-IF(ISNUMBER(I368),I368,30),"")</f>
        <v/>
      </c>
      <c r="K368" s="35">
        <f>IF(H368="","",IF(ISNUMBER(H368),H368-TODAY(),"Check date"))</f>
        <v/>
      </c>
      <c r="L368" s="32">
        <f>IF(K368="","",IF(ISNUMBER(K368),IF(K368&lt;0,"Overdue",IF(K368&lt;=30,"Due ≤30 days",IF(K368&lt;=90,"Due ≤90 days","OK"))),"Check date"))</f>
        <v/>
      </c>
      <c r="M368" s="27" t="n"/>
      <c r="N368" s="27" t="n"/>
      <c r="O368" s="27" t="n"/>
      <c r="P368" s="27" t="n"/>
      <c r="Q368" s="27" t="n"/>
      <c r="R368" s="27" t="n"/>
    </row>
    <row r="369">
      <c r="A369" s="27" t="n"/>
      <c r="B369" s="27" t="n"/>
      <c r="C369" s="27" t="n"/>
      <c r="D369" s="34" t="n"/>
      <c r="E369" s="27" t="n"/>
      <c r="F369" s="27" t="n"/>
      <c r="G369" s="28" t="n"/>
      <c r="H369" s="26">
        <f>IF(AND(ISNUMBER(G369),ISNUMBER(D369)),IF(E369="Weeks",G369+7*D369,EDATE(G369,IF(E369="Years",12,1)*D369)),"")</f>
        <v/>
      </c>
      <c r="I369" s="34" t="n"/>
      <c r="J369" s="26">
        <f>IF(ISNUMBER(H369),H369-IF(ISNUMBER(I369),I369,30),"")</f>
        <v/>
      </c>
      <c r="K369" s="35">
        <f>IF(H369="","",IF(ISNUMBER(H369),H369-TODAY(),"Check date"))</f>
        <v/>
      </c>
      <c r="L369" s="32">
        <f>IF(K369="","",IF(ISNUMBER(K369),IF(K369&lt;0,"Overdue",IF(K369&lt;=30,"Due ≤30 days",IF(K369&lt;=90,"Due ≤90 days","OK"))),"Check date"))</f>
        <v/>
      </c>
      <c r="M369" s="27" t="n"/>
      <c r="N369" s="27" t="n"/>
      <c r="O369" s="27" t="n"/>
      <c r="P369" s="27" t="n"/>
      <c r="Q369" s="27" t="n"/>
      <c r="R369" s="27" t="n"/>
    </row>
    <row r="370">
      <c r="A370" s="27" t="n"/>
      <c r="B370" s="27" t="n"/>
      <c r="C370" s="27" t="n"/>
      <c r="D370" s="34" t="n"/>
      <c r="E370" s="27" t="n"/>
      <c r="F370" s="27" t="n"/>
      <c r="G370" s="28" t="n"/>
      <c r="H370" s="26">
        <f>IF(AND(ISNUMBER(G370),ISNUMBER(D370)),IF(E370="Weeks",G370+7*D370,EDATE(G370,IF(E370="Years",12,1)*D370)),"")</f>
        <v/>
      </c>
      <c r="I370" s="34" t="n"/>
      <c r="J370" s="26">
        <f>IF(ISNUMBER(H370),H370-IF(ISNUMBER(I370),I370,30),"")</f>
        <v/>
      </c>
      <c r="K370" s="35">
        <f>IF(H370="","",IF(ISNUMBER(H370),H370-TODAY(),"Check date"))</f>
        <v/>
      </c>
      <c r="L370" s="32">
        <f>IF(K370="","",IF(ISNUMBER(K370),IF(K370&lt;0,"Overdue",IF(K370&lt;=30,"Due ≤30 days",IF(K370&lt;=90,"Due ≤90 days","OK"))),"Check date"))</f>
        <v/>
      </c>
      <c r="M370" s="27" t="n"/>
      <c r="N370" s="27" t="n"/>
      <c r="O370" s="27" t="n"/>
      <c r="P370" s="27" t="n"/>
      <c r="Q370" s="27" t="n"/>
      <c r="R370" s="27" t="n"/>
    </row>
    <row r="371">
      <c r="A371" s="27" t="n"/>
      <c r="B371" s="27" t="n"/>
      <c r="C371" s="27" t="n"/>
      <c r="D371" s="34" t="n"/>
      <c r="E371" s="27" t="n"/>
      <c r="F371" s="27" t="n"/>
      <c r="G371" s="28" t="n"/>
      <c r="H371" s="26">
        <f>IF(AND(ISNUMBER(G371),ISNUMBER(D371)),IF(E371="Weeks",G371+7*D371,EDATE(G371,IF(E371="Years",12,1)*D371)),"")</f>
        <v/>
      </c>
      <c r="I371" s="34" t="n"/>
      <c r="J371" s="26">
        <f>IF(ISNUMBER(H371),H371-IF(ISNUMBER(I371),I371,30),"")</f>
        <v/>
      </c>
      <c r="K371" s="35">
        <f>IF(H371="","",IF(ISNUMBER(H371),H371-TODAY(),"Check date"))</f>
        <v/>
      </c>
      <c r="L371" s="32">
        <f>IF(K371="","",IF(ISNUMBER(K371),IF(K371&lt;0,"Overdue",IF(K371&lt;=30,"Due ≤30 days",IF(K371&lt;=90,"Due ≤90 days","OK"))),"Check date"))</f>
        <v/>
      </c>
      <c r="M371" s="27" t="n"/>
      <c r="N371" s="27" t="n"/>
      <c r="O371" s="27" t="n"/>
      <c r="P371" s="27" t="n"/>
      <c r="Q371" s="27" t="n"/>
      <c r="R371" s="27" t="n"/>
    </row>
    <row r="372">
      <c r="A372" s="27" t="n"/>
      <c r="B372" s="27" t="n"/>
      <c r="C372" s="27" t="n"/>
      <c r="D372" s="34" t="n"/>
      <c r="E372" s="27" t="n"/>
      <c r="F372" s="27" t="n"/>
      <c r="G372" s="28" t="n"/>
      <c r="H372" s="26">
        <f>IF(AND(ISNUMBER(G372),ISNUMBER(D372)),IF(E372="Weeks",G372+7*D372,EDATE(G372,IF(E372="Years",12,1)*D372)),"")</f>
        <v/>
      </c>
      <c r="I372" s="34" t="n"/>
      <c r="J372" s="26">
        <f>IF(ISNUMBER(H372),H372-IF(ISNUMBER(I372),I372,30),"")</f>
        <v/>
      </c>
      <c r="K372" s="35">
        <f>IF(H372="","",IF(ISNUMBER(H372),H372-TODAY(),"Check date"))</f>
        <v/>
      </c>
      <c r="L372" s="32">
        <f>IF(K372="","",IF(ISNUMBER(K372),IF(K372&lt;0,"Overdue",IF(K372&lt;=30,"Due ≤30 days",IF(K372&lt;=90,"Due ≤90 days","OK"))),"Check date"))</f>
        <v/>
      </c>
      <c r="M372" s="27" t="n"/>
      <c r="N372" s="27" t="n"/>
      <c r="O372" s="27" t="n"/>
      <c r="P372" s="27" t="n"/>
      <c r="Q372" s="27" t="n"/>
      <c r="R372" s="27" t="n"/>
    </row>
    <row r="373">
      <c r="A373" s="27" t="n"/>
      <c r="B373" s="27" t="n"/>
      <c r="C373" s="27" t="n"/>
      <c r="D373" s="34" t="n"/>
      <c r="E373" s="27" t="n"/>
      <c r="F373" s="27" t="n"/>
      <c r="G373" s="28" t="n"/>
      <c r="H373" s="26">
        <f>IF(AND(ISNUMBER(G373),ISNUMBER(D373)),IF(E373="Weeks",G373+7*D373,EDATE(G373,IF(E373="Years",12,1)*D373)),"")</f>
        <v/>
      </c>
      <c r="I373" s="34" t="n"/>
      <c r="J373" s="26">
        <f>IF(ISNUMBER(H373),H373-IF(ISNUMBER(I373),I373,30),"")</f>
        <v/>
      </c>
      <c r="K373" s="35">
        <f>IF(H373="","",IF(ISNUMBER(H373),H373-TODAY(),"Check date"))</f>
        <v/>
      </c>
      <c r="L373" s="32">
        <f>IF(K373="","",IF(ISNUMBER(K373),IF(K373&lt;0,"Overdue",IF(K373&lt;=30,"Due ≤30 days",IF(K373&lt;=90,"Due ≤90 days","OK"))),"Check date"))</f>
        <v/>
      </c>
      <c r="M373" s="27" t="n"/>
      <c r="N373" s="27" t="n"/>
      <c r="O373" s="27" t="n"/>
      <c r="P373" s="27" t="n"/>
      <c r="Q373" s="27" t="n"/>
      <c r="R373" s="27" t="n"/>
    </row>
    <row r="374">
      <c r="A374" s="27" t="n"/>
      <c r="B374" s="27" t="n"/>
      <c r="C374" s="27" t="n"/>
      <c r="D374" s="34" t="n"/>
      <c r="E374" s="27" t="n"/>
      <c r="F374" s="27" t="n"/>
      <c r="G374" s="28" t="n"/>
      <c r="H374" s="26">
        <f>IF(AND(ISNUMBER(G374),ISNUMBER(D374)),IF(E374="Weeks",G374+7*D374,EDATE(G374,IF(E374="Years",12,1)*D374)),"")</f>
        <v/>
      </c>
      <c r="I374" s="34" t="n"/>
      <c r="J374" s="26">
        <f>IF(ISNUMBER(H374),H374-IF(ISNUMBER(I374),I374,30),"")</f>
        <v/>
      </c>
      <c r="K374" s="35">
        <f>IF(H374="","",IF(ISNUMBER(H374),H374-TODAY(),"Check date"))</f>
        <v/>
      </c>
      <c r="L374" s="32">
        <f>IF(K374="","",IF(ISNUMBER(K374),IF(K374&lt;0,"Overdue",IF(K374&lt;=30,"Due ≤30 days",IF(K374&lt;=90,"Due ≤90 days","OK"))),"Check date"))</f>
        <v/>
      </c>
      <c r="M374" s="27" t="n"/>
      <c r="N374" s="27" t="n"/>
      <c r="O374" s="27" t="n"/>
      <c r="P374" s="27" t="n"/>
      <c r="Q374" s="27" t="n"/>
      <c r="R374" s="27" t="n"/>
    </row>
    <row r="375">
      <c r="A375" s="27" t="n"/>
      <c r="B375" s="27" t="n"/>
      <c r="C375" s="27" t="n"/>
      <c r="D375" s="34" t="n"/>
      <c r="E375" s="27" t="n"/>
      <c r="F375" s="27" t="n"/>
      <c r="G375" s="28" t="n"/>
      <c r="H375" s="26">
        <f>IF(AND(ISNUMBER(G375),ISNUMBER(D375)),IF(E375="Weeks",G375+7*D375,EDATE(G375,IF(E375="Years",12,1)*D375)),"")</f>
        <v/>
      </c>
      <c r="I375" s="34" t="n"/>
      <c r="J375" s="26">
        <f>IF(ISNUMBER(H375),H375-IF(ISNUMBER(I375),I375,30),"")</f>
        <v/>
      </c>
      <c r="K375" s="35">
        <f>IF(H375="","",IF(ISNUMBER(H375),H375-TODAY(),"Check date"))</f>
        <v/>
      </c>
      <c r="L375" s="32">
        <f>IF(K375="","",IF(ISNUMBER(K375),IF(K375&lt;0,"Overdue",IF(K375&lt;=30,"Due ≤30 days",IF(K375&lt;=90,"Due ≤90 days","OK"))),"Check date"))</f>
        <v/>
      </c>
      <c r="M375" s="27" t="n"/>
      <c r="N375" s="27" t="n"/>
      <c r="O375" s="27" t="n"/>
      <c r="P375" s="27" t="n"/>
      <c r="Q375" s="27" t="n"/>
      <c r="R375" s="27" t="n"/>
    </row>
    <row r="376">
      <c r="A376" s="27" t="n"/>
      <c r="B376" s="27" t="n"/>
      <c r="C376" s="27" t="n"/>
      <c r="D376" s="34" t="n"/>
      <c r="E376" s="27" t="n"/>
      <c r="F376" s="27" t="n"/>
      <c r="G376" s="28" t="n"/>
      <c r="H376" s="26">
        <f>IF(AND(ISNUMBER(G376),ISNUMBER(D376)),IF(E376="Weeks",G376+7*D376,EDATE(G376,IF(E376="Years",12,1)*D376)),"")</f>
        <v/>
      </c>
      <c r="I376" s="34" t="n"/>
      <c r="J376" s="26">
        <f>IF(ISNUMBER(H376),H376-IF(ISNUMBER(I376),I376,30),"")</f>
        <v/>
      </c>
      <c r="K376" s="35">
        <f>IF(H376="","",IF(ISNUMBER(H376),H376-TODAY(),"Check date"))</f>
        <v/>
      </c>
      <c r="L376" s="32">
        <f>IF(K376="","",IF(ISNUMBER(K376),IF(K376&lt;0,"Overdue",IF(K376&lt;=30,"Due ≤30 days",IF(K376&lt;=90,"Due ≤90 days","OK"))),"Check date"))</f>
        <v/>
      </c>
      <c r="M376" s="27" t="n"/>
      <c r="N376" s="27" t="n"/>
      <c r="O376" s="27" t="n"/>
      <c r="P376" s="27" t="n"/>
      <c r="Q376" s="27" t="n"/>
      <c r="R376" s="27" t="n"/>
    </row>
    <row r="377">
      <c r="A377" s="27" t="n"/>
      <c r="B377" s="27" t="n"/>
      <c r="C377" s="27" t="n"/>
      <c r="D377" s="34" t="n"/>
      <c r="E377" s="27" t="n"/>
      <c r="F377" s="27" t="n"/>
      <c r="G377" s="28" t="n"/>
      <c r="H377" s="26">
        <f>IF(AND(ISNUMBER(G377),ISNUMBER(D377)),IF(E377="Weeks",G377+7*D377,EDATE(G377,IF(E377="Years",12,1)*D377)),"")</f>
        <v/>
      </c>
      <c r="I377" s="34" t="n"/>
      <c r="J377" s="26">
        <f>IF(ISNUMBER(H377),H377-IF(ISNUMBER(I377),I377,30),"")</f>
        <v/>
      </c>
      <c r="K377" s="35">
        <f>IF(H377="","",IF(ISNUMBER(H377),H377-TODAY(),"Check date"))</f>
        <v/>
      </c>
      <c r="L377" s="32">
        <f>IF(K377="","",IF(ISNUMBER(K377),IF(K377&lt;0,"Overdue",IF(K377&lt;=30,"Due ≤30 days",IF(K377&lt;=90,"Due ≤90 days","OK"))),"Check date"))</f>
        <v/>
      </c>
      <c r="M377" s="27" t="n"/>
      <c r="N377" s="27" t="n"/>
      <c r="O377" s="27" t="n"/>
      <c r="P377" s="27" t="n"/>
      <c r="Q377" s="27" t="n"/>
      <c r="R377" s="27" t="n"/>
    </row>
    <row r="378">
      <c r="A378" s="27" t="n"/>
      <c r="B378" s="27" t="n"/>
      <c r="C378" s="27" t="n"/>
      <c r="D378" s="34" t="n"/>
      <c r="E378" s="27" t="n"/>
      <c r="F378" s="27" t="n"/>
      <c r="G378" s="28" t="n"/>
      <c r="H378" s="26">
        <f>IF(AND(ISNUMBER(G378),ISNUMBER(D378)),IF(E378="Weeks",G378+7*D378,EDATE(G378,IF(E378="Years",12,1)*D378)),"")</f>
        <v/>
      </c>
      <c r="I378" s="34" t="n"/>
      <c r="J378" s="26">
        <f>IF(ISNUMBER(H378),H378-IF(ISNUMBER(I378),I378,30),"")</f>
        <v/>
      </c>
      <c r="K378" s="35">
        <f>IF(H378="","",IF(ISNUMBER(H378),H378-TODAY(),"Check date"))</f>
        <v/>
      </c>
      <c r="L378" s="32">
        <f>IF(K378="","",IF(ISNUMBER(K378),IF(K378&lt;0,"Overdue",IF(K378&lt;=30,"Due ≤30 days",IF(K378&lt;=90,"Due ≤90 days","OK"))),"Check date"))</f>
        <v/>
      </c>
      <c r="M378" s="27" t="n"/>
      <c r="N378" s="27" t="n"/>
      <c r="O378" s="27" t="n"/>
      <c r="P378" s="27" t="n"/>
      <c r="Q378" s="27" t="n"/>
      <c r="R378" s="27" t="n"/>
    </row>
    <row r="379">
      <c r="A379" s="27" t="n"/>
      <c r="B379" s="27" t="n"/>
      <c r="C379" s="27" t="n"/>
      <c r="D379" s="34" t="n"/>
      <c r="E379" s="27" t="n"/>
      <c r="F379" s="27" t="n"/>
      <c r="G379" s="28" t="n"/>
      <c r="H379" s="26">
        <f>IF(AND(ISNUMBER(G379),ISNUMBER(D379)),IF(E379="Weeks",G379+7*D379,EDATE(G379,IF(E379="Years",12,1)*D379)),"")</f>
        <v/>
      </c>
      <c r="I379" s="34" t="n"/>
      <c r="J379" s="26">
        <f>IF(ISNUMBER(H379),H379-IF(ISNUMBER(I379),I379,30),"")</f>
        <v/>
      </c>
      <c r="K379" s="35">
        <f>IF(H379="","",IF(ISNUMBER(H379),H379-TODAY(),"Check date"))</f>
        <v/>
      </c>
      <c r="L379" s="32">
        <f>IF(K379="","",IF(ISNUMBER(K379),IF(K379&lt;0,"Overdue",IF(K379&lt;=30,"Due ≤30 days",IF(K379&lt;=90,"Due ≤90 days","OK"))),"Check date"))</f>
        <v/>
      </c>
      <c r="M379" s="27" t="n"/>
      <c r="N379" s="27" t="n"/>
      <c r="O379" s="27" t="n"/>
      <c r="P379" s="27" t="n"/>
      <c r="Q379" s="27" t="n"/>
      <c r="R379" s="27" t="n"/>
    </row>
    <row r="380">
      <c r="A380" s="27" t="n"/>
      <c r="B380" s="27" t="n"/>
      <c r="C380" s="27" t="n"/>
      <c r="D380" s="34" t="n"/>
      <c r="E380" s="27" t="n"/>
      <c r="F380" s="27" t="n"/>
      <c r="G380" s="28" t="n"/>
      <c r="H380" s="26">
        <f>IF(AND(ISNUMBER(G380),ISNUMBER(D380)),IF(E380="Weeks",G380+7*D380,EDATE(G380,IF(E380="Years",12,1)*D380)),"")</f>
        <v/>
      </c>
      <c r="I380" s="34" t="n"/>
      <c r="J380" s="26">
        <f>IF(ISNUMBER(H380),H380-IF(ISNUMBER(I380),I380,30),"")</f>
        <v/>
      </c>
      <c r="K380" s="35">
        <f>IF(H380="","",IF(ISNUMBER(H380),H380-TODAY(),"Check date"))</f>
        <v/>
      </c>
      <c r="L380" s="32">
        <f>IF(K380="","",IF(ISNUMBER(K380),IF(K380&lt;0,"Overdue",IF(K380&lt;=30,"Due ≤30 days",IF(K380&lt;=90,"Due ≤90 days","OK"))),"Check date"))</f>
        <v/>
      </c>
      <c r="M380" s="27" t="n"/>
      <c r="N380" s="27" t="n"/>
      <c r="O380" s="27" t="n"/>
      <c r="P380" s="27" t="n"/>
      <c r="Q380" s="27" t="n"/>
      <c r="R380" s="27" t="n"/>
    </row>
    <row r="381">
      <c r="A381" s="27" t="n"/>
      <c r="B381" s="27" t="n"/>
      <c r="C381" s="27" t="n"/>
      <c r="D381" s="34" t="n"/>
      <c r="E381" s="27" t="n"/>
      <c r="F381" s="27" t="n"/>
      <c r="G381" s="28" t="n"/>
      <c r="H381" s="26">
        <f>IF(AND(ISNUMBER(G381),ISNUMBER(D381)),IF(E381="Weeks",G381+7*D381,EDATE(G381,IF(E381="Years",12,1)*D381)),"")</f>
        <v/>
      </c>
      <c r="I381" s="34" t="n"/>
      <c r="J381" s="26">
        <f>IF(ISNUMBER(H381),H381-IF(ISNUMBER(I381),I381,30),"")</f>
        <v/>
      </c>
      <c r="K381" s="35">
        <f>IF(H381="","",IF(ISNUMBER(H381),H381-TODAY(),"Check date"))</f>
        <v/>
      </c>
      <c r="L381" s="32">
        <f>IF(K381="","",IF(ISNUMBER(K381),IF(K381&lt;0,"Overdue",IF(K381&lt;=30,"Due ≤30 days",IF(K381&lt;=90,"Due ≤90 days","OK"))),"Check date"))</f>
        <v/>
      </c>
      <c r="M381" s="27" t="n"/>
      <c r="N381" s="27" t="n"/>
      <c r="O381" s="27" t="n"/>
      <c r="P381" s="27" t="n"/>
      <c r="Q381" s="27" t="n"/>
      <c r="R381" s="27" t="n"/>
    </row>
    <row r="382">
      <c r="A382" s="27" t="n"/>
      <c r="B382" s="27" t="n"/>
      <c r="C382" s="27" t="n"/>
      <c r="D382" s="34" t="n"/>
      <c r="E382" s="27" t="n"/>
      <c r="F382" s="27" t="n"/>
      <c r="G382" s="28" t="n"/>
      <c r="H382" s="26">
        <f>IF(AND(ISNUMBER(G382),ISNUMBER(D382)),IF(E382="Weeks",G382+7*D382,EDATE(G382,IF(E382="Years",12,1)*D382)),"")</f>
        <v/>
      </c>
      <c r="I382" s="34" t="n"/>
      <c r="J382" s="26">
        <f>IF(ISNUMBER(H382),H382-IF(ISNUMBER(I382),I382,30),"")</f>
        <v/>
      </c>
      <c r="K382" s="35">
        <f>IF(H382="","",IF(ISNUMBER(H382),H382-TODAY(),"Check date"))</f>
        <v/>
      </c>
      <c r="L382" s="32">
        <f>IF(K382="","",IF(ISNUMBER(K382),IF(K382&lt;0,"Overdue",IF(K382&lt;=30,"Due ≤30 days",IF(K382&lt;=90,"Due ≤90 days","OK"))),"Check date"))</f>
        <v/>
      </c>
      <c r="M382" s="27" t="n"/>
      <c r="N382" s="27" t="n"/>
      <c r="O382" s="27" t="n"/>
      <c r="P382" s="27" t="n"/>
      <c r="Q382" s="27" t="n"/>
      <c r="R382" s="27" t="n"/>
    </row>
    <row r="383">
      <c r="A383" s="27" t="n"/>
      <c r="B383" s="27" t="n"/>
      <c r="C383" s="27" t="n"/>
      <c r="D383" s="34" t="n"/>
      <c r="E383" s="27" t="n"/>
      <c r="F383" s="27" t="n"/>
      <c r="G383" s="28" t="n"/>
      <c r="H383" s="26">
        <f>IF(AND(ISNUMBER(G383),ISNUMBER(D383)),IF(E383="Weeks",G383+7*D383,EDATE(G383,IF(E383="Years",12,1)*D383)),"")</f>
        <v/>
      </c>
      <c r="I383" s="34" t="n"/>
      <c r="J383" s="26">
        <f>IF(ISNUMBER(H383),H383-IF(ISNUMBER(I383),I383,30),"")</f>
        <v/>
      </c>
      <c r="K383" s="35">
        <f>IF(H383="","",IF(ISNUMBER(H383),H383-TODAY(),"Check date"))</f>
        <v/>
      </c>
      <c r="L383" s="32">
        <f>IF(K383="","",IF(ISNUMBER(K383),IF(K383&lt;0,"Overdue",IF(K383&lt;=30,"Due ≤30 days",IF(K383&lt;=90,"Due ≤90 days","OK"))),"Check date"))</f>
        <v/>
      </c>
      <c r="M383" s="27" t="n"/>
      <c r="N383" s="27" t="n"/>
      <c r="O383" s="27" t="n"/>
      <c r="P383" s="27" t="n"/>
      <c r="Q383" s="27" t="n"/>
      <c r="R383" s="27" t="n"/>
    </row>
    <row r="384">
      <c r="A384" s="27" t="n"/>
      <c r="B384" s="27" t="n"/>
      <c r="C384" s="27" t="n"/>
      <c r="D384" s="34" t="n"/>
      <c r="E384" s="27" t="n"/>
      <c r="F384" s="27" t="n"/>
      <c r="G384" s="28" t="n"/>
      <c r="H384" s="26">
        <f>IF(AND(ISNUMBER(G384),ISNUMBER(D384)),IF(E384="Weeks",G384+7*D384,EDATE(G384,IF(E384="Years",12,1)*D384)),"")</f>
        <v/>
      </c>
      <c r="I384" s="34" t="n"/>
      <c r="J384" s="26">
        <f>IF(ISNUMBER(H384),H384-IF(ISNUMBER(I384),I384,30),"")</f>
        <v/>
      </c>
      <c r="K384" s="35">
        <f>IF(H384="","",IF(ISNUMBER(H384),H384-TODAY(),"Check date"))</f>
        <v/>
      </c>
      <c r="L384" s="32">
        <f>IF(K384="","",IF(ISNUMBER(K384),IF(K384&lt;0,"Overdue",IF(K384&lt;=30,"Due ≤30 days",IF(K384&lt;=90,"Due ≤90 days","OK"))),"Check date"))</f>
        <v/>
      </c>
      <c r="M384" s="27" t="n"/>
      <c r="N384" s="27" t="n"/>
      <c r="O384" s="27" t="n"/>
      <c r="P384" s="27" t="n"/>
      <c r="Q384" s="27" t="n"/>
      <c r="R384" s="27" t="n"/>
    </row>
    <row r="385">
      <c r="A385" s="27" t="n"/>
      <c r="B385" s="27" t="n"/>
      <c r="C385" s="27" t="n"/>
      <c r="D385" s="34" t="n"/>
      <c r="E385" s="27" t="n"/>
      <c r="F385" s="27" t="n"/>
      <c r="G385" s="28" t="n"/>
      <c r="H385" s="26">
        <f>IF(AND(ISNUMBER(G385),ISNUMBER(D385)),IF(E385="Weeks",G385+7*D385,EDATE(G385,IF(E385="Years",12,1)*D385)),"")</f>
        <v/>
      </c>
      <c r="I385" s="34" t="n"/>
      <c r="J385" s="26">
        <f>IF(ISNUMBER(H385),H385-IF(ISNUMBER(I385),I385,30),"")</f>
        <v/>
      </c>
      <c r="K385" s="35">
        <f>IF(H385="","",IF(ISNUMBER(H385),H385-TODAY(),"Check date"))</f>
        <v/>
      </c>
      <c r="L385" s="32">
        <f>IF(K385="","",IF(ISNUMBER(K385),IF(K385&lt;0,"Overdue",IF(K385&lt;=30,"Due ≤30 days",IF(K385&lt;=90,"Due ≤90 days","OK"))),"Check date"))</f>
        <v/>
      </c>
      <c r="M385" s="27" t="n"/>
      <c r="N385" s="27" t="n"/>
      <c r="O385" s="27" t="n"/>
      <c r="P385" s="27" t="n"/>
      <c r="Q385" s="27" t="n"/>
      <c r="R385" s="27" t="n"/>
    </row>
    <row r="386">
      <c r="A386" s="27" t="n"/>
      <c r="B386" s="27" t="n"/>
      <c r="C386" s="27" t="n"/>
      <c r="D386" s="34" t="n"/>
      <c r="E386" s="27" t="n"/>
      <c r="F386" s="27" t="n"/>
      <c r="G386" s="28" t="n"/>
      <c r="H386" s="26">
        <f>IF(AND(ISNUMBER(G386),ISNUMBER(D386)),IF(E386="Weeks",G386+7*D386,EDATE(G386,IF(E386="Years",12,1)*D386)),"")</f>
        <v/>
      </c>
      <c r="I386" s="34" t="n"/>
      <c r="J386" s="26">
        <f>IF(ISNUMBER(H386),H386-IF(ISNUMBER(I386),I386,30),"")</f>
        <v/>
      </c>
      <c r="K386" s="35">
        <f>IF(H386="","",IF(ISNUMBER(H386),H386-TODAY(),"Check date"))</f>
        <v/>
      </c>
      <c r="L386" s="32">
        <f>IF(K386="","",IF(ISNUMBER(K386),IF(K386&lt;0,"Overdue",IF(K386&lt;=30,"Due ≤30 days",IF(K386&lt;=90,"Due ≤90 days","OK"))),"Check date"))</f>
        <v/>
      </c>
      <c r="M386" s="27" t="n"/>
      <c r="N386" s="27" t="n"/>
      <c r="O386" s="27" t="n"/>
      <c r="P386" s="27" t="n"/>
      <c r="Q386" s="27" t="n"/>
      <c r="R386" s="27" t="n"/>
    </row>
    <row r="387">
      <c r="A387" s="27" t="n"/>
      <c r="B387" s="27" t="n"/>
      <c r="C387" s="27" t="n"/>
      <c r="D387" s="34" t="n"/>
      <c r="E387" s="27" t="n"/>
      <c r="F387" s="27" t="n"/>
      <c r="G387" s="28" t="n"/>
      <c r="H387" s="26">
        <f>IF(AND(ISNUMBER(G387),ISNUMBER(D387)),IF(E387="Weeks",G387+7*D387,EDATE(G387,IF(E387="Years",12,1)*D387)),"")</f>
        <v/>
      </c>
      <c r="I387" s="34" t="n"/>
      <c r="J387" s="26">
        <f>IF(ISNUMBER(H387),H387-IF(ISNUMBER(I387),I387,30),"")</f>
        <v/>
      </c>
      <c r="K387" s="35">
        <f>IF(H387="","",IF(ISNUMBER(H387),H387-TODAY(),"Check date"))</f>
        <v/>
      </c>
      <c r="L387" s="32">
        <f>IF(K387="","",IF(ISNUMBER(K387),IF(K387&lt;0,"Overdue",IF(K387&lt;=30,"Due ≤30 days",IF(K387&lt;=90,"Due ≤90 days","OK"))),"Check date"))</f>
        <v/>
      </c>
      <c r="M387" s="27" t="n"/>
      <c r="N387" s="27" t="n"/>
      <c r="O387" s="27" t="n"/>
      <c r="P387" s="27" t="n"/>
      <c r="Q387" s="27" t="n"/>
      <c r="R387" s="27" t="n"/>
    </row>
    <row r="388">
      <c r="A388" s="27" t="n"/>
      <c r="B388" s="27" t="n"/>
      <c r="C388" s="27" t="n"/>
      <c r="D388" s="34" t="n"/>
      <c r="E388" s="27" t="n"/>
      <c r="F388" s="27" t="n"/>
      <c r="G388" s="28" t="n"/>
      <c r="H388" s="26">
        <f>IF(AND(ISNUMBER(G388),ISNUMBER(D388)),IF(E388="Weeks",G388+7*D388,EDATE(G388,IF(E388="Years",12,1)*D388)),"")</f>
        <v/>
      </c>
      <c r="I388" s="34" t="n"/>
      <c r="J388" s="26">
        <f>IF(ISNUMBER(H388),H388-IF(ISNUMBER(I388),I388,30),"")</f>
        <v/>
      </c>
      <c r="K388" s="35">
        <f>IF(H388="","",IF(ISNUMBER(H388),H388-TODAY(),"Check date"))</f>
        <v/>
      </c>
      <c r="L388" s="32">
        <f>IF(K388="","",IF(ISNUMBER(K388),IF(K388&lt;0,"Overdue",IF(K388&lt;=30,"Due ≤30 days",IF(K388&lt;=90,"Due ≤90 days","OK"))),"Check date"))</f>
        <v/>
      </c>
      <c r="M388" s="27" t="n"/>
      <c r="N388" s="27" t="n"/>
      <c r="O388" s="27" t="n"/>
      <c r="P388" s="27" t="n"/>
      <c r="Q388" s="27" t="n"/>
      <c r="R388" s="27" t="n"/>
    </row>
    <row r="389">
      <c r="A389" s="27" t="n"/>
      <c r="B389" s="27" t="n"/>
      <c r="C389" s="27" t="n"/>
      <c r="D389" s="34" t="n"/>
      <c r="E389" s="27" t="n"/>
      <c r="F389" s="27" t="n"/>
      <c r="G389" s="28" t="n"/>
      <c r="H389" s="26">
        <f>IF(AND(ISNUMBER(G389),ISNUMBER(D389)),IF(E389="Weeks",G389+7*D389,EDATE(G389,IF(E389="Years",12,1)*D389)),"")</f>
        <v/>
      </c>
      <c r="I389" s="34" t="n"/>
      <c r="J389" s="26">
        <f>IF(ISNUMBER(H389),H389-IF(ISNUMBER(I389),I389,30),"")</f>
        <v/>
      </c>
      <c r="K389" s="35">
        <f>IF(H389="","",IF(ISNUMBER(H389),H389-TODAY(),"Check date"))</f>
        <v/>
      </c>
      <c r="L389" s="32">
        <f>IF(K389="","",IF(ISNUMBER(K389),IF(K389&lt;0,"Overdue",IF(K389&lt;=30,"Due ≤30 days",IF(K389&lt;=90,"Due ≤90 days","OK"))),"Check date"))</f>
        <v/>
      </c>
      <c r="M389" s="27" t="n"/>
      <c r="N389" s="27" t="n"/>
      <c r="O389" s="27" t="n"/>
      <c r="P389" s="27" t="n"/>
      <c r="Q389" s="27" t="n"/>
      <c r="R389" s="27" t="n"/>
    </row>
    <row r="390">
      <c r="A390" s="27" t="n"/>
      <c r="B390" s="27" t="n"/>
      <c r="C390" s="27" t="n"/>
      <c r="D390" s="34" t="n"/>
      <c r="E390" s="27" t="n"/>
      <c r="F390" s="27" t="n"/>
      <c r="G390" s="28" t="n"/>
      <c r="H390" s="26">
        <f>IF(AND(ISNUMBER(G390),ISNUMBER(D390)),IF(E390="Weeks",G390+7*D390,EDATE(G390,IF(E390="Years",12,1)*D390)),"")</f>
        <v/>
      </c>
      <c r="I390" s="34" t="n"/>
      <c r="J390" s="26">
        <f>IF(ISNUMBER(H390),H390-IF(ISNUMBER(I390),I390,30),"")</f>
        <v/>
      </c>
      <c r="K390" s="35">
        <f>IF(H390="","",IF(ISNUMBER(H390),H390-TODAY(),"Check date"))</f>
        <v/>
      </c>
      <c r="L390" s="32">
        <f>IF(K390="","",IF(ISNUMBER(K390),IF(K390&lt;0,"Overdue",IF(K390&lt;=30,"Due ≤30 days",IF(K390&lt;=90,"Due ≤90 days","OK"))),"Check date"))</f>
        <v/>
      </c>
      <c r="M390" s="27" t="n"/>
      <c r="N390" s="27" t="n"/>
      <c r="O390" s="27" t="n"/>
      <c r="P390" s="27" t="n"/>
      <c r="Q390" s="27" t="n"/>
      <c r="R390" s="27" t="n"/>
    </row>
    <row r="391">
      <c r="A391" s="27" t="n"/>
      <c r="B391" s="27" t="n"/>
      <c r="C391" s="27" t="n"/>
      <c r="D391" s="34" t="n"/>
      <c r="E391" s="27" t="n"/>
      <c r="F391" s="27" t="n"/>
      <c r="G391" s="28" t="n"/>
      <c r="H391" s="26">
        <f>IF(AND(ISNUMBER(G391),ISNUMBER(D391)),IF(E391="Weeks",G391+7*D391,EDATE(G391,IF(E391="Years",12,1)*D391)),"")</f>
        <v/>
      </c>
      <c r="I391" s="34" t="n"/>
      <c r="J391" s="26">
        <f>IF(ISNUMBER(H391),H391-IF(ISNUMBER(I391),I391,30),"")</f>
        <v/>
      </c>
      <c r="K391" s="35">
        <f>IF(H391="","",IF(ISNUMBER(H391),H391-TODAY(),"Check date"))</f>
        <v/>
      </c>
      <c r="L391" s="32">
        <f>IF(K391="","",IF(ISNUMBER(K391),IF(K391&lt;0,"Overdue",IF(K391&lt;=30,"Due ≤30 days",IF(K391&lt;=90,"Due ≤90 days","OK"))),"Check date"))</f>
        <v/>
      </c>
      <c r="M391" s="27" t="n"/>
      <c r="N391" s="27" t="n"/>
      <c r="O391" s="27" t="n"/>
      <c r="P391" s="27" t="n"/>
      <c r="Q391" s="27" t="n"/>
      <c r="R391" s="27" t="n"/>
    </row>
    <row r="392">
      <c r="A392" s="27" t="n"/>
      <c r="B392" s="27" t="n"/>
      <c r="C392" s="27" t="n"/>
      <c r="D392" s="34" t="n"/>
      <c r="E392" s="27" t="n"/>
      <c r="F392" s="27" t="n"/>
      <c r="G392" s="28" t="n"/>
      <c r="H392" s="26">
        <f>IF(AND(ISNUMBER(G392),ISNUMBER(D392)),IF(E392="Weeks",G392+7*D392,EDATE(G392,IF(E392="Years",12,1)*D392)),"")</f>
        <v/>
      </c>
      <c r="I392" s="34" t="n"/>
      <c r="J392" s="26">
        <f>IF(ISNUMBER(H392),H392-IF(ISNUMBER(I392),I392,30),"")</f>
        <v/>
      </c>
      <c r="K392" s="35">
        <f>IF(H392="","",IF(ISNUMBER(H392),H392-TODAY(),"Check date"))</f>
        <v/>
      </c>
      <c r="L392" s="32">
        <f>IF(K392="","",IF(ISNUMBER(K392),IF(K392&lt;0,"Overdue",IF(K392&lt;=30,"Due ≤30 days",IF(K392&lt;=90,"Due ≤90 days","OK"))),"Check date"))</f>
        <v/>
      </c>
      <c r="M392" s="27" t="n"/>
      <c r="N392" s="27" t="n"/>
      <c r="O392" s="27" t="n"/>
      <c r="P392" s="27" t="n"/>
      <c r="Q392" s="27" t="n"/>
      <c r="R392" s="27" t="n"/>
    </row>
    <row r="393">
      <c r="A393" s="27" t="n"/>
      <c r="B393" s="27" t="n"/>
      <c r="C393" s="27" t="n"/>
      <c r="D393" s="34" t="n"/>
      <c r="E393" s="27" t="n"/>
      <c r="F393" s="27" t="n"/>
      <c r="G393" s="28" t="n"/>
      <c r="H393" s="26">
        <f>IF(AND(ISNUMBER(G393),ISNUMBER(D393)),IF(E393="Weeks",G393+7*D393,EDATE(G393,IF(E393="Years",12,1)*D393)),"")</f>
        <v/>
      </c>
      <c r="I393" s="34" t="n"/>
      <c r="J393" s="26">
        <f>IF(ISNUMBER(H393),H393-IF(ISNUMBER(I393),I393,30),"")</f>
        <v/>
      </c>
      <c r="K393" s="35">
        <f>IF(H393="","",IF(ISNUMBER(H393),H393-TODAY(),"Check date"))</f>
        <v/>
      </c>
      <c r="L393" s="32">
        <f>IF(K393="","",IF(ISNUMBER(K393),IF(K393&lt;0,"Overdue",IF(K393&lt;=30,"Due ≤30 days",IF(K393&lt;=90,"Due ≤90 days","OK"))),"Check date"))</f>
        <v/>
      </c>
      <c r="M393" s="27" t="n"/>
      <c r="N393" s="27" t="n"/>
      <c r="O393" s="27" t="n"/>
      <c r="P393" s="27" t="n"/>
      <c r="Q393" s="27" t="n"/>
      <c r="R393" s="27" t="n"/>
    </row>
    <row r="394">
      <c r="A394" s="27" t="n"/>
      <c r="B394" s="27" t="n"/>
      <c r="C394" s="27" t="n"/>
      <c r="D394" s="34" t="n"/>
      <c r="E394" s="27" t="n"/>
      <c r="F394" s="27" t="n"/>
      <c r="G394" s="28" t="n"/>
      <c r="H394" s="26">
        <f>IF(AND(ISNUMBER(G394),ISNUMBER(D394)),IF(E394="Weeks",G394+7*D394,EDATE(G394,IF(E394="Years",12,1)*D394)),"")</f>
        <v/>
      </c>
      <c r="I394" s="34" t="n"/>
      <c r="J394" s="26">
        <f>IF(ISNUMBER(H394),H394-IF(ISNUMBER(I394),I394,30),"")</f>
        <v/>
      </c>
      <c r="K394" s="35">
        <f>IF(H394="","",IF(ISNUMBER(H394),H394-TODAY(),"Check date"))</f>
        <v/>
      </c>
      <c r="L394" s="32">
        <f>IF(K394="","",IF(ISNUMBER(K394),IF(K394&lt;0,"Overdue",IF(K394&lt;=30,"Due ≤30 days",IF(K394&lt;=90,"Due ≤90 days","OK"))),"Check date"))</f>
        <v/>
      </c>
      <c r="M394" s="27" t="n"/>
      <c r="N394" s="27" t="n"/>
      <c r="O394" s="27" t="n"/>
      <c r="P394" s="27" t="n"/>
      <c r="Q394" s="27" t="n"/>
      <c r="R394" s="27" t="n"/>
    </row>
    <row r="395">
      <c r="A395" s="27" t="n"/>
      <c r="B395" s="27" t="n"/>
      <c r="C395" s="27" t="n"/>
      <c r="D395" s="34" t="n"/>
      <c r="E395" s="27" t="n"/>
      <c r="F395" s="27" t="n"/>
      <c r="G395" s="28" t="n"/>
      <c r="H395" s="26">
        <f>IF(AND(ISNUMBER(G395),ISNUMBER(D395)),IF(E395="Weeks",G395+7*D395,EDATE(G395,IF(E395="Years",12,1)*D395)),"")</f>
        <v/>
      </c>
      <c r="I395" s="34" t="n"/>
      <c r="J395" s="26">
        <f>IF(ISNUMBER(H395),H395-IF(ISNUMBER(I395),I395,30),"")</f>
        <v/>
      </c>
      <c r="K395" s="35">
        <f>IF(H395="","",IF(ISNUMBER(H395),H395-TODAY(),"Check date"))</f>
        <v/>
      </c>
      <c r="L395" s="32">
        <f>IF(K395="","",IF(ISNUMBER(K395),IF(K395&lt;0,"Overdue",IF(K395&lt;=30,"Due ≤30 days",IF(K395&lt;=90,"Due ≤90 days","OK"))),"Check date"))</f>
        <v/>
      </c>
      <c r="M395" s="27" t="n"/>
      <c r="N395" s="27" t="n"/>
      <c r="O395" s="27" t="n"/>
      <c r="P395" s="27" t="n"/>
      <c r="Q395" s="27" t="n"/>
      <c r="R395" s="27" t="n"/>
    </row>
    <row r="396">
      <c r="A396" s="27" t="n"/>
      <c r="B396" s="27" t="n"/>
      <c r="C396" s="27" t="n"/>
      <c r="D396" s="34" t="n"/>
      <c r="E396" s="27" t="n"/>
      <c r="F396" s="27" t="n"/>
      <c r="G396" s="28" t="n"/>
      <c r="H396" s="26">
        <f>IF(AND(ISNUMBER(G396),ISNUMBER(D396)),IF(E396="Weeks",G396+7*D396,EDATE(G396,IF(E396="Years",12,1)*D396)),"")</f>
        <v/>
      </c>
      <c r="I396" s="34" t="n"/>
      <c r="J396" s="26">
        <f>IF(ISNUMBER(H396),H396-IF(ISNUMBER(I396),I396,30),"")</f>
        <v/>
      </c>
      <c r="K396" s="35">
        <f>IF(H396="","",IF(ISNUMBER(H396),H396-TODAY(),"Check date"))</f>
        <v/>
      </c>
      <c r="L396" s="32">
        <f>IF(K396="","",IF(ISNUMBER(K396),IF(K396&lt;0,"Overdue",IF(K396&lt;=30,"Due ≤30 days",IF(K396&lt;=90,"Due ≤90 days","OK"))),"Check date"))</f>
        <v/>
      </c>
      <c r="M396" s="27" t="n"/>
      <c r="N396" s="27" t="n"/>
      <c r="O396" s="27" t="n"/>
      <c r="P396" s="27" t="n"/>
      <c r="Q396" s="27" t="n"/>
      <c r="R396" s="27" t="n"/>
    </row>
    <row r="397">
      <c r="A397" s="27" t="n"/>
      <c r="B397" s="27" t="n"/>
      <c r="C397" s="27" t="n"/>
      <c r="D397" s="34" t="n"/>
      <c r="E397" s="27" t="n"/>
      <c r="F397" s="27" t="n"/>
      <c r="G397" s="28" t="n"/>
      <c r="H397" s="26">
        <f>IF(AND(ISNUMBER(G397),ISNUMBER(D397)),IF(E397="Weeks",G397+7*D397,EDATE(G397,IF(E397="Years",12,1)*D397)),"")</f>
        <v/>
      </c>
      <c r="I397" s="34" t="n"/>
      <c r="J397" s="26">
        <f>IF(ISNUMBER(H397),H397-IF(ISNUMBER(I397),I397,30),"")</f>
        <v/>
      </c>
      <c r="K397" s="35">
        <f>IF(H397="","",IF(ISNUMBER(H397),H397-TODAY(),"Check date"))</f>
        <v/>
      </c>
      <c r="L397" s="32">
        <f>IF(K397="","",IF(ISNUMBER(K397),IF(K397&lt;0,"Overdue",IF(K397&lt;=30,"Due ≤30 days",IF(K397&lt;=90,"Due ≤90 days","OK"))),"Check date"))</f>
        <v/>
      </c>
      <c r="M397" s="27" t="n"/>
      <c r="N397" s="27" t="n"/>
      <c r="O397" s="27" t="n"/>
      <c r="P397" s="27" t="n"/>
      <c r="Q397" s="27" t="n"/>
      <c r="R397" s="27" t="n"/>
    </row>
    <row r="398">
      <c r="A398" s="27" t="n"/>
      <c r="B398" s="27" t="n"/>
      <c r="C398" s="27" t="n"/>
      <c r="D398" s="34" t="n"/>
      <c r="E398" s="27" t="n"/>
      <c r="F398" s="27" t="n"/>
      <c r="G398" s="28" t="n"/>
      <c r="H398" s="26">
        <f>IF(AND(ISNUMBER(G398),ISNUMBER(D398)),IF(E398="Weeks",G398+7*D398,EDATE(G398,IF(E398="Years",12,1)*D398)),"")</f>
        <v/>
      </c>
      <c r="I398" s="34" t="n"/>
      <c r="J398" s="26">
        <f>IF(ISNUMBER(H398),H398-IF(ISNUMBER(I398),I398,30),"")</f>
        <v/>
      </c>
      <c r="K398" s="35">
        <f>IF(H398="","",IF(ISNUMBER(H398),H398-TODAY(),"Check date"))</f>
        <v/>
      </c>
      <c r="L398" s="32">
        <f>IF(K398="","",IF(ISNUMBER(K398),IF(K398&lt;0,"Overdue",IF(K398&lt;=30,"Due ≤30 days",IF(K398&lt;=90,"Due ≤90 days","OK"))),"Check date"))</f>
        <v/>
      </c>
      <c r="M398" s="27" t="n"/>
      <c r="N398" s="27" t="n"/>
      <c r="O398" s="27" t="n"/>
      <c r="P398" s="27" t="n"/>
      <c r="Q398" s="27" t="n"/>
      <c r="R398" s="27" t="n"/>
    </row>
    <row r="399">
      <c r="A399" s="27" t="n"/>
      <c r="B399" s="27" t="n"/>
      <c r="C399" s="27" t="n"/>
      <c r="D399" s="34" t="n"/>
      <c r="E399" s="27" t="n"/>
      <c r="F399" s="27" t="n"/>
      <c r="G399" s="28" t="n"/>
      <c r="H399" s="26">
        <f>IF(AND(ISNUMBER(G399),ISNUMBER(D399)),IF(E399="Weeks",G399+7*D399,EDATE(G399,IF(E399="Years",12,1)*D399)),"")</f>
        <v/>
      </c>
      <c r="I399" s="34" t="n"/>
      <c r="J399" s="26">
        <f>IF(ISNUMBER(H399),H399-IF(ISNUMBER(I399),I399,30),"")</f>
        <v/>
      </c>
      <c r="K399" s="35">
        <f>IF(H399="","",IF(ISNUMBER(H399),H399-TODAY(),"Check date"))</f>
        <v/>
      </c>
      <c r="L399" s="32">
        <f>IF(K399="","",IF(ISNUMBER(K399),IF(K399&lt;0,"Overdue",IF(K399&lt;=30,"Due ≤30 days",IF(K399&lt;=90,"Due ≤90 days","OK"))),"Check date"))</f>
        <v/>
      </c>
      <c r="M399" s="27" t="n"/>
      <c r="N399" s="27" t="n"/>
      <c r="O399" s="27" t="n"/>
      <c r="P399" s="27" t="n"/>
      <c r="Q399" s="27" t="n"/>
      <c r="R399" s="27" t="n"/>
    </row>
    <row r="400">
      <c r="A400" s="27" t="n"/>
      <c r="B400" s="27" t="n"/>
      <c r="C400" s="27" t="n"/>
      <c r="D400" s="34" t="n"/>
      <c r="E400" s="27" t="n"/>
      <c r="F400" s="27" t="n"/>
      <c r="G400" s="28" t="n"/>
      <c r="H400" s="26">
        <f>IF(AND(ISNUMBER(G400),ISNUMBER(D400)),IF(E400="Weeks",G400+7*D400,EDATE(G400,IF(E400="Years",12,1)*D400)),"")</f>
        <v/>
      </c>
      <c r="I400" s="34" t="n"/>
      <c r="J400" s="26">
        <f>IF(ISNUMBER(H400),H400-IF(ISNUMBER(I400),I400,30),"")</f>
        <v/>
      </c>
      <c r="K400" s="35">
        <f>IF(H400="","",IF(ISNUMBER(H400),H400-TODAY(),"Check date"))</f>
        <v/>
      </c>
      <c r="L400" s="32">
        <f>IF(K400="","",IF(ISNUMBER(K400),IF(K400&lt;0,"Overdue",IF(K400&lt;=30,"Due ≤30 days",IF(K400&lt;=90,"Due ≤90 days","OK"))),"Check date"))</f>
        <v/>
      </c>
      <c r="M400" s="27" t="n"/>
      <c r="N400" s="27" t="n"/>
      <c r="O400" s="27" t="n"/>
      <c r="P400" s="27" t="n"/>
      <c r="Q400" s="27" t="n"/>
      <c r="R400" s="27" t="n"/>
    </row>
    <row r="401">
      <c r="A401" s="27" t="n"/>
      <c r="B401" s="27" t="n"/>
      <c r="C401" s="27" t="n"/>
      <c r="D401" s="34" t="n"/>
      <c r="E401" s="27" t="n"/>
      <c r="F401" s="27" t="n"/>
      <c r="G401" s="28" t="n"/>
      <c r="H401" s="26">
        <f>IF(AND(ISNUMBER(G401),ISNUMBER(D401)),IF(E401="Weeks",G401+7*D401,EDATE(G401,IF(E401="Years",12,1)*D401)),"")</f>
        <v/>
      </c>
      <c r="I401" s="34" t="n"/>
      <c r="J401" s="26">
        <f>IF(ISNUMBER(H401),H401-IF(ISNUMBER(I401),I401,30),"")</f>
        <v/>
      </c>
      <c r="K401" s="35">
        <f>IF(H401="","",IF(ISNUMBER(H401),H401-TODAY(),"Check date"))</f>
        <v/>
      </c>
      <c r="L401" s="32">
        <f>IF(K401="","",IF(ISNUMBER(K401),IF(K401&lt;0,"Overdue",IF(K401&lt;=30,"Due ≤30 days",IF(K401&lt;=90,"Due ≤90 days","OK"))),"Check date"))</f>
        <v/>
      </c>
      <c r="M401" s="27" t="n"/>
      <c r="N401" s="27" t="n"/>
      <c r="O401" s="27" t="n"/>
      <c r="P401" s="27" t="n"/>
      <c r="Q401" s="27" t="n"/>
      <c r="R401" s="27" t="n"/>
    </row>
    <row r="402">
      <c r="A402" s="27" t="n"/>
      <c r="B402" s="27" t="n"/>
      <c r="C402" s="27" t="n"/>
      <c r="D402" s="34" t="n"/>
      <c r="E402" s="27" t="n"/>
      <c r="F402" s="27" t="n"/>
      <c r="G402" s="28" t="n"/>
      <c r="H402" s="26">
        <f>IF(AND(ISNUMBER(G402),ISNUMBER(D402)),IF(E402="Weeks",G402+7*D402,EDATE(G402,IF(E402="Years",12,1)*D402)),"")</f>
        <v/>
      </c>
      <c r="I402" s="34" t="n"/>
      <c r="J402" s="26">
        <f>IF(ISNUMBER(H402),H402-IF(ISNUMBER(I402),I402,30),"")</f>
        <v/>
      </c>
      <c r="K402" s="35">
        <f>IF(H402="","",IF(ISNUMBER(H402),H402-TODAY(),"Check date"))</f>
        <v/>
      </c>
      <c r="L402" s="32">
        <f>IF(K402="","",IF(ISNUMBER(K402),IF(K402&lt;0,"Overdue",IF(K402&lt;=30,"Due ≤30 days",IF(K402&lt;=90,"Due ≤90 days","OK"))),"Check date"))</f>
        <v/>
      </c>
      <c r="M402" s="27" t="n"/>
      <c r="N402" s="27" t="n"/>
      <c r="O402" s="27" t="n"/>
      <c r="P402" s="27" t="n"/>
      <c r="Q402" s="27" t="n"/>
      <c r="R402" s="27" t="n"/>
    </row>
    <row r="403">
      <c r="A403" s="27" t="n"/>
      <c r="B403" s="27" t="n"/>
      <c r="C403" s="27" t="n"/>
      <c r="D403" s="34" t="n"/>
      <c r="E403" s="27" t="n"/>
      <c r="F403" s="27" t="n"/>
      <c r="G403" s="28" t="n"/>
      <c r="H403" s="26">
        <f>IF(AND(ISNUMBER(G403),ISNUMBER(D403)),IF(E403="Weeks",G403+7*D403,EDATE(G403,IF(E403="Years",12,1)*D403)),"")</f>
        <v/>
      </c>
      <c r="I403" s="34" t="n"/>
      <c r="J403" s="26">
        <f>IF(ISNUMBER(H403),H403-IF(ISNUMBER(I403),I403,30),"")</f>
        <v/>
      </c>
      <c r="K403" s="35">
        <f>IF(H403="","",IF(ISNUMBER(H403),H403-TODAY(),"Check date"))</f>
        <v/>
      </c>
      <c r="L403" s="32">
        <f>IF(K403="","",IF(ISNUMBER(K403),IF(K403&lt;0,"Overdue",IF(K403&lt;=30,"Due ≤30 days",IF(K403&lt;=90,"Due ≤90 days","OK"))),"Check date"))</f>
        <v/>
      </c>
      <c r="M403" s="27" t="n"/>
      <c r="N403" s="27" t="n"/>
      <c r="O403" s="27" t="n"/>
      <c r="P403" s="27" t="n"/>
      <c r="Q403" s="27" t="n"/>
      <c r="R403" s="27" t="n"/>
    </row>
    <row r="404">
      <c r="A404" s="27" t="n"/>
      <c r="B404" s="27" t="n"/>
      <c r="C404" s="27" t="n"/>
      <c r="D404" s="34" t="n"/>
      <c r="E404" s="27" t="n"/>
      <c r="F404" s="27" t="n"/>
      <c r="G404" s="28" t="n"/>
      <c r="H404" s="26">
        <f>IF(AND(ISNUMBER(G404),ISNUMBER(D404)),IF(E404="Weeks",G404+7*D404,EDATE(G404,IF(E404="Years",12,1)*D404)),"")</f>
        <v/>
      </c>
      <c r="I404" s="34" t="n"/>
      <c r="J404" s="26">
        <f>IF(ISNUMBER(H404),H404-IF(ISNUMBER(I404),I404,30),"")</f>
        <v/>
      </c>
      <c r="K404" s="35">
        <f>IF(H404="","",IF(ISNUMBER(H404),H404-TODAY(),"Check date"))</f>
        <v/>
      </c>
      <c r="L404" s="32">
        <f>IF(K404="","",IF(ISNUMBER(K404),IF(K404&lt;0,"Overdue",IF(K404&lt;=30,"Due ≤30 days",IF(K404&lt;=90,"Due ≤90 days","OK"))),"Check date"))</f>
        <v/>
      </c>
      <c r="M404" s="27" t="n"/>
      <c r="N404" s="27" t="n"/>
      <c r="O404" s="27" t="n"/>
      <c r="P404" s="27" t="n"/>
      <c r="Q404" s="27" t="n"/>
      <c r="R404" s="27" t="n"/>
    </row>
    <row r="405">
      <c r="A405" s="27" t="n"/>
      <c r="B405" s="27" t="n"/>
      <c r="C405" s="27" t="n"/>
      <c r="D405" s="34" t="n"/>
      <c r="E405" s="27" t="n"/>
      <c r="F405" s="27" t="n"/>
      <c r="G405" s="28" t="n"/>
      <c r="H405" s="26">
        <f>IF(AND(ISNUMBER(G405),ISNUMBER(D405)),IF(E405="Weeks",G405+7*D405,EDATE(G405,IF(E405="Years",12,1)*D405)),"")</f>
        <v/>
      </c>
      <c r="I405" s="34" t="n"/>
      <c r="J405" s="26">
        <f>IF(ISNUMBER(H405),H405-IF(ISNUMBER(I405),I405,30),"")</f>
        <v/>
      </c>
      <c r="K405" s="35">
        <f>IF(H405="","",IF(ISNUMBER(H405),H405-TODAY(),"Check date"))</f>
        <v/>
      </c>
      <c r="L405" s="32">
        <f>IF(K405="","",IF(ISNUMBER(K405),IF(K405&lt;0,"Overdue",IF(K405&lt;=30,"Due ≤30 days",IF(K405&lt;=90,"Due ≤90 days","OK"))),"Check date"))</f>
        <v/>
      </c>
      <c r="M405" s="27" t="n"/>
      <c r="N405" s="27" t="n"/>
      <c r="O405" s="27" t="n"/>
      <c r="P405" s="27" t="n"/>
      <c r="Q405" s="27" t="n"/>
      <c r="R405" s="27" t="n"/>
    </row>
    <row r="406">
      <c r="A406" s="27" t="n"/>
      <c r="B406" s="27" t="n"/>
      <c r="C406" s="27" t="n"/>
      <c r="D406" s="34" t="n"/>
      <c r="E406" s="27" t="n"/>
      <c r="F406" s="27" t="n"/>
      <c r="G406" s="28" t="n"/>
      <c r="H406" s="26">
        <f>IF(AND(ISNUMBER(G406),ISNUMBER(D406)),IF(E406="Weeks",G406+7*D406,EDATE(G406,IF(E406="Years",12,1)*D406)),"")</f>
        <v/>
      </c>
      <c r="I406" s="34" t="n"/>
      <c r="J406" s="26">
        <f>IF(ISNUMBER(H406),H406-IF(ISNUMBER(I406),I406,30),"")</f>
        <v/>
      </c>
      <c r="K406" s="35">
        <f>IF(H406="","",IF(ISNUMBER(H406),H406-TODAY(),"Check date"))</f>
        <v/>
      </c>
      <c r="L406" s="32">
        <f>IF(K406="","",IF(ISNUMBER(K406),IF(K406&lt;0,"Overdue",IF(K406&lt;=30,"Due ≤30 days",IF(K406&lt;=90,"Due ≤90 days","OK"))),"Check date"))</f>
        <v/>
      </c>
      <c r="M406" s="27" t="n"/>
      <c r="N406" s="27" t="n"/>
      <c r="O406" s="27" t="n"/>
      <c r="P406" s="27" t="n"/>
      <c r="Q406" s="27" t="n"/>
      <c r="R406" s="27" t="n"/>
    </row>
    <row r="407">
      <c r="A407" s="27" t="n"/>
      <c r="B407" s="27" t="n"/>
      <c r="C407" s="27" t="n"/>
      <c r="D407" s="34" t="n"/>
      <c r="E407" s="27" t="n"/>
      <c r="F407" s="27" t="n"/>
      <c r="G407" s="28" t="n"/>
      <c r="H407" s="26">
        <f>IF(AND(ISNUMBER(G407),ISNUMBER(D407)),IF(E407="Weeks",G407+7*D407,EDATE(G407,IF(E407="Years",12,1)*D407)),"")</f>
        <v/>
      </c>
      <c r="I407" s="34" t="n"/>
      <c r="J407" s="26">
        <f>IF(ISNUMBER(H407),H407-IF(ISNUMBER(I407),I407,30),"")</f>
        <v/>
      </c>
      <c r="K407" s="35">
        <f>IF(H407="","",IF(ISNUMBER(H407),H407-TODAY(),"Check date"))</f>
        <v/>
      </c>
      <c r="L407" s="32">
        <f>IF(K407="","",IF(ISNUMBER(K407),IF(K407&lt;0,"Overdue",IF(K407&lt;=30,"Due ≤30 days",IF(K407&lt;=90,"Due ≤90 days","OK"))),"Check date"))</f>
        <v/>
      </c>
      <c r="M407" s="27" t="n"/>
      <c r="N407" s="27" t="n"/>
      <c r="O407" s="27" t="n"/>
      <c r="P407" s="27" t="n"/>
      <c r="Q407" s="27" t="n"/>
      <c r="R407" s="27" t="n"/>
    </row>
    <row r="408">
      <c r="A408" s="27" t="n"/>
      <c r="B408" s="27" t="n"/>
      <c r="C408" s="27" t="n"/>
      <c r="D408" s="34" t="n"/>
      <c r="E408" s="27" t="n"/>
      <c r="F408" s="27" t="n"/>
      <c r="G408" s="28" t="n"/>
      <c r="H408" s="26">
        <f>IF(AND(ISNUMBER(G408),ISNUMBER(D408)),IF(E408="Weeks",G408+7*D408,EDATE(G408,IF(E408="Years",12,1)*D408)),"")</f>
        <v/>
      </c>
      <c r="I408" s="34" t="n"/>
      <c r="J408" s="26">
        <f>IF(ISNUMBER(H408),H408-IF(ISNUMBER(I408),I408,30),"")</f>
        <v/>
      </c>
      <c r="K408" s="35">
        <f>IF(H408="","",IF(ISNUMBER(H408),H408-TODAY(),"Check date"))</f>
        <v/>
      </c>
      <c r="L408" s="32">
        <f>IF(K408="","",IF(ISNUMBER(K408),IF(K408&lt;0,"Overdue",IF(K408&lt;=30,"Due ≤30 days",IF(K408&lt;=90,"Due ≤90 days","OK"))),"Check date"))</f>
        <v/>
      </c>
      <c r="M408" s="27" t="n"/>
      <c r="N408" s="27" t="n"/>
      <c r="O408" s="27" t="n"/>
      <c r="P408" s="27" t="n"/>
      <c r="Q408" s="27" t="n"/>
      <c r="R408" s="27" t="n"/>
    </row>
    <row r="409">
      <c r="A409" s="27" t="n"/>
      <c r="B409" s="27" t="n"/>
      <c r="C409" s="27" t="n"/>
      <c r="D409" s="34" t="n"/>
      <c r="E409" s="27" t="n"/>
      <c r="F409" s="27" t="n"/>
      <c r="G409" s="28" t="n"/>
      <c r="H409" s="26">
        <f>IF(AND(ISNUMBER(G409),ISNUMBER(D409)),IF(E409="Weeks",G409+7*D409,EDATE(G409,IF(E409="Years",12,1)*D409)),"")</f>
        <v/>
      </c>
      <c r="I409" s="34" t="n"/>
      <c r="J409" s="26">
        <f>IF(ISNUMBER(H409),H409-IF(ISNUMBER(I409),I409,30),"")</f>
        <v/>
      </c>
      <c r="K409" s="35">
        <f>IF(H409="","",IF(ISNUMBER(H409),H409-TODAY(),"Check date"))</f>
        <v/>
      </c>
      <c r="L409" s="32">
        <f>IF(K409="","",IF(ISNUMBER(K409),IF(K409&lt;0,"Overdue",IF(K409&lt;=30,"Due ≤30 days",IF(K409&lt;=90,"Due ≤90 days","OK"))),"Check date"))</f>
        <v/>
      </c>
      <c r="M409" s="27" t="n"/>
      <c r="N409" s="27" t="n"/>
      <c r="O409" s="27" t="n"/>
      <c r="P409" s="27" t="n"/>
      <c r="Q409" s="27" t="n"/>
      <c r="R409" s="27" t="n"/>
    </row>
    <row r="410">
      <c r="A410" s="27" t="n"/>
      <c r="B410" s="27" t="n"/>
      <c r="C410" s="27" t="n"/>
      <c r="D410" s="34" t="n"/>
      <c r="E410" s="27" t="n"/>
      <c r="F410" s="27" t="n"/>
      <c r="G410" s="28" t="n"/>
      <c r="H410" s="26">
        <f>IF(AND(ISNUMBER(G410),ISNUMBER(D410)),IF(E410="Weeks",G410+7*D410,EDATE(G410,IF(E410="Years",12,1)*D410)),"")</f>
        <v/>
      </c>
      <c r="I410" s="34" t="n"/>
      <c r="J410" s="26">
        <f>IF(ISNUMBER(H410),H410-IF(ISNUMBER(I410),I410,30),"")</f>
        <v/>
      </c>
      <c r="K410" s="35">
        <f>IF(H410="","",IF(ISNUMBER(H410),H410-TODAY(),"Check date"))</f>
        <v/>
      </c>
      <c r="L410" s="32">
        <f>IF(K410="","",IF(ISNUMBER(K410),IF(K410&lt;0,"Overdue",IF(K410&lt;=30,"Due ≤30 days",IF(K410&lt;=90,"Due ≤90 days","OK"))),"Check date"))</f>
        <v/>
      </c>
      <c r="M410" s="27" t="n"/>
      <c r="N410" s="27" t="n"/>
      <c r="O410" s="27" t="n"/>
      <c r="P410" s="27" t="n"/>
      <c r="Q410" s="27" t="n"/>
      <c r="R410" s="27" t="n"/>
    </row>
    <row r="411">
      <c r="A411" s="27" t="n"/>
      <c r="B411" s="27" t="n"/>
      <c r="C411" s="27" t="n"/>
      <c r="D411" s="34" t="n"/>
      <c r="E411" s="27" t="n"/>
      <c r="F411" s="27" t="n"/>
      <c r="G411" s="28" t="n"/>
      <c r="H411" s="26">
        <f>IF(AND(ISNUMBER(G411),ISNUMBER(D411)),IF(E411="Weeks",G411+7*D411,EDATE(G411,IF(E411="Years",12,1)*D411)),"")</f>
        <v/>
      </c>
      <c r="I411" s="34" t="n"/>
      <c r="J411" s="26">
        <f>IF(ISNUMBER(H411),H411-IF(ISNUMBER(I411),I411,30),"")</f>
        <v/>
      </c>
      <c r="K411" s="35">
        <f>IF(H411="","",IF(ISNUMBER(H411),H411-TODAY(),"Check date"))</f>
        <v/>
      </c>
      <c r="L411" s="32">
        <f>IF(K411="","",IF(ISNUMBER(K411),IF(K411&lt;0,"Overdue",IF(K411&lt;=30,"Due ≤30 days",IF(K411&lt;=90,"Due ≤90 days","OK"))),"Check date"))</f>
        <v/>
      </c>
      <c r="M411" s="27" t="n"/>
      <c r="N411" s="27" t="n"/>
      <c r="O411" s="27" t="n"/>
      <c r="P411" s="27" t="n"/>
      <c r="Q411" s="27" t="n"/>
      <c r="R411" s="27" t="n"/>
    </row>
    <row r="412">
      <c r="A412" s="27" t="n"/>
      <c r="B412" s="27" t="n"/>
      <c r="C412" s="27" t="n"/>
      <c r="D412" s="34" t="n"/>
      <c r="E412" s="27" t="n"/>
      <c r="F412" s="27" t="n"/>
      <c r="G412" s="28" t="n"/>
      <c r="H412" s="26">
        <f>IF(AND(ISNUMBER(G412),ISNUMBER(D412)),IF(E412="Weeks",G412+7*D412,EDATE(G412,IF(E412="Years",12,1)*D412)),"")</f>
        <v/>
      </c>
      <c r="I412" s="34" t="n"/>
      <c r="J412" s="26">
        <f>IF(ISNUMBER(H412),H412-IF(ISNUMBER(I412),I412,30),"")</f>
        <v/>
      </c>
      <c r="K412" s="35">
        <f>IF(H412="","",IF(ISNUMBER(H412),H412-TODAY(),"Check date"))</f>
        <v/>
      </c>
      <c r="L412" s="32">
        <f>IF(K412="","",IF(ISNUMBER(K412),IF(K412&lt;0,"Overdue",IF(K412&lt;=30,"Due ≤30 days",IF(K412&lt;=90,"Due ≤90 days","OK"))),"Check date"))</f>
        <v/>
      </c>
      <c r="M412" s="27" t="n"/>
      <c r="N412" s="27" t="n"/>
      <c r="O412" s="27" t="n"/>
      <c r="P412" s="27" t="n"/>
      <c r="Q412" s="27" t="n"/>
      <c r="R412" s="27" t="n"/>
    </row>
    <row r="413">
      <c r="A413" s="27" t="n"/>
      <c r="B413" s="27" t="n"/>
      <c r="C413" s="27" t="n"/>
      <c r="D413" s="34" t="n"/>
      <c r="E413" s="27" t="n"/>
      <c r="F413" s="27" t="n"/>
      <c r="G413" s="28" t="n"/>
      <c r="H413" s="26">
        <f>IF(AND(ISNUMBER(G413),ISNUMBER(D413)),IF(E413="Weeks",G413+7*D413,EDATE(G413,IF(E413="Years",12,1)*D413)),"")</f>
        <v/>
      </c>
      <c r="I413" s="34" t="n"/>
      <c r="J413" s="26">
        <f>IF(ISNUMBER(H413),H413-IF(ISNUMBER(I413),I413,30),"")</f>
        <v/>
      </c>
      <c r="K413" s="35">
        <f>IF(H413="","",IF(ISNUMBER(H413),H413-TODAY(),"Check date"))</f>
        <v/>
      </c>
      <c r="L413" s="32">
        <f>IF(K413="","",IF(ISNUMBER(K413),IF(K413&lt;0,"Overdue",IF(K413&lt;=30,"Due ≤30 days",IF(K413&lt;=90,"Due ≤90 days","OK"))),"Check date"))</f>
        <v/>
      </c>
      <c r="M413" s="27" t="n"/>
      <c r="N413" s="27" t="n"/>
      <c r="O413" s="27" t="n"/>
      <c r="P413" s="27" t="n"/>
      <c r="Q413" s="27" t="n"/>
      <c r="R413" s="27" t="n"/>
    </row>
    <row r="414">
      <c r="A414" s="27" t="n"/>
      <c r="B414" s="27" t="n"/>
      <c r="C414" s="27" t="n"/>
      <c r="D414" s="34" t="n"/>
      <c r="E414" s="27" t="n"/>
      <c r="F414" s="27" t="n"/>
      <c r="G414" s="28" t="n"/>
      <c r="H414" s="26">
        <f>IF(AND(ISNUMBER(G414),ISNUMBER(D414)),IF(E414="Weeks",G414+7*D414,EDATE(G414,IF(E414="Years",12,1)*D414)),"")</f>
        <v/>
      </c>
      <c r="I414" s="34" t="n"/>
      <c r="J414" s="26">
        <f>IF(ISNUMBER(H414),H414-IF(ISNUMBER(I414),I414,30),"")</f>
        <v/>
      </c>
      <c r="K414" s="35">
        <f>IF(H414="","",IF(ISNUMBER(H414),H414-TODAY(),"Check date"))</f>
        <v/>
      </c>
      <c r="L414" s="32">
        <f>IF(K414="","",IF(ISNUMBER(K414),IF(K414&lt;0,"Overdue",IF(K414&lt;=30,"Due ≤30 days",IF(K414&lt;=90,"Due ≤90 days","OK"))),"Check date"))</f>
        <v/>
      </c>
      <c r="M414" s="27" t="n"/>
      <c r="N414" s="27" t="n"/>
      <c r="O414" s="27" t="n"/>
      <c r="P414" s="27" t="n"/>
      <c r="Q414" s="27" t="n"/>
      <c r="R414" s="27" t="n"/>
    </row>
    <row r="415">
      <c r="A415" s="27" t="n"/>
      <c r="B415" s="27" t="n"/>
      <c r="C415" s="27" t="n"/>
      <c r="D415" s="34" t="n"/>
      <c r="E415" s="27" t="n"/>
      <c r="F415" s="27" t="n"/>
      <c r="G415" s="28" t="n"/>
      <c r="H415" s="26">
        <f>IF(AND(ISNUMBER(G415),ISNUMBER(D415)),IF(E415="Weeks",G415+7*D415,EDATE(G415,IF(E415="Years",12,1)*D415)),"")</f>
        <v/>
      </c>
      <c r="I415" s="34" t="n"/>
      <c r="J415" s="26">
        <f>IF(ISNUMBER(H415),H415-IF(ISNUMBER(I415),I415,30),"")</f>
        <v/>
      </c>
      <c r="K415" s="35">
        <f>IF(H415="","",IF(ISNUMBER(H415),H415-TODAY(),"Check date"))</f>
        <v/>
      </c>
      <c r="L415" s="32">
        <f>IF(K415="","",IF(ISNUMBER(K415),IF(K415&lt;0,"Overdue",IF(K415&lt;=30,"Due ≤30 days",IF(K415&lt;=90,"Due ≤90 days","OK"))),"Check date"))</f>
        <v/>
      </c>
      <c r="M415" s="27" t="n"/>
      <c r="N415" s="27" t="n"/>
      <c r="O415" s="27" t="n"/>
      <c r="P415" s="27" t="n"/>
      <c r="Q415" s="27" t="n"/>
      <c r="R415" s="27" t="n"/>
    </row>
    <row r="416">
      <c r="A416" s="27" t="n"/>
      <c r="B416" s="27" t="n"/>
      <c r="C416" s="27" t="n"/>
      <c r="D416" s="34" t="n"/>
      <c r="E416" s="27" t="n"/>
      <c r="F416" s="27" t="n"/>
      <c r="G416" s="28" t="n"/>
      <c r="H416" s="26">
        <f>IF(AND(ISNUMBER(G416),ISNUMBER(D416)),IF(E416="Weeks",G416+7*D416,EDATE(G416,IF(E416="Years",12,1)*D416)),"")</f>
        <v/>
      </c>
      <c r="I416" s="34" t="n"/>
      <c r="J416" s="26">
        <f>IF(ISNUMBER(H416),H416-IF(ISNUMBER(I416),I416,30),"")</f>
        <v/>
      </c>
      <c r="K416" s="35">
        <f>IF(H416="","",IF(ISNUMBER(H416),H416-TODAY(),"Check date"))</f>
        <v/>
      </c>
      <c r="L416" s="32">
        <f>IF(K416="","",IF(ISNUMBER(K416),IF(K416&lt;0,"Overdue",IF(K416&lt;=30,"Due ≤30 days",IF(K416&lt;=90,"Due ≤90 days","OK"))),"Check date"))</f>
        <v/>
      </c>
      <c r="M416" s="27" t="n"/>
      <c r="N416" s="27" t="n"/>
      <c r="O416" s="27" t="n"/>
      <c r="P416" s="27" t="n"/>
      <c r="Q416" s="27" t="n"/>
      <c r="R416" s="27" t="n"/>
    </row>
    <row r="417">
      <c r="A417" s="27" t="n"/>
      <c r="B417" s="27" t="n"/>
      <c r="C417" s="27" t="n"/>
      <c r="D417" s="34" t="n"/>
      <c r="E417" s="27" t="n"/>
      <c r="F417" s="27" t="n"/>
      <c r="G417" s="28" t="n"/>
      <c r="H417" s="26">
        <f>IF(AND(ISNUMBER(G417),ISNUMBER(D417)),IF(E417="Weeks",G417+7*D417,EDATE(G417,IF(E417="Years",12,1)*D417)),"")</f>
        <v/>
      </c>
      <c r="I417" s="34" t="n"/>
      <c r="J417" s="26">
        <f>IF(ISNUMBER(H417),H417-IF(ISNUMBER(I417),I417,30),"")</f>
        <v/>
      </c>
      <c r="K417" s="35">
        <f>IF(H417="","",IF(ISNUMBER(H417),H417-TODAY(),"Check date"))</f>
        <v/>
      </c>
      <c r="L417" s="32">
        <f>IF(K417="","",IF(ISNUMBER(K417),IF(K417&lt;0,"Overdue",IF(K417&lt;=30,"Due ≤30 days",IF(K417&lt;=90,"Due ≤90 days","OK"))),"Check date"))</f>
        <v/>
      </c>
      <c r="M417" s="27" t="n"/>
      <c r="N417" s="27" t="n"/>
      <c r="O417" s="27" t="n"/>
      <c r="P417" s="27" t="n"/>
      <c r="Q417" s="27" t="n"/>
      <c r="R417" s="27" t="n"/>
    </row>
    <row r="418">
      <c r="A418" s="27" t="n"/>
      <c r="B418" s="27" t="n"/>
      <c r="C418" s="27" t="n"/>
      <c r="D418" s="34" t="n"/>
      <c r="E418" s="27" t="n"/>
      <c r="F418" s="27" t="n"/>
      <c r="G418" s="28" t="n"/>
      <c r="H418" s="26">
        <f>IF(AND(ISNUMBER(G418),ISNUMBER(D418)),IF(E418="Weeks",G418+7*D418,EDATE(G418,IF(E418="Years",12,1)*D418)),"")</f>
        <v/>
      </c>
      <c r="I418" s="34" t="n"/>
      <c r="J418" s="26">
        <f>IF(ISNUMBER(H418),H418-IF(ISNUMBER(I418),I418,30),"")</f>
        <v/>
      </c>
      <c r="K418" s="35">
        <f>IF(H418="","",IF(ISNUMBER(H418),H418-TODAY(),"Check date"))</f>
        <v/>
      </c>
      <c r="L418" s="32">
        <f>IF(K418="","",IF(ISNUMBER(K418),IF(K418&lt;0,"Overdue",IF(K418&lt;=30,"Due ≤30 days",IF(K418&lt;=90,"Due ≤90 days","OK"))),"Check date"))</f>
        <v/>
      </c>
      <c r="M418" s="27" t="n"/>
      <c r="N418" s="27" t="n"/>
      <c r="O418" s="27" t="n"/>
      <c r="P418" s="27" t="n"/>
      <c r="Q418" s="27" t="n"/>
      <c r="R418" s="27" t="n"/>
    </row>
    <row r="419">
      <c r="A419" s="27" t="n"/>
      <c r="B419" s="27" t="n"/>
      <c r="C419" s="27" t="n"/>
      <c r="D419" s="34" t="n"/>
      <c r="E419" s="27" t="n"/>
      <c r="F419" s="27" t="n"/>
      <c r="G419" s="28" t="n"/>
      <c r="H419" s="26">
        <f>IF(AND(ISNUMBER(G419),ISNUMBER(D419)),IF(E419="Weeks",G419+7*D419,EDATE(G419,IF(E419="Years",12,1)*D419)),"")</f>
        <v/>
      </c>
      <c r="I419" s="34" t="n"/>
      <c r="J419" s="26">
        <f>IF(ISNUMBER(H419),H419-IF(ISNUMBER(I419),I419,30),"")</f>
        <v/>
      </c>
      <c r="K419" s="35">
        <f>IF(H419="","",IF(ISNUMBER(H419),H419-TODAY(),"Check date"))</f>
        <v/>
      </c>
      <c r="L419" s="32">
        <f>IF(K419="","",IF(ISNUMBER(K419),IF(K419&lt;0,"Overdue",IF(K419&lt;=30,"Due ≤30 days",IF(K419&lt;=90,"Due ≤90 days","OK"))),"Check date"))</f>
        <v/>
      </c>
      <c r="M419" s="27" t="n"/>
      <c r="N419" s="27" t="n"/>
      <c r="O419" s="27" t="n"/>
      <c r="P419" s="27" t="n"/>
      <c r="Q419" s="27" t="n"/>
      <c r="R419" s="27" t="n"/>
    </row>
    <row r="420">
      <c r="A420" s="27" t="n"/>
      <c r="B420" s="27" t="n"/>
      <c r="C420" s="27" t="n"/>
      <c r="D420" s="34" t="n"/>
      <c r="E420" s="27" t="n"/>
      <c r="F420" s="27" t="n"/>
      <c r="G420" s="28" t="n"/>
      <c r="H420" s="26">
        <f>IF(AND(ISNUMBER(G420),ISNUMBER(D420)),IF(E420="Weeks",G420+7*D420,EDATE(G420,IF(E420="Years",12,1)*D420)),"")</f>
        <v/>
      </c>
      <c r="I420" s="34" t="n"/>
      <c r="J420" s="26">
        <f>IF(ISNUMBER(H420),H420-IF(ISNUMBER(I420),I420,30),"")</f>
        <v/>
      </c>
      <c r="K420" s="35">
        <f>IF(H420="","",IF(ISNUMBER(H420),H420-TODAY(),"Check date"))</f>
        <v/>
      </c>
      <c r="L420" s="32">
        <f>IF(K420="","",IF(ISNUMBER(K420),IF(K420&lt;0,"Overdue",IF(K420&lt;=30,"Due ≤30 days",IF(K420&lt;=90,"Due ≤90 days","OK"))),"Check date"))</f>
        <v/>
      </c>
      <c r="M420" s="27" t="n"/>
      <c r="N420" s="27" t="n"/>
      <c r="O420" s="27" t="n"/>
      <c r="P420" s="27" t="n"/>
      <c r="Q420" s="27" t="n"/>
      <c r="R420" s="27" t="n"/>
    </row>
    <row r="421">
      <c r="A421" s="27" t="n"/>
      <c r="B421" s="27" t="n"/>
      <c r="C421" s="27" t="n"/>
      <c r="D421" s="34" t="n"/>
      <c r="E421" s="27" t="n"/>
      <c r="F421" s="27" t="n"/>
      <c r="G421" s="28" t="n"/>
      <c r="H421" s="26">
        <f>IF(AND(ISNUMBER(G421),ISNUMBER(D421)),IF(E421="Weeks",G421+7*D421,EDATE(G421,IF(E421="Years",12,1)*D421)),"")</f>
        <v/>
      </c>
      <c r="I421" s="34" t="n"/>
      <c r="J421" s="26">
        <f>IF(ISNUMBER(H421),H421-IF(ISNUMBER(I421),I421,30),"")</f>
        <v/>
      </c>
      <c r="K421" s="35">
        <f>IF(H421="","",IF(ISNUMBER(H421),H421-TODAY(),"Check date"))</f>
        <v/>
      </c>
      <c r="L421" s="32">
        <f>IF(K421="","",IF(ISNUMBER(K421),IF(K421&lt;0,"Overdue",IF(K421&lt;=30,"Due ≤30 days",IF(K421&lt;=90,"Due ≤90 days","OK"))),"Check date"))</f>
        <v/>
      </c>
      <c r="M421" s="27" t="n"/>
      <c r="N421" s="27" t="n"/>
      <c r="O421" s="27" t="n"/>
      <c r="P421" s="27" t="n"/>
      <c r="Q421" s="27" t="n"/>
      <c r="R421" s="27" t="n"/>
    </row>
    <row r="422">
      <c r="A422" s="27" t="n"/>
      <c r="B422" s="27" t="n"/>
      <c r="C422" s="27" t="n"/>
      <c r="D422" s="34" t="n"/>
      <c r="E422" s="27" t="n"/>
      <c r="F422" s="27" t="n"/>
      <c r="G422" s="28" t="n"/>
      <c r="H422" s="26">
        <f>IF(AND(ISNUMBER(G422),ISNUMBER(D422)),IF(E422="Weeks",G422+7*D422,EDATE(G422,IF(E422="Years",12,1)*D422)),"")</f>
        <v/>
      </c>
      <c r="I422" s="34" t="n"/>
      <c r="J422" s="26">
        <f>IF(ISNUMBER(H422),H422-IF(ISNUMBER(I422),I422,30),"")</f>
        <v/>
      </c>
      <c r="K422" s="35">
        <f>IF(H422="","",IF(ISNUMBER(H422),H422-TODAY(),"Check date"))</f>
        <v/>
      </c>
      <c r="L422" s="32">
        <f>IF(K422="","",IF(ISNUMBER(K422),IF(K422&lt;0,"Overdue",IF(K422&lt;=30,"Due ≤30 days",IF(K422&lt;=90,"Due ≤90 days","OK"))),"Check date"))</f>
        <v/>
      </c>
      <c r="M422" s="27" t="n"/>
      <c r="N422" s="27" t="n"/>
      <c r="O422" s="27" t="n"/>
      <c r="P422" s="27" t="n"/>
      <c r="Q422" s="27" t="n"/>
      <c r="R422" s="27" t="n"/>
    </row>
    <row r="423">
      <c r="A423" s="27" t="n"/>
      <c r="B423" s="27" t="n"/>
      <c r="C423" s="27" t="n"/>
      <c r="D423" s="34" t="n"/>
      <c r="E423" s="27" t="n"/>
      <c r="F423" s="27" t="n"/>
      <c r="G423" s="28" t="n"/>
      <c r="H423" s="26">
        <f>IF(AND(ISNUMBER(G423),ISNUMBER(D423)),IF(E423="Weeks",G423+7*D423,EDATE(G423,IF(E423="Years",12,1)*D423)),"")</f>
        <v/>
      </c>
      <c r="I423" s="34" t="n"/>
      <c r="J423" s="26">
        <f>IF(ISNUMBER(H423),H423-IF(ISNUMBER(I423),I423,30),"")</f>
        <v/>
      </c>
      <c r="K423" s="35">
        <f>IF(H423="","",IF(ISNUMBER(H423),H423-TODAY(),"Check date"))</f>
        <v/>
      </c>
      <c r="L423" s="32">
        <f>IF(K423="","",IF(ISNUMBER(K423),IF(K423&lt;0,"Overdue",IF(K423&lt;=30,"Due ≤30 days",IF(K423&lt;=90,"Due ≤90 days","OK"))),"Check date"))</f>
        <v/>
      </c>
      <c r="M423" s="27" t="n"/>
      <c r="N423" s="27" t="n"/>
      <c r="O423" s="27" t="n"/>
      <c r="P423" s="27" t="n"/>
      <c r="Q423" s="27" t="n"/>
      <c r="R423" s="27" t="n"/>
    </row>
    <row r="424">
      <c r="A424" s="27" t="n"/>
      <c r="B424" s="27" t="n"/>
      <c r="C424" s="27" t="n"/>
      <c r="D424" s="34" t="n"/>
      <c r="E424" s="27" t="n"/>
      <c r="F424" s="27" t="n"/>
      <c r="G424" s="28" t="n"/>
      <c r="H424" s="26">
        <f>IF(AND(ISNUMBER(G424),ISNUMBER(D424)),IF(E424="Weeks",G424+7*D424,EDATE(G424,IF(E424="Years",12,1)*D424)),"")</f>
        <v/>
      </c>
      <c r="I424" s="34" t="n"/>
      <c r="J424" s="26">
        <f>IF(ISNUMBER(H424),H424-IF(ISNUMBER(I424),I424,30),"")</f>
        <v/>
      </c>
      <c r="K424" s="35">
        <f>IF(H424="","",IF(ISNUMBER(H424),H424-TODAY(),"Check date"))</f>
        <v/>
      </c>
      <c r="L424" s="32">
        <f>IF(K424="","",IF(ISNUMBER(K424),IF(K424&lt;0,"Overdue",IF(K424&lt;=30,"Due ≤30 days",IF(K424&lt;=90,"Due ≤90 days","OK"))),"Check date"))</f>
        <v/>
      </c>
      <c r="M424" s="27" t="n"/>
      <c r="N424" s="27" t="n"/>
      <c r="O424" s="27" t="n"/>
      <c r="P424" s="27" t="n"/>
      <c r="Q424" s="27" t="n"/>
      <c r="R424" s="27" t="n"/>
    </row>
    <row r="425">
      <c r="A425" s="27" t="n"/>
      <c r="B425" s="27" t="n"/>
      <c r="C425" s="27" t="n"/>
      <c r="D425" s="34" t="n"/>
      <c r="E425" s="27" t="n"/>
      <c r="F425" s="27" t="n"/>
      <c r="G425" s="28" t="n"/>
      <c r="H425" s="26">
        <f>IF(AND(ISNUMBER(G425),ISNUMBER(D425)),IF(E425="Weeks",G425+7*D425,EDATE(G425,IF(E425="Years",12,1)*D425)),"")</f>
        <v/>
      </c>
      <c r="I425" s="34" t="n"/>
      <c r="J425" s="26">
        <f>IF(ISNUMBER(H425),H425-IF(ISNUMBER(I425),I425,30),"")</f>
        <v/>
      </c>
      <c r="K425" s="35">
        <f>IF(H425="","",IF(ISNUMBER(H425),H425-TODAY(),"Check date"))</f>
        <v/>
      </c>
      <c r="L425" s="32">
        <f>IF(K425="","",IF(ISNUMBER(K425),IF(K425&lt;0,"Overdue",IF(K425&lt;=30,"Due ≤30 days",IF(K425&lt;=90,"Due ≤90 days","OK"))),"Check date"))</f>
        <v/>
      </c>
      <c r="M425" s="27" t="n"/>
      <c r="N425" s="27" t="n"/>
      <c r="O425" s="27" t="n"/>
      <c r="P425" s="27" t="n"/>
      <c r="Q425" s="27" t="n"/>
      <c r="R425" s="27" t="n"/>
    </row>
    <row r="426">
      <c r="A426" s="27" t="n"/>
      <c r="B426" s="27" t="n"/>
      <c r="C426" s="27" t="n"/>
      <c r="D426" s="34" t="n"/>
      <c r="E426" s="27" t="n"/>
      <c r="F426" s="27" t="n"/>
      <c r="G426" s="28" t="n"/>
      <c r="H426" s="26">
        <f>IF(AND(ISNUMBER(G426),ISNUMBER(D426)),IF(E426="Weeks",G426+7*D426,EDATE(G426,IF(E426="Years",12,1)*D426)),"")</f>
        <v/>
      </c>
      <c r="I426" s="34" t="n"/>
      <c r="J426" s="26">
        <f>IF(ISNUMBER(H426),H426-IF(ISNUMBER(I426),I426,30),"")</f>
        <v/>
      </c>
      <c r="K426" s="35">
        <f>IF(H426="","",IF(ISNUMBER(H426),H426-TODAY(),"Check date"))</f>
        <v/>
      </c>
      <c r="L426" s="32">
        <f>IF(K426="","",IF(ISNUMBER(K426),IF(K426&lt;0,"Overdue",IF(K426&lt;=30,"Due ≤30 days",IF(K426&lt;=90,"Due ≤90 days","OK"))),"Check date"))</f>
        <v/>
      </c>
      <c r="M426" s="27" t="n"/>
      <c r="N426" s="27" t="n"/>
      <c r="O426" s="27" t="n"/>
      <c r="P426" s="27" t="n"/>
      <c r="Q426" s="27" t="n"/>
      <c r="R426" s="27" t="n"/>
    </row>
    <row r="427">
      <c r="A427" s="27" t="n"/>
      <c r="B427" s="27" t="n"/>
      <c r="C427" s="27" t="n"/>
      <c r="D427" s="34" t="n"/>
      <c r="E427" s="27" t="n"/>
      <c r="F427" s="27" t="n"/>
      <c r="G427" s="28" t="n"/>
      <c r="H427" s="26">
        <f>IF(AND(ISNUMBER(G427),ISNUMBER(D427)),IF(E427="Weeks",G427+7*D427,EDATE(G427,IF(E427="Years",12,1)*D427)),"")</f>
        <v/>
      </c>
      <c r="I427" s="34" t="n"/>
      <c r="J427" s="26">
        <f>IF(ISNUMBER(H427),H427-IF(ISNUMBER(I427),I427,30),"")</f>
        <v/>
      </c>
      <c r="K427" s="35">
        <f>IF(H427="","",IF(ISNUMBER(H427),H427-TODAY(),"Check date"))</f>
        <v/>
      </c>
      <c r="L427" s="32">
        <f>IF(K427="","",IF(ISNUMBER(K427),IF(K427&lt;0,"Overdue",IF(K427&lt;=30,"Due ≤30 days",IF(K427&lt;=90,"Due ≤90 days","OK"))),"Check date"))</f>
        <v/>
      </c>
      <c r="M427" s="27" t="n"/>
      <c r="N427" s="27" t="n"/>
      <c r="O427" s="27" t="n"/>
      <c r="P427" s="27" t="n"/>
      <c r="Q427" s="27" t="n"/>
      <c r="R427" s="27" t="n"/>
    </row>
    <row r="428">
      <c r="A428" s="27" t="n"/>
      <c r="B428" s="27" t="n"/>
      <c r="C428" s="27" t="n"/>
      <c r="D428" s="34" t="n"/>
      <c r="E428" s="27" t="n"/>
      <c r="F428" s="27" t="n"/>
      <c r="G428" s="28" t="n"/>
      <c r="H428" s="26">
        <f>IF(AND(ISNUMBER(G428),ISNUMBER(D428)),IF(E428="Weeks",G428+7*D428,EDATE(G428,IF(E428="Years",12,1)*D428)),"")</f>
        <v/>
      </c>
      <c r="I428" s="34" t="n"/>
      <c r="J428" s="26">
        <f>IF(ISNUMBER(H428),H428-IF(ISNUMBER(I428),I428,30),"")</f>
        <v/>
      </c>
      <c r="K428" s="35">
        <f>IF(H428="","",IF(ISNUMBER(H428),H428-TODAY(),"Check date"))</f>
        <v/>
      </c>
      <c r="L428" s="32">
        <f>IF(K428="","",IF(ISNUMBER(K428),IF(K428&lt;0,"Overdue",IF(K428&lt;=30,"Due ≤30 days",IF(K428&lt;=90,"Due ≤90 days","OK"))),"Check date"))</f>
        <v/>
      </c>
      <c r="M428" s="27" t="n"/>
      <c r="N428" s="27" t="n"/>
      <c r="O428" s="27" t="n"/>
      <c r="P428" s="27" t="n"/>
      <c r="Q428" s="27" t="n"/>
      <c r="R428" s="27" t="n"/>
    </row>
    <row r="429">
      <c r="A429" s="27" t="n"/>
      <c r="B429" s="27" t="n"/>
      <c r="C429" s="27" t="n"/>
      <c r="D429" s="34" t="n"/>
      <c r="E429" s="27" t="n"/>
      <c r="F429" s="27" t="n"/>
      <c r="G429" s="28" t="n"/>
      <c r="H429" s="26">
        <f>IF(AND(ISNUMBER(G429),ISNUMBER(D429)),IF(E429="Weeks",G429+7*D429,EDATE(G429,IF(E429="Years",12,1)*D429)),"")</f>
        <v/>
      </c>
      <c r="I429" s="34" t="n"/>
      <c r="J429" s="26">
        <f>IF(ISNUMBER(H429),H429-IF(ISNUMBER(I429),I429,30),"")</f>
        <v/>
      </c>
      <c r="K429" s="35">
        <f>IF(H429="","",IF(ISNUMBER(H429),H429-TODAY(),"Check date"))</f>
        <v/>
      </c>
      <c r="L429" s="32">
        <f>IF(K429="","",IF(ISNUMBER(K429),IF(K429&lt;0,"Overdue",IF(K429&lt;=30,"Due ≤30 days",IF(K429&lt;=90,"Due ≤90 days","OK"))),"Check date"))</f>
        <v/>
      </c>
      <c r="M429" s="27" t="n"/>
      <c r="N429" s="27" t="n"/>
      <c r="O429" s="27" t="n"/>
      <c r="P429" s="27" t="n"/>
      <c r="Q429" s="27" t="n"/>
      <c r="R429" s="27" t="n"/>
    </row>
    <row r="430">
      <c r="A430" s="27" t="n"/>
      <c r="B430" s="27" t="n"/>
      <c r="C430" s="27" t="n"/>
      <c r="D430" s="34" t="n"/>
      <c r="E430" s="27" t="n"/>
      <c r="F430" s="27" t="n"/>
      <c r="G430" s="28" t="n"/>
      <c r="H430" s="26">
        <f>IF(AND(ISNUMBER(G430),ISNUMBER(D430)),IF(E430="Weeks",G430+7*D430,EDATE(G430,IF(E430="Years",12,1)*D430)),"")</f>
        <v/>
      </c>
      <c r="I430" s="34" t="n"/>
      <c r="J430" s="26">
        <f>IF(ISNUMBER(H430),H430-IF(ISNUMBER(I430),I430,30),"")</f>
        <v/>
      </c>
      <c r="K430" s="35">
        <f>IF(H430="","",IF(ISNUMBER(H430),H430-TODAY(),"Check date"))</f>
        <v/>
      </c>
      <c r="L430" s="32">
        <f>IF(K430="","",IF(ISNUMBER(K430),IF(K430&lt;0,"Overdue",IF(K430&lt;=30,"Due ≤30 days",IF(K430&lt;=90,"Due ≤90 days","OK"))),"Check date"))</f>
        <v/>
      </c>
      <c r="M430" s="27" t="n"/>
      <c r="N430" s="27" t="n"/>
      <c r="O430" s="27" t="n"/>
      <c r="P430" s="27" t="n"/>
      <c r="Q430" s="27" t="n"/>
      <c r="R430" s="27" t="n"/>
    </row>
    <row r="431">
      <c r="A431" s="27" t="n"/>
      <c r="B431" s="27" t="n"/>
      <c r="C431" s="27" t="n"/>
      <c r="D431" s="34" t="n"/>
      <c r="E431" s="27" t="n"/>
      <c r="F431" s="27" t="n"/>
      <c r="G431" s="28" t="n"/>
      <c r="H431" s="26">
        <f>IF(AND(ISNUMBER(G431),ISNUMBER(D431)),IF(E431="Weeks",G431+7*D431,EDATE(G431,IF(E431="Years",12,1)*D431)),"")</f>
        <v/>
      </c>
      <c r="I431" s="34" t="n"/>
      <c r="J431" s="26">
        <f>IF(ISNUMBER(H431),H431-IF(ISNUMBER(I431),I431,30),"")</f>
        <v/>
      </c>
      <c r="K431" s="35">
        <f>IF(H431="","",IF(ISNUMBER(H431),H431-TODAY(),"Check date"))</f>
        <v/>
      </c>
      <c r="L431" s="32">
        <f>IF(K431="","",IF(ISNUMBER(K431),IF(K431&lt;0,"Overdue",IF(K431&lt;=30,"Due ≤30 days",IF(K431&lt;=90,"Due ≤90 days","OK"))),"Check date"))</f>
        <v/>
      </c>
      <c r="M431" s="27" t="n"/>
      <c r="N431" s="27" t="n"/>
      <c r="O431" s="27" t="n"/>
      <c r="P431" s="27" t="n"/>
      <c r="Q431" s="27" t="n"/>
      <c r="R431" s="27" t="n"/>
    </row>
    <row r="432">
      <c r="A432" s="27" t="n"/>
      <c r="B432" s="27" t="n"/>
      <c r="C432" s="27" t="n"/>
      <c r="D432" s="34" t="n"/>
      <c r="E432" s="27" t="n"/>
      <c r="F432" s="27" t="n"/>
      <c r="G432" s="28" t="n"/>
      <c r="H432" s="26">
        <f>IF(AND(ISNUMBER(G432),ISNUMBER(D432)),IF(E432="Weeks",G432+7*D432,EDATE(G432,IF(E432="Years",12,1)*D432)),"")</f>
        <v/>
      </c>
      <c r="I432" s="34" t="n"/>
      <c r="J432" s="26">
        <f>IF(ISNUMBER(H432),H432-IF(ISNUMBER(I432),I432,30),"")</f>
        <v/>
      </c>
      <c r="K432" s="35">
        <f>IF(H432="","",IF(ISNUMBER(H432),H432-TODAY(),"Check date"))</f>
        <v/>
      </c>
      <c r="L432" s="32">
        <f>IF(K432="","",IF(ISNUMBER(K432),IF(K432&lt;0,"Overdue",IF(K432&lt;=30,"Due ≤30 days",IF(K432&lt;=90,"Due ≤90 days","OK"))),"Check date"))</f>
        <v/>
      </c>
      <c r="M432" s="27" t="n"/>
      <c r="N432" s="27" t="n"/>
      <c r="O432" s="27" t="n"/>
      <c r="P432" s="27" t="n"/>
      <c r="Q432" s="27" t="n"/>
      <c r="R432" s="27" t="n"/>
    </row>
    <row r="433">
      <c r="A433" s="27" t="n"/>
      <c r="B433" s="27" t="n"/>
      <c r="C433" s="27" t="n"/>
      <c r="D433" s="34" t="n"/>
      <c r="E433" s="27" t="n"/>
      <c r="F433" s="27" t="n"/>
      <c r="G433" s="28" t="n"/>
      <c r="H433" s="26">
        <f>IF(AND(ISNUMBER(G433),ISNUMBER(D433)),IF(E433="Weeks",G433+7*D433,EDATE(G433,IF(E433="Years",12,1)*D433)),"")</f>
        <v/>
      </c>
      <c r="I433" s="34" t="n"/>
      <c r="J433" s="26">
        <f>IF(ISNUMBER(H433),H433-IF(ISNUMBER(I433),I433,30),"")</f>
        <v/>
      </c>
      <c r="K433" s="35">
        <f>IF(H433="","",IF(ISNUMBER(H433),H433-TODAY(),"Check date"))</f>
        <v/>
      </c>
      <c r="L433" s="32">
        <f>IF(K433="","",IF(ISNUMBER(K433),IF(K433&lt;0,"Overdue",IF(K433&lt;=30,"Due ≤30 days",IF(K433&lt;=90,"Due ≤90 days","OK"))),"Check date"))</f>
        <v/>
      </c>
      <c r="M433" s="27" t="n"/>
      <c r="N433" s="27" t="n"/>
      <c r="O433" s="27" t="n"/>
      <c r="P433" s="27" t="n"/>
      <c r="Q433" s="27" t="n"/>
      <c r="R433" s="27" t="n"/>
    </row>
    <row r="434">
      <c r="A434" s="27" t="n"/>
      <c r="B434" s="27" t="n"/>
      <c r="C434" s="27" t="n"/>
      <c r="D434" s="34" t="n"/>
      <c r="E434" s="27" t="n"/>
      <c r="F434" s="27" t="n"/>
      <c r="G434" s="28" t="n"/>
      <c r="H434" s="26">
        <f>IF(AND(ISNUMBER(G434),ISNUMBER(D434)),IF(E434="Weeks",G434+7*D434,EDATE(G434,IF(E434="Years",12,1)*D434)),"")</f>
        <v/>
      </c>
      <c r="I434" s="34" t="n"/>
      <c r="J434" s="26">
        <f>IF(ISNUMBER(H434),H434-IF(ISNUMBER(I434),I434,30),"")</f>
        <v/>
      </c>
      <c r="K434" s="35">
        <f>IF(H434="","",IF(ISNUMBER(H434),H434-TODAY(),"Check date"))</f>
        <v/>
      </c>
      <c r="L434" s="32">
        <f>IF(K434="","",IF(ISNUMBER(K434),IF(K434&lt;0,"Overdue",IF(K434&lt;=30,"Due ≤30 days",IF(K434&lt;=90,"Due ≤90 days","OK"))),"Check date"))</f>
        <v/>
      </c>
      <c r="M434" s="27" t="n"/>
      <c r="N434" s="27" t="n"/>
      <c r="O434" s="27" t="n"/>
      <c r="P434" s="27" t="n"/>
      <c r="Q434" s="27" t="n"/>
      <c r="R434" s="27" t="n"/>
    </row>
    <row r="435">
      <c r="A435" s="27" t="n"/>
      <c r="B435" s="27" t="n"/>
      <c r="C435" s="27" t="n"/>
      <c r="D435" s="34" t="n"/>
      <c r="E435" s="27" t="n"/>
      <c r="F435" s="27" t="n"/>
      <c r="G435" s="28" t="n"/>
      <c r="H435" s="26">
        <f>IF(AND(ISNUMBER(G435),ISNUMBER(D435)),IF(E435="Weeks",G435+7*D435,EDATE(G435,IF(E435="Years",12,1)*D435)),"")</f>
        <v/>
      </c>
      <c r="I435" s="34" t="n"/>
      <c r="J435" s="26">
        <f>IF(ISNUMBER(H435),H435-IF(ISNUMBER(I435),I435,30),"")</f>
        <v/>
      </c>
      <c r="K435" s="35">
        <f>IF(H435="","",IF(ISNUMBER(H435),H435-TODAY(),"Check date"))</f>
        <v/>
      </c>
      <c r="L435" s="32">
        <f>IF(K435="","",IF(ISNUMBER(K435),IF(K435&lt;0,"Overdue",IF(K435&lt;=30,"Due ≤30 days",IF(K435&lt;=90,"Due ≤90 days","OK"))),"Check date"))</f>
        <v/>
      </c>
      <c r="M435" s="27" t="n"/>
      <c r="N435" s="27" t="n"/>
      <c r="O435" s="27" t="n"/>
      <c r="P435" s="27" t="n"/>
      <c r="Q435" s="27" t="n"/>
      <c r="R435" s="27" t="n"/>
    </row>
    <row r="436">
      <c r="A436" s="27" t="n"/>
      <c r="B436" s="27" t="n"/>
      <c r="C436" s="27" t="n"/>
      <c r="D436" s="34" t="n"/>
      <c r="E436" s="27" t="n"/>
      <c r="F436" s="27" t="n"/>
      <c r="G436" s="28" t="n"/>
      <c r="H436" s="26">
        <f>IF(AND(ISNUMBER(G436),ISNUMBER(D436)),IF(E436="Weeks",G436+7*D436,EDATE(G436,IF(E436="Years",12,1)*D436)),"")</f>
        <v/>
      </c>
      <c r="I436" s="34" t="n"/>
      <c r="J436" s="26">
        <f>IF(ISNUMBER(H436),H436-IF(ISNUMBER(I436),I436,30),"")</f>
        <v/>
      </c>
      <c r="K436" s="35">
        <f>IF(H436="","",IF(ISNUMBER(H436),H436-TODAY(),"Check date"))</f>
        <v/>
      </c>
      <c r="L436" s="32">
        <f>IF(K436="","",IF(ISNUMBER(K436),IF(K436&lt;0,"Overdue",IF(K436&lt;=30,"Due ≤30 days",IF(K436&lt;=90,"Due ≤90 days","OK"))),"Check date"))</f>
        <v/>
      </c>
      <c r="M436" s="27" t="n"/>
      <c r="N436" s="27" t="n"/>
      <c r="O436" s="27" t="n"/>
      <c r="P436" s="27" t="n"/>
      <c r="Q436" s="27" t="n"/>
      <c r="R436" s="27" t="n"/>
    </row>
    <row r="437">
      <c r="A437" s="27" t="n"/>
      <c r="B437" s="27" t="n"/>
      <c r="C437" s="27" t="n"/>
      <c r="D437" s="34" t="n"/>
      <c r="E437" s="27" t="n"/>
      <c r="F437" s="27" t="n"/>
      <c r="G437" s="28" t="n"/>
      <c r="H437" s="26">
        <f>IF(AND(ISNUMBER(G437),ISNUMBER(D437)),IF(E437="Weeks",G437+7*D437,EDATE(G437,IF(E437="Years",12,1)*D437)),"")</f>
        <v/>
      </c>
      <c r="I437" s="34" t="n"/>
      <c r="J437" s="26">
        <f>IF(ISNUMBER(H437),H437-IF(ISNUMBER(I437),I437,30),"")</f>
        <v/>
      </c>
      <c r="K437" s="35">
        <f>IF(H437="","",IF(ISNUMBER(H437),H437-TODAY(),"Check date"))</f>
        <v/>
      </c>
      <c r="L437" s="32">
        <f>IF(K437="","",IF(ISNUMBER(K437),IF(K437&lt;0,"Overdue",IF(K437&lt;=30,"Due ≤30 days",IF(K437&lt;=90,"Due ≤90 days","OK"))),"Check date"))</f>
        <v/>
      </c>
      <c r="M437" s="27" t="n"/>
      <c r="N437" s="27" t="n"/>
      <c r="O437" s="27" t="n"/>
      <c r="P437" s="27" t="n"/>
      <c r="Q437" s="27" t="n"/>
      <c r="R437" s="27" t="n"/>
    </row>
    <row r="438">
      <c r="A438" s="27" t="n"/>
      <c r="B438" s="27" t="n"/>
      <c r="C438" s="27" t="n"/>
      <c r="D438" s="34" t="n"/>
      <c r="E438" s="27" t="n"/>
      <c r="F438" s="27" t="n"/>
      <c r="G438" s="28" t="n"/>
      <c r="H438" s="26">
        <f>IF(AND(ISNUMBER(G438),ISNUMBER(D438)),IF(E438="Weeks",G438+7*D438,EDATE(G438,IF(E438="Years",12,1)*D438)),"")</f>
        <v/>
      </c>
      <c r="I438" s="34" t="n"/>
      <c r="J438" s="26">
        <f>IF(ISNUMBER(H438),H438-IF(ISNUMBER(I438),I438,30),"")</f>
        <v/>
      </c>
      <c r="K438" s="35">
        <f>IF(H438="","",IF(ISNUMBER(H438),H438-TODAY(),"Check date"))</f>
        <v/>
      </c>
      <c r="L438" s="32">
        <f>IF(K438="","",IF(ISNUMBER(K438),IF(K438&lt;0,"Overdue",IF(K438&lt;=30,"Due ≤30 days",IF(K438&lt;=90,"Due ≤90 days","OK"))),"Check date"))</f>
        <v/>
      </c>
      <c r="M438" s="27" t="n"/>
      <c r="N438" s="27" t="n"/>
      <c r="O438" s="27" t="n"/>
      <c r="P438" s="27" t="n"/>
      <c r="Q438" s="27" t="n"/>
      <c r="R438" s="27" t="n"/>
    </row>
    <row r="439">
      <c r="A439" s="27" t="n"/>
      <c r="B439" s="27" t="n"/>
      <c r="C439" s="27" t="n"/>
      <c r="D439" s="34" t="n"/>
      <c r="E439" s="27" t="n"/>
      <c r="F439" s="27" t="n"/>
      <c r="G439" s="28" t="n"/>
      <c r="H439" s="26">
        <f>IF(AND(ISNUMBER(G439),ISNUMBER(D439)),IF(E439="Weeks",G439+7*D439,EDATE(G439,IF(E439="Years",12,1)*D439)),"")</f>
        <v/>
      </c>
      <c r="I439" s="34" t="n"/>
      <c r="J439" s="26">
        <f>IF(ISNUMBER(H439),H439-IF(ISNUMBER(I439),I439,30),"")</f>
        <v/>
      </c>
      <c r="K439" s="35">
        <f>IF(H439="","",IF(ISNUMBER(H439),H439-TODAY(),"Check date"))</f>
        <v/>
      </c>
      <c r="L439" s="32">
        <f>IF(K439="","",IF(ISNUMBER(K439),IF(K439&lt;0,"Overdue",IF(K439&lt;=30,"Due ≤30 days",IF(K439&lt;=90,"Due ≤90 days","OK"))),"Check date"))</f>
        <v/>
      </c>
      <c r="M439" s="27" t="n"/>
      <c r="N439" s="27" t="n"/>
      <c r="O439" s="27" t="n"/>
      <c r="P439" s="27" t="n"/>
      <c r="Q439" s="27" t="n"/>
      <c r="R439" s="27" t="n"/>
    </row>
    <row r="440">
      <c r="A440" s="27" t="n"/>
      <c r="B440" s="27" t="n"/>
      <c r="C440" s="27" t="n"/>
      <c r="D440" s="34" t="n"/>
      <c r="E440" s="27" t="n"/>
      <c r="F440" s="27" t="n"/>
      <c r="G440" s="28" t="n"/>
      <c r="H440" s="26">
        <f>IF(AND(ISNUMBER(G440),ISNUMBER(D440)),IF(E440="Weeks",G440+7*D440,EDATE(G440,IF(E440="Years",12,1)*D440)),"")</f>
        <v/>
      </c>
      <c r="I440" s="34" t="n"/>
      <c r="J440" s="26">
        <f>IF(ISNUMBER(H440),H440-IF(ISNUMBER(I440),I440,30),"")</f>
        <v/>
      </c>
      <c r="K440" s="35">
        <f>IF(H440="","",IF(ISNUMBER(H440),H440-TODAY(),"Check date"))</f>
        <v/>
      </c>
      <c r="L440" s="32">
        <f>IF(K440="","",IF(ISNUMBER(K440),IF(K440&lt;0,"Overdue",IF(K440&lt;=30,"Due ≤30 days",IF(K440&lt;=90,"Due ≤90 days","OK"))),"Check date"))</f>
        <v/>
      </c>
      <c r="M440" s="27" t="n"/>
      <c r="N440" s="27" t="n"/>
      <c r="O440" s="27" t="n"/>
      <c r="P440" s="27" t="n"/>
      <c r="Q440" s="27" t="n"/>
      <c r="R440" s="27" t="n"/>
    </row>
    <row r="441">
      <c r="A441" s="27" t="n"/>
      <c r="B441" s="27" t="n"/>
      <c r="C441" s="27" t="n"/>
      <c r="D441" s="34" t="n"/>
      <c r="E441" s="27" t="n"/>
      <c r="F441" s="27" t="n"/>
      <c r="G441" s="28" t="n"/>
      <c r="H441" s="26">
        <f>IF(AND(ISNUMBER(G441),ISNUMBER(D441)),IF(E441="Weeks",G441+7*D441,EDATE(G441,IF(E441="Years",12,1)*D441)),"")</f>
        <v/>
      </c>
      <c r="I441" s="34" t="n"/>
      <c r="J441" s="26">
        <f>IF(ISNUMBER(H441),H441-IF(ISNUMBER(I441),I441,30),"")</f>
        <v/>
      </c>
      <c r="K441" s="35">
        <f>IF(H441="","",IF(ISNUMBER(H441),H441-TODAY(),"Check date"))</f>
        <v/>
      </c>
      <c r="L441" s="32">
        <f>IF(K441="","",IF(ISNUMBER(K441),IF(K441&lt;0,"Overdue",IF(K441&lt;=30,"Due ≤30 days",IF(K441&lt;=90,"Due ≤90 days","OK"))),"Check date"))</f>
        <v/>
      </c>
      <c r="M441" s="27" t="n"/>
      <c r="N441" s="27" t="n"/>
      <c r="O441" s="27" t="n"/>
      <c r="P441" s="27" t="n"/>
      <c r="Q441" s="27" t="n"/>
      <c r="R441" s="27" t="n"/>
    </row>
    <row r="442">
      <c r="A442" s="27" t="n"/>
      <c r="B442" s="27" t="n"/>
      <c r="C442" s="27" t="n"/>
      <c r="D442" s="34" t="n"/>
      <c r="E442" s="27" t="n"/>
      <c r="F442" s="27" t="n"/>
      <c r="G442" s="28" t="n"/>
      <c r="H442" s="26">
        <f>IF(AND(ISNUMBER(G442),ISNUMBER(D442)),IF(E442="Weeks",G442+7*D442,EDATE(G442,IF(E442="Years",12,1)*D442)),"")</f>
        <v/>
      </c>
      <c r="I442" s="34" t="n"/>
      <c r="J442" s="26">
        <f>IF(ISNUMBER(H442),H442-IF(ISNUMBER(I442),I442,30),"")</f>
        <v/>
      </c>
      <c r="K442" s="35">
        <f>IF(H442="","",IF(ISNUMBER(H442),H442-TODAY(),"Check date"))</f>
        <v/>
      </c>
      <c r="L442" s="32">
        <f>IF(K442="","",IF(ISNUMBER(K442),IF(K442&lt;0,"Overdue",IF(K442&lt;=30,"Due ≤30 days",IF(K442&lt;=90,"Due ≤90 days","OK"))),"Check date"))</f>
        <v/>
      </c>
      <c r="M442" s="27" t="n"/>
      <c r="N442" s="27" t="n"/>
      <c r="O442" s="27" t="n"/>
      <c r="P442" s="27" t="n"/>
      <c r="Q442" s="27" t="n"/>
      <c r="R442" s="27" t="n"/>
    </row>
    <row r="443">
      <c r="A443" s="27" t="n"/>
      <c r="B443" s="27" t="n"/>
      <c r="C443" s="27" t="n"/>
      <c r="D443" s="34" t="n"/>
      <c r="E443" s="27" t="n"/>
      <c r="F443" s="27" t="n"/>
      <c r="G443" s="28" t="n"/>
      <c r="H443" s="26">
        <f>IF(AND(ISNUMBER(G443),ISNUMBER(D443)),IF(E443="Weeks",G443+7*D443,EDATE(G443,IF(E443="Years",12,1)*D443)),"")</f>
        <v/>
      </c>
      <c r="I443" s="34" t="n"/>
      <c r="J443" s="26">
        <f>IF(ISNUMBER(H443),H443-IF(ISNUMBER(I443),I443,30),"")</f>
        <v/>
      </c>
      <c r="K443" s="35">
        <f>IF(H443="","",IF(ISNUMBER(H443),H443-TODAY(),"Check date"))</f>
        <v/>
      </c>
      <c r="L443" s="32">
        <f>IF(K443="","",IF(ISNUMBER(K443),IF(K443&lt;0,"Overdue",IF(K443&lt;=30,"Due ≤30 days",IF(K443&lt;=90,"Due ≤90 days","OK"))),"Check date"))</f>
        <v/>
      </c>
      <c r="M443" s="27" t="n"/>
      <c r="N443" s="27" t="n"/>
      <c r="O443" s="27" t="n"/>
      <c r="P443" s="27" t="n"/>
      <c r="Q443" s="27" t="n"/>
      <c r="R443" s="27" t="n"/>
    </row>
    <row r="444">
      <c r="A444" s="27" t="n"/>
      <c r="B444" s="27" t="n"/>
      <c r="C444" s="27" t="n"/>
      <c r="D444" s="34" t="n"/>
      <c r="E444" s="27" t="n"/>
      <c r="F444" s="27" t="n"/>
      <c r="G444" s="28" t="n"/>
      <c r="H444" s="26">
        <f>IF(AND(ISNUMBER(G444),ISNUMBER(D444)),IF(E444="Weeks",G444+7*D444,EDATE(G444,IF(E444="Years",12,1)*D444)),"")</f>
        <v/>
      </c>
      <c r="I444" s="34" t="n"/>
      <c r="J444" s="26">
        <f>IF(ISNUMBER(H444),H444-IF(ISNUMBER(I444),I444,30),"")</f>
        <v/>
      </c>
      <c r="K444" s="35">
        <f>IF(H444="","",IF(ISNUMBER(H444),H444-TODAY(),"Check date"))</f>
        <v/>
      </c>
      <c r="L444" s="32">
        <f>IF(K444="","",IF(ISNUMBER(K444),IF(K444&lt;0,"Overdue",IF(K444&lt;=30,"Due ≤30 days",IF(K444&lt;=90,"Due ≤90 days","OK"))),"Check date"))</f>
        <v/>
      </c>
      <c r="M444" s="27" t="n"/>
      <c r="N444" s="27" t="n"/>
      <c r="O444" s="27" t="n"/>
      <c r="P444" s="27" t="n"/>
      <c r="Q444" s="27" t="n"/>
      <c r="R444" s="27" t="n"/>
    </row>
    <row r="445">
      <c r="A445" s="27" t="n"/>
      <c r="B445" s="27" t="n"/>
      <c r="C445" s="27" t="n"/>
      <c r="D445" s="34" t="n"/>
      <c r="E445" s="27" t="n"/>
      <c r="F445" s="27" t="n"/>
      <c r="G445" s="28" t="n"/>
      <c r="H445" s="26">
        <f>IF(AND(ISNUMBER(G445),ISNUMBER(D445)),IF(E445="Weeks",G445+7*D445,EDATE(G445,IF(E445="Years",12,1)*D445)),"")</f>
        <v/>
      </c>
      <c r="I445" s="34" t="n"/>
      <c r="J445" s="26">
        <f>IF(ISNUMBER(H445),H445-IF(ISNUMBER(I445),I445,30),"")</f>
        <v/>
      </c>
      <c r="K445" s="35">
        <f>IF(H445="","",IF(ISNUMBER(H445),H445-TODAY(),"Check date"))</f>
        <v/>
      </c>
      <c r="L445" s="32">
        <f>IF(K445="","",IF(ISNUMBER(K445),IF(K445&lt;0,"Overdue",IF(K445&lt;=30,"Due ≤30 days",IF(K445&lt;=90,"Due ≤90 days","OK"))),"Check date"))</f>
        <v/>
      </c>
      <c r="M445" s="27" t="n"/>
      <c r="N445" s="27" t="n"/>
      <c r="O445" s="27" t="n"/>
      <c r="P445" s="27" t="n"/>
      <c r="Q445" s="27" t="n"/>
      <c r="R445" s="27" t="n"/>
    </row>
    <row r="446">
      <c r="A446" s="27" t="n"/>
      <c r="B446" s="27" t="n"/>
      <c r="C446" s="27" t="n"/>
      <c r="D446" s="34" t="n"/>
      <c r="E446" s="27" t="n"/>
      <c r="F446" s="27" t="n"/>
      <c r="G446" s="28" t="n"/>
      <c r="H446" s="26">
        <f>IF(AND(ISNUMBER(G446),ISNUMBER(D446)),IF(E446="Weeks",G446+7*D446,EDATE(G446,IF(E446="Years",12,1)*D446)),"")</f>
        <v/>
      </c>
      <c r="I446" s="34" t="n"/>
      <c r="J446" s="26">
        <f>IF(ISNUMBER(H446),H446-IF(ISNUMBER(I446),I446,30),"")</f>
        <v/>
      </c>
      <c r="K446" s="35">
        <f>IF(H446="","",IF(ISNUMBER(H446),H446-TODAY(),"Check date"))</f>
        <v/>
      </c>
      <c r="L446" s="32">
        <f>IF(K446="","",IF(ISNUMBER(K446),IF(K446&lt;0,"Overdue",IF(K446&lt;=30,"Due ≤30 days",IF(K446&lt;=90,"Due ≤90 days","OK"))),"Check date"))</f>
        <v/>
      </c>
      <c r="M446" s="27" t="n"/>
      <c r="N446" s="27" t="n"/>
      <c r="O446" s="27" t="n"/>
      <c r="P446" s="27" t="n"/>
      <c r="Q446" s="27" t="n"/>
      <c r="R446" s="27" t="n"/>
    </row>
    <row r="447">
      <c r="A447" s="27" t="n"/>
      <c r="B447" s="27" t="n"/>
      <c r="C447" s="27" t="n"/>
      <c r="D447" s="34" t="n"/>
      <c r="E447" s="27" t="n"/>
      <c r="F447" s="27" t="n"/>
      <c r="G447" s="28" t="n"/>
      <c r="H447" s="26">
        <f>IF(AND(ISNUMBER(G447),ISNUMBER(D447)),IF(E447="Weeks",G447+7*D447,EDATE(G447,IF(E447="Years",12,1)*D447)),"")</f>
        <v/>
      </c>
      <c r="I447" s="34" t="n"/>
      <c r="J447" s="26">
        <f>IF(ISNUMBER(H447),H447-IF(ISNUMBER(I447),I447,30),"")</f>
        <v/>
      </c>
      <c r="K447" s="35">
        <f>IF(H447="","",IF(ISNUMBER(H447),H447-TODAY(),"Check date"))</f>
        <v/>
      </c>
      <c r="L447" s="32">
        <f>IF(K447="","",IF(ISNUMBER(K447),IF(K447&lt;0,"Overdue",IF(K447&lt;=30,"Due ≤30 days",IF(K447&lt;=90,"Due ≤90 days","OK"))),"Check date"))</f>
        <v/>
      </c>
      <c r="M447" s="27" t="n"/>
      <c r="N447" s="27" t="n"/>
      <c r="O447" s="27" t="n"/>
      <c r="P447" s="27" t="n"/>
      <c r="Q447" s="27" t="n"/>
      <c r="R447" s="27" t="n"/>
    </row>
    <row r="448">
      <c r="A448" s="27" t="n"/>
      <c r="B448" s="27" t="n"/>
      <c r="C448" s="27" t="n"/>
      <c r="D448" s="34" t="n"/>
      <c r="E448" s="27" t="n"/>
      <c r="F448" s="27" t="n"/>
      <c r="G448" s="28" t="n"/>
      <c r="H448" s="26">
        <f>IF(AND(ISNUMBER(G448),ISNUMBER(D448)),IF(E448="Weeks",G448+7*D448,EDATE(G448,IF(E448="Years",12,1)*D448)),"")</f>
        <v/>
      </c>
      <c r="I448" s="34" t="n"/>
      <c r="J448" s="26">
        <f>IF(ISNUMBER(H448),H448-IF(ISNUMBER(I448),I448,30),"")</f>
        <v/>
      </c>
      <c r="K448" s="35">
        <f>IF(H448="","",IF(ISNUMBER(H448),H448-TODAY(),"Check date"))</f>
        <v/>
      </c>
      <c r="L448" s="32">
        <f>IF(K448="","",IF(ISNUMBER(K448),IF(K448&lt;0,"Overdue",IF(K448&lt;=30,"Due ≤30 days",IF(K448&lt;=90,"Due ≤90 days","OK"))),"Check date"))</f>
        <v/>
      </c>
      <c r="M448" s="27" t="n"/>
      <c r="N448" s="27" t="n"/>
      <c r="O448" s="27" t="n"/>
      <c r="P448" s="27" t="n"/>
      <c r="Q448" s="27" t="n"/>
      <c r="R448" s="27" t="n"/>
    </row>
    <row r="449">
      <c r="A449" s="27" t="n"/>
      <c r="B449" s="27" t="n"/>
      <c r="C449" s="27" t="n"/>
      <c r="D449" s="34" t="n"/>
      <c r="E449" s="27" t="n"/>
      <c r="F449" s="27" t="n"/>
      <c r="G449" s="28" t="n"/>
      <c r="H449" s="26">
        <f>IF(AND(ISNUMBER(G449),ISNUMBER(D449)),IF(E449="Weeks",G449+7*D449,EDATE(G449,IF(E449="Years",12,1)*D449)),"")</f>
        <v/>
      </c>
      <c r="I449" s="34" t="n"/>
      <c r="J449" s="26">
        <f>IF(ISNUMBER(H449),H449-IF(ISNUMBER(I449),I449,30),"")</f>
        <v/>
      </c>
      <c r="K449" s="35">
        <f>IF(H449="","",IF(ISNUMBER(H449),H449-TODAY(),"Check date"))</f>
        <v/>
      </c>
      <c r="L449" s="32">
        <f>IF(K449="","",IF(ISNUMBER(K449),IF(K449&lt;0,"Overdue",IF(K449&lt;=30,"Due ≤30 days",IF(K449&lt;=90,"Due ≤90 days","OK"))),"Check date"))</f>
        <v/>
      </c>
      <c r="M449" s="27" t="n"/>
      <c r="N449" s="27" t="n"/>
      <c r="O449" s="27" t="n"/>
      <c r="P449" s="27" t="n"/>
      <c r="Q449" s="27" t="n"/>
      <c r="R449" s="27" t="n"/>
    </row>
    <row r="450">
      <c r="A450" s="27" t="n"/>
      <c r="B450" s="27" t="n"/>
      <c r="C450" s="27" t="n"/>
      <c r="D450" s="34" t="n"/>
      <c r="E450" s="27" t="n"/>
      <c r="F450" s="27" t="n"/>
      <c r="G450" s="28" t="n"/>
      <c r="H450" s="26">
        <f>IF(AND(ISNUMBER(G450),ISNUMBER(D450)),IF(E450="Weeks",G450+7*D450,EDATE(G450,IF(E450="Years",12,1)*D450)),"")</f>
        <v/>
      </c>
      <c r="I450" s="34" t="n"/>
      <c r="J450" s="26">
        <f>IF(ISNUMBER(H450),H450-IF(ISNUMBER(I450),I450,30),"")</f>
        <v/>
      </c>
      <c r="K450" s="35">
        <f>IF(H450="","",IF(ISNUMBER(H450),H450-TODAY(),"Check date"))</f>
        <v/>
      </c>
      <c r="L450" s="32">
        <f>IF(K450="","",IF(ISNUMBER(K450),IF(K450&lt;0,"Overdue",IF(K450&lt;=30,"Due ≤30 days",IF(K450&lt;=90,"Due ≤90 days","OK"))),"Check date"))</f>
        <v/>
      </c>
      <c r="M450" s="27" t="n"/>
      <c r="N450" s="27" t="n"/>
      <c r="O450" s="27" t="n"/>
      <c r="P450" s="27" t="n"/>
      <c r="Q450" s="27" t="n"/>
      <c r="R450" s="27" t="n"/>
    </row>
    <row r="451">
      <c r="A451" s="27" t="n"/>
      <c r="B451" s="27" t="n"/>
      <c r="C451" s="27" t="n"/>
      <c r="D451" s="34" t="n"/>
      <c r="E451" s="27" t="n"/>
      <c r="F451" s="27" t="n"/>
      <c r="G451" s="28" t="n"/>
      <c r="H451" s="26">
        <f>IF(AND(ISNUMBER(G451),ISNUMBER(D451)),IF(E451="Weeks",G451+7*D451,EDATE(G451,IF(E451="Years",12,1)*D451)),"")</f>
        <v/>
      </c>
      <c r="I451" s="34" t="n"/>
      <c r="J451" s="26">
        <f>IF(ISNUMBER(H451),H451-IF(ISNUMBER(I451),I451,30),"")</f>
        <v/>
      </c>
      <c r="K451" s="35">
        <f>IF(H451="","",IF(ISNUMBER(H451),H451-TODAY(),"Check date"))</f>
        <v/>
      </c>
      <c r="L451" s="32">
        <f>IF(K451="","",IF(ISNUMBER(K451),IF(K451&lt;0,"Overdue",IF(K451&lt;=30,"Due ≤30 days",IF(K451&lt;=90,"Due ≤90 days","OK"))),"Check date"))</f>
        <v/>
      </c>
      <c r="M451" s="27" t="n"/>
      <c r="N451" s="27" t="n"/>
      <c r="O451" s="27" t="n"/>
      <c r="P451" s="27" t="n"/>
      <c r="Q451" s="27" t="n"/>
      <c r="R451" s="27" t="n"/>
    </row>
    <row r="452">
      <c r="A452" s="27" t="n"/>
      <c r="B452" s="27" t="n"/>
      <c r="C452" s="27" t="n"/>
      <c r="D452" s="34" t="n"/>
      <c r="E452" s="27" t="n"/>
      <c r="F452" s="27" t="n"/>
      <c r="G452" s="28" t="n"/>
      <c r="H452" s="26">
        <f>IF(AND(ISNUMBER(G452),ISNUMBER(D452)),IF(E452="Weeks",G452+7*D452,EDATE(G452,IF(E452="Years",12,1)*D452)),"")</f>
        <v/>
      </c>
      <c r="I452" s="34" t="n"/>
      <c r="J452" s="26">
        <f>IF(ISNUMBER(H452),H452-IF(ISNUMBER(I452),I452,30),"")</f>
        <v/>
      </c>
      <c r="K452" s="35">
        <f>IF(H452="","",IF(ISNUMBER(H452),H452-TODAY(),"Check date"))</f>
        <v/>
      </c>
      <c r="L452" s="32">
        <f>IF(K452="","",IF(ISNUMBER(K452),IF(K452&lt;0,"Overdue",IF(K452&lt;=30,"Due ≤30 days",IF(K452&lt;=90,"Due ≤90 days","OK"))),"Check date"))</f>
        <v/>
      </c>
      <c r="M452" s="27" t="n"/>
      <c r="N452" s="27" t="n"/>
      <c r="O452" s="27" t="n"/>
      <c r="P452" s="27" t="n"/>
      <c r="Q452" s="27" t="n"/>
      <c r="R452" s="27" t="n"/>
    </row>
    <row r="453">
      <c r="A453" s="27" t="n"/>
      <c r="B453" s="27" t="n"/>
      <c r="C453" s="27" t="n"/>
      <c r="D453" s="34" t="n"/>
      <c r="E453" s="27" t="n"/>
      <c r="F453" s="27" t="n"/>
      <c r="G453" s="28" t="n"/>
      <c r="H453" s="26">
        <f>IF(AND(ISNUMBER(G453),ISNUMBER(D453)),IF(E453="Weeks",G453+7*D453,EDATE(G453,IF(E453="Years",12,1)*D453)),"")</f>
        <v/>
      </c>
      <c r="I453" s="34" t="n"/>
      <c r="J453" s="26">
        <f>IF(ISNUMBER(H453),H453-IF(ISNUMBER(I453),I453,30),"")</f>
        <v/>
      </c>
      <c r="K453" s="35">
        <f>IF(H453="","",IF(ISNUMBER(H453),H453-TODAY(),"Check date"))</f>
        <v/>
      </c>
      <c r="L453" s="32">
        <f>IF(K453="","",IF(ISNUMBER(K453),IF(K453&lt;0,"Overdue",IF(K453&lt;=30,"Due ≤30 days",IF(K453&lt;=90,"Due ≤90 days","OK"))),"Check date"))</f>
        <v/>
      </c>
      <c r="M453" s="27" t="n"/>
      <c r="N453" s="27" t="n"/>
      <c r="O453" s="27" t="n"/>
      <c r="P453" s="27" t="n"/>
      <c r="Q453" s="27" t="n"/>
      <c r="R453" s="27" t="n"/>
    </row>
    <row r="454">
      <c r="A454" s="27" t="n"/>
      <c r="B454" s="27" t="n"/>
      <c r="C454" s="27" t="n"/>
      <c r="D454" s="34" t="n"/>
      <c r="E454" s="27" t="n"/>
      <c r="F454" s="27" t="n"/>
      <c r="G454" s="28" t="n"/>
      <c r="H454" s="26">
        <f>IF(AND(ISNUMBER(G454),ISNUMBER(D454)),IF(E454="Weeks",G454+7*D454,EDATE(G454,IF(E454="Years",12,1)*D454)),"")</f>
        <v/>
      </c>
      <c r="I454" s="34" t="n"/>
      <c r="J454" s="26">
        <f>IF(ISNUMBER(H454),H454-IF(ISNUMBER(I454),I454,30),"")</f>
        <v/>
      </c>
      <c r="K454" s="35">
        <f>IF(H454="","",IF(ISNUMBER(H454),H454-TODAY(),"Check date"))</f>
        <v/>
      </c>
      <c r="L454" s="32">
        <f>IF(K454="","",IF(ISNUMBER(K454),IF(K454&lt;0,"Overdue",IF(K454&lt;=30,"Due ≤30 days",IF(K454&lt;=90,"Due ≤90 days","OK"))),"Check date"))</f>
        <v/>
      </c>
      <c r="M454" s="27" t="n"/>
      <c r="N454" s="27" t="n"/>
      <c r="O454" s="27" t="n"/>
      <c r="P454" s="27" t="n"/>
      <c r="Q454" s="27" t="n"/>
      <c r="R454" s="27" t="n"/>
    </row>
    <row r="455">
      <c r="A455" s="27" t="n"/>
      <c r="B455" s="27" t="n"/>
      <c r="C455" s="27" t="n"/>
      <c r="D455" s="34" t="n"/>
      <c r="E455" s="27" t="n"/>
      <c r="F455" s="27" t="n"/>
      <c r="G455" s="28" t="n"/>
      <c r="H455" s="26">
        <f>IF(AND(ISNUMBER(G455),ISNUMBER(D455)),IF(E455="Weeks",G455+7*D455,EDATE(G455,IF(E455="Years",12,1)*D455)),"")</f>
        <v/>
      </c>
      <c r="I455" s="34" t="n"/>
      <c r="J455" s="26">
        <f>IF(ISNUMBER(H455),H455-IF(ISNUMBER(I455),I455,30),"")</f>
        <v/>
      </c>
      <c r="K455" s="35">
        <f>IF(H455="","",IF(ISNUMBER(H455),H455-TODAY(),"Check date"))</f>
        <v/>
      </c>
      <c r="L455" s="32">
        <f>IF(K455="","",IF(ISNUMBER(K455),IF(K455&lt;0,"Overdue",IF(K455&lt;=30,"Due ≤30 days",IF(K455&lt;=90,"Due ≤90 days","OK"))),"Check date"))</f>
        <v/>
      </c>
      <c r="M455" s="27" t="n"/>
      <c r="N455" s="27" t="n"/>
      <c r="O455" s="27" t="n"/>
      <c r="P455" s="27" t="n"/>
      <c r="Q455" s="27" t="n"/>
      <c r="R455" s="27" t="n"/>
    </row>
    <row r="456">
      <c r="A456" s="27" t="n"/>
      <c r="B456" s="27" t="n"/>
      <c r="C456" s="27" t="n"/>
      <c r="D456" s="34" t="n"/>
      <c r="E456" s="27" t="n"/>
      <c r="F456" s="27" t="n"/>
      <c r="G456" s="28" t="n"/>
      <c r="H456" s="26">
        <f>IF(AND(ISNUMBER(G456),ISNUMBER(D456)),IF(E456="Weeks",G456+7*D456,EDATE(G456,IF(E456="Years",12,1)*D456)),"")</f>
        <v/>
      </c>
      <c r="I456" s="34" t="n"/>
      <c r="J456" s="26">
        <f>IF(ISNUMBER(H456),H456-IF(ISNUMBER(I456),I456,30),"")</f>
        <v/>
      </c>
      <c r="K456" s="35">
        <f>IF(H456="","",IF(ISNUMBER(H456),H456-TODAY(),"Check date"))</f>
        <v/>
      </c>
      <c r="L456" s="32">
        <f>IF(K456="","",IF(ISNUMBER(K456),IF(K456&lt;0,"Overdue",IF(K456&lt;=30,"Due ≤30 days",IF(K456&lt;=90,"Due ≤90 days","OK"))),"Check date"))</f>
        <v/>
      </c>
      <c r="M456" s="27" t="n"/>
      <c r="N456" s="27" t="n"/>
      <c r="O456" s="27" t="n"/>
      <c r="P456" s="27" t="n"/>
      <c r="Q456" s="27" t="n"/>
      <c r="R456" s="27" t="n"/>
    </row>
    <row r="457">
      <c r="A457" s="27" t="n"/>
      <c r="B457" s="27" t="n"/>
      <c r="C457" s="27" t="n"/>
      <c r="D457" s="34" t="n"/>
      <c r="E457" s="27" t="n"/>
      <c r="F457" s="27" t="n"/>
      <c r="G457" s="28" t="n"/>
      <c r="H457" s="26">
        <f>IF(AND(ISNUMBER(G457),ISNUMBER(D457)),IF(E457="Weeks",G457+7*D457,EDATE(G457,IF(E457="Years",12,1)*D457)),"")</f>
        <v/>
      </c>
      <c r="I457" s="34" t="n"/>
      <c r="J457" s="26">
        <f>IF(ISNUMBER(H457),H457-IF(ISNUMBER(I457),I457,30),"")</f>
        <v/>
      </c>
      <c r="K457" s="35">
        <f>IF(H457="","",IF(ISNUMBER(H457),H457-TODAY(),"Check date"))</f>
        <v/>
      </c>
      <c r="L457" s="32">
        <f>IF(K457="","",IF(ISNUMBER(K457),IF(K457&lt;0,"Overdue",IF(K457&lt;=30,"Due ≤30 days",IF(K457&lt;=90,"Due ≤90 days","OK"))),"Check date"))</f>
        <v/>
      </c>
      <c r="M457" s="27" t="n"/>
      <c r="N457" s="27" t="n"/>
      <c r="O457" s="27" t="n"/>
      <c r="P457" s="27" t="n"/>
      <c r="Q457" s="27" t="n"/>
      <c r="R457" s="27" t="n"/>
    </row>
    <row r="458">
      <c r="A458" s="27" t="n"/>
      <c r="B458" s="27" t="n"/>
      <c r="C458" s="27" t="n"/>
      <c r="D458" s="34" t="n"/>
      <c r="E458" s="27" t="n"/>
      <c r="F458" s="27" t="n"/>
      <c r="G458" s="28" t="n"/>
      <c r="H458" s="26">
        <f>IF(AND(ISNUMBER(G458),ISNUMBER(D458)),IF(E458="Weeks",G458+7*D458,EDATE(G458,IF(E458="Years",12,1)*D458)),"")</f>
        <v/>
      </c>
      <c r="I458" s="34" t="n"/>
      <c r="J458" s="26">
        <f>IF(ISNUMBER(H458),H458-IF(ISNUMBER(I458),I458,30),"")</f>
        <v/>
      </c>
      <c r="K458" s="35">
        <f>IF(H458="","",IF(ISNUMBER(H458),H458-TODAY(),"Check date"))</f>
        <v/>
      </c>
      <c r="L458" s="32">
        <f>IF(K458="","",IF(ISNUMBER(K458),IF(K458&lt;0,"Overdue",IF(K458&lt;=30,"Due ≤30 days",IF(K458&lt;=90,"Due ≤90 days","OK"))),"Check date"))</f>
        <v/>
      </c>
      <c r="M458" s="27" t="n"/>
      <c r="N458" s="27" t="n"/>
      <c r="O458" s="27" t="n"/>
      <c r="P458" s="27" t="n"/>
      <c r="Q458" s="27" t="n"/>
      <c r="R458" s="27" t="n"/>
    </row>
    <row r="459">
      <c r="A459" s="27" t="n"/>
      <c r="B459" s="27" t="n"/>
      <c r="C459" s="27" t="n"/>
      <c r="D459" s="34" t="n"/>
      <c r="E459" s="27" t="n"/>
      <c r="F459" s="27" t="n"/>
      <c r="G459" s="28" t="n"/>
      <c r="H459" s="26">
        <f>IF(AND(ISNUMBER(G459),ISNUMBER(D459)),IF(E459="Weeks",G459+7*D459,EDATE(G459,IF(E459="Years",12,1)*D459)),"")</f>
        <v/>
      </c>
      <c r="I459" s="34" t="n"/>
      <c r="J459" s="26">
        <f>IF(ISNUMBER(H459),H459-IF(ISNUMBER(I459),I459,30),"")</f>
        <v/>
      </c>
      <c r="K459" s="35">
        <f>IF(H459="","",IF(ISNUMBER(H459),H459-TODAY(),"Check date"))</f>
        <v/>
      </c>
      <c r="L459" s="32">
        <f>IF(K459="","",IF(ISNUMBER(K459),IF(K459&lt;0,"Overdue",IF(K459&lt;=30,"Due ≤30 days",IF(K459&lt;=90,"Due ≤90 days","OK"))),"Check date"))</f>
        <v/>
      </c>
      <c r="M459" s="27" t="n"/>
      <c r="N459" s="27" t="n"/>
      <c r="O459" s="27" t="n"/>
      <c r="P459" s="27" t="n"/>
      <c r="Q459" s="27" t="n"/>
      <c r="R459" s="27" t="n"/>
    </row>
    <row r="460">
      <c r="A460" s="27" t="n"/>
      <c r="B460" s="27" t="n"/>
      <c r="C460" s="27" t="n"/>
      <c r="D460" s="34" t="n"/>
      <c r="E460" s="27" t="n"/>
      <c r="F460" s="27" t="n"/>
      <c r="G460" s="28" t="n"/>
      <c r="H460" s="26">
        <f>IF(AND(ISNUMBER(G460),ISNUMBER(D460)),IF(E460="Weeks",G460+7*D460,EDATE(G460,IF(E460="Years",12,1)*D460)),"")</f>
        <v/>
      </c>
      <c r="I460" s="34" t="n"/>
      <c r="J460" s="26">
        <f>IF(ISNUMBER(H460),H460-IF(ISNUMBER(I460),I460,30),"")</f>
        <v/>
      </c>
      <c r="K460" s="35">
        <f>IF(H460="","",IF(ISNUMBER(H460),H460-TODAY(),"Check date"))</f>
        <v/>
      </c>
      <c r="L460" s="32">
        <f>IF(K460="","",IF(ISNUMBER(K460),IF(K460&lt;0,"Overdue",IF(K460&lt;=30,"Due ≤30 days",IF(K460&lt;=90,"Due ≤90 days","OK"))),"Check date"))</f>
        <v/>
      </c>
      <c r="M460" s="27" t="n"/>
      <c r="N460" s="27" t="n"/>
      <c r="O460" s="27" t="n"/>
      <c r="P460" s="27" t="n"/>
      <c r="Q460" s="27" t="n"/>
      <c r="R460" s="27" t="n"/>
    </row>
    <row r="461">
      <c r="A461" s="27" t="n"/>
      <c r="B461" s="27" t="n"/>
      <c r="C461" s="27" t="n"/>
      <c r="D461" s="34" t="n"/>
      <c r="E461" s="27" t="n"/>
      <c r="F461" s="27" t="n"/>
      <c r="G461" s="28" t="n"/>
      <c r="H461" s="26">
        <f>IF(AND(ISNUMBER(G461),ISNUMBER(D461)),IF(E461="Weeks",G461+7*D461,EDATE(G461,IF(E461="Years",12,1)*D461)),"")</f>
        <v/>
      </c>
      <c r="I461" s="34" t="n"/>
      <c r="J461" s="26">
        <f>IF(ISNUMBER(H461),H461-IF(ISNUMBER(I461),I461,30),"")</f>
        <v/>
      </c>
      <c r="K461" s="35">
        <f>IF(H461="","",IF(ISNUMBER(H461),H461-TODAY(),"Check date"))</f>
        <v/>
      </c>
      <c r="L461" s="32">
        <f>IF(K461="","",IF(ISNUMBER(K461),IF(K461&lt;0,"Overdue",IF(K461&lt;=30,"Due ≤30 days",IF(K461&lt;=90,"Due ≤90 days","OK"))),"Check date"))</f>
        <v/>
      </c>
      <c r="M461" s="27" t="n"/>
      <c r="N461" s="27" t="n"/>
      <c r="O461" s="27" t="n"/>
      <c r="P461" s="27" t="n"/>
      <c r="Q461" s="27" t="n"/>
      <c r="R461" s="27" t="n"/>
    </row>
    <row r="462">
      <c r="A462" s="27" t="n"/>
      <c r="B462" s="27" t="n"/>
      <c r="C462" s="27" t="n"/>
      <c r="D462" s="34" t="n"/>
      <c r="E462" s="27" t="n"/>
      <c r="F462" s="27" t="n"/>
      <c r="G462" s="28" t="n"/>
      <c r="H462" s="26">
        <f>IF(AND(ISNUMBER(G462),ISNUMBER(D462)),IF(E462="Weeks",G462+7*D462,EDATE(G462,IF(E462="Years",12,1)*D462)),"")</f>
        <v/>
      </c>
      <c r="I462" s="34" t="n"/>
      <c r="J462" s="26">
        <f>IF(ISNUMBER(H462),H462-IF(ISNUMBER(I462),I462,30),"")</f>
        <v/>
      </c>
      <c r="K462" s="35">
        <f>IF(H462="","",IF(ISNUMBER(H462),H462-TODAY(),"Check date"))</f>
        <v/>
      </c>
      <c r="L462" s="32">
        <f>IF(K462="","",IF(ISNUMBER(K462),IF(K462&lt;0,"Overdue",IF(K462&lt;=30,"Due ≤30 days",IF(K462&lt;=90,"Due ≤90 days","OK"))),"Check date"))</f>
        <v/>
      </c>
      <c r="M462" s="27" t="n"/>
      <c r="N462" s="27" t="n"/>
      <c r="O462" s="27" t="n"/>
      <c r="P462" s="27" t="n"/>
      <c r="Q462" s="27" t="n"/>
      <c r="R462" s="27" t="n"/>
    </row>
    <row r="463">
      <c r="A463" s="27" t="n"/>
      <c r="B463" s="27" t="n"/>
      <c r="C463" s="27" t="n"/>
      <c r="D463" s="34" t="n"/>
      <c r="E463" s="27" t="n"/>
      <c r="F463" s="27" t="n"/>
      <c r="G463" s="28" t="n"/>
      <c r="H463" s="26">
        <f>IF(AND(ISNUMBER(G463),ISNUMBER(D463)),IF(E463="Weeks",G463+7*D463,EDATE(G463,IF(E463="Years",12,1)*D463)),"")</f>
        <v/>
      </c>
      <c r="I463" s="34" t="n"/>
      <c r="J463" s="26">
        <f>IF(ISNUMBER(H463),H463-IF(ISNUMBER(I463),I463,30),"")</f>
        <v/>
      </c>
      <c r="K463" s="35">
        <f>IF(H463="","",IF(ISNUMBER(H463),H463-TODAY(),"Check date"))</f>
        <v/>
      </c>
      <c r="L463" s="32">
        <f>IF(K463="","",IF(ISNUMBER(K463),IF(K463&lt;0,"Overdue",IF(K463&lt;=30,"Due ≤30 days",IF(K463&lt;=90,"Due ≤90 days","OK"))),"Check date"))</f>
        <v/>
      </c>
      <c r="M463" s="27" t="n"/>
      <c r="N463" s="27" t="n"/>
      <c r="O463" s="27" t="n"/>
      <c r="P463" s="27" t="n"/>
      <c r="Q463" s="27" t="n"/>
      <c r="R463" s="27" t="n"/>
    </row>
    <row r="464">
      <c r="A464" s="27" t="n"/>
      <c r="B464" s="27" t="n"/>
      <c r="C464" s="27" t="n"/>
      <c r="D464" s="34" t="n"/>
      <c r="E464" s="27" t="n"/>
      <c r="F464" s="27" t="n"/>
      <c r="G464" s="28" t="n"/>
      <c r="H464" s="26">
        <f>IF(AND(ISNUMBER(G464),ISNUMBER(D464)),IF(E464="Weeks",G464+7*D464,EDATE(G464,IF(E464="Years",12,1)*D464)),"")</f>
        <v/>
      </c>
      <c r="I464" s="34" t="n"/>
      <c r="J464" s="26">
        <f>IF(ISNUMBER(H464),H464-IF(ISNUMBER(I464),I464,30),"")</f>
        <v/>
      </c>
      <c r="K464" s="35">
        <f>IF(H464="","",IF(ISNUMBER(H464),H464-TODAY(),"Check date"))</f>
        <v/>
      </c>
      <c r="L464" s="32">
        <f>IF(K464="","",IF(ISNUMBER(K464),IF(K464&lt;0,"Overdue",IF(K464&lt;=30,"Due ≤30 days",IF(K464&lt;=90,"Due ≤90 days","OK"))),"Check date"))</f>
        <v/>
      </c>
      <c r="M464" s="27" t="n"/>
      <c r="N464" s="27" t="n"/>
      <c r="O464" s="27" t="n"/>
      <c r="P464" s="27" t="n"/>
      <c r="Q464" s="27" t="n"/>
      <c r="R464" s="27" t="n"/>
    </row>
    <row r="465">
      <c r="A465" s="27" t="n"/>
      <c r="B465" s="27" t="n"/>
      <c r="C465" s="27" t="n"/>
      <c r="D465" s="34" t="n"/>
      <c r="E465" s="27" t="n"/>
      <c r="F465" s="27" t="n"/>
      <c r="G465" s="28" t="n"/>
      <c r="H465" s="26">
        <f>IF(AND(ISNUMBER(G465),ISNUMBER(D465)),IF(E465="Weeks",G465+7*D465,EDATE(G465,IF(E465="Years",12,1)*D465)),"")</f>
        <v/>
      </c>
      <c r="I465" s="34" t="n"/>
      <c r="J465" s="26">
        <f>IF(ISNUMBER(H465),H465-IF(ISNUMBER(I465),I465,30),"")</f>
        <v/>
      </c>
      <c r="K465" s="35">
        <f>IF(H465="","",IF(ISNUMBER(H465),H465-TODAY(),"Check date"))</f>
        <v/>
      </c>
      <c r="L465" s="32">
        <f>IF(K465="","",IF(ISNUMBER(K465),IF(K465&lt;0,"Overdue",IF(K465&lt;=30,"Due ≤30 days",IF(K465&lt;=90,"Due ≤90 days","OK"))),"Check date"))</f>
        <v/>
      </c>
      <c r="M465" s="27" t="n"/>
      <c r="N465" s="27" t="n"/>
      <c r="O465" s="27" t="n"/>
      <c r="P465" s="27" t="n"/>
      <c r="Q465" s="27" t="n"/>
      <c r="R465" s="27" t="n"/>
    </row>
    <row r="466">
      <c r="A466" s="27" t="n"/>
      <c r="B466" s="27" t="n"/>
      <c r="C466" s="27" t="n"/>
      <c r="D466" s="34" t="n"/>
      <c r="E466" s="27" t="n"/>
      <c r="F466" s="27" t="n"/>
      <c r="G466" s="28" t="n"/>
      <c r="H466" s="26">
        <f>IF(AND(ISNUMBER(G466),ISNUMBER(D466)),IF(E466="Weeks",G466+7*D466,EDATE(G466,IF(E466="Years",12,1)*D466)),"")</f>
        <v/>
      </c>
      <c r="I466" s="34" t="n"/>
      <c r="J466" s="26">
        <f>IF(ISNUMBER(H466),H466-IF(ISNUMBER(I466),I466,30),"")</f>
        <v/>
      </c>
      <c r="K466" s="35">
        <f>IF(H466="","",IF(ISNUMBER(H466),H466-TODAY(),"Check date"))</f>
        <v/>
      </c>
      <c r="L466" s="32">
        <f>IF(K466="","",IF(ISNUMBER(K466),IF(K466&lt;0,"Overdue",IF(K466&lt;=30,"Due ≤30 days",IF(K466&lt;=90,"Due ≤90 days","OK"))),"Check date"))</f>
        <v/>
      </c>
      <c r="M466" s="27" t="n"/>
      <c r="N466" s="27" t="n"/>
      <c r="O466" s="27" t="n"/>
      <c r="P466" s="27" t="n"/>
      <c r="Q466" s="27" t="n"/>
      <c r="R466" s="27" t="n"/>
    </row>
    <row r="467">
      <c r="A467" s="27" t="n"/>
      <c r="B467" s="27" t="n"/>
      <c r="C467" s="27" t="n"/>
      <c r="D467" s="34" t="n"/>
      <c r="E467" s="27" t="n"/>
      <c r="F467" s="27" t="n"/>
      <c r="G467" s="28" t="n"/>
      <c r="H467" s="26">
        <f>IF(AND(ISNUMBER(G467),ISNUMBER(D467)),IF(E467="Weeks",G467+7*D467,EDATE(G467,IF(E467="Years",12,1)*D467)),"")</f>
        <v/>
      </c>
      <c r="I467" s="34" t="n"/>
      <c r="J467" s="26">
        <f>IF(ISNUMBER(H467),H467-IF(ISNUMBER(I467),I467,30),"")</f>
        <v/>
      </c>
      <c r="K467" s="35">
        <f>IF(H467="","",IF(ISNUMBER(H467),H467-TODAY(),"Check date"))</f>
        <v/>
      </c>
      <c r="L467" s="32">
        <f>IF(K467="","",IF(ISNUMBER(K467),IF(K467&lt;0,"Overdue",IF(K467&lt;=30,"Due ≤30 days",IF(K467&lt;=90,"Due ≤90 days","OK"))),"Check date"))</f>
        <v/>
      </c>
      <c r="M467" s="27" t="n"/>
      <c r="N467" s="27" t="n"/>
      <c r="O467" s="27" t="n"/>
      <c r="P467" s="27" t="n"/>
      <c r="Q467" s="27" t="n"/>
      <c r="R467" s="27" t="n"/>
    </row>
    <row r="468">
      <c r="A468" s="27" t="n"/>
      <c r="B468" s="27" t="n"/>
      <c r="C468" s="27" t="n"/>
      <c r="D468" s="34" t="n"/>
      <c r="E468" s="27" t="n"/>
      <c r="F468" s="27" t="n"/>
      <c r="G468" s="28" t="n"/>
      <c r="H468" s="26">
        <f>IF(AND(ISNUMBER(G468),ISNUMBER(D468)),IF(E468="Weeks",G468+7*D468,EDATE(G468,IF(E468="Years",12,1)*D468)),"")</f>
        <v/>
      </c>
      <c r="I468" s="34" t="n"/>
      <c r="J468" s="26">
        <f>IF(ISNUMBER(H468),H468-IF(ISNUMBER(I468),I468,30),"")</f>
        <v/>
      </c>
      <c r="K468" s="35">
        <f>IF(H468="","",IF(ISNUMBER(H468),H468-TODAY(),"Check date"))</f>
        <v/>
      </c>
      <c r="L468" s="32">
        <f>IF(K468="","",IF(ISNUMBER(K468),IF(K468&lt;0,"Overdue",IF(K468&lt;=30,"Due ≤30 days",IF(K468&lt;=90,"Due ≤90 days","OK"))),"Check date"))</f>
        <v/>
      </c>
      <c r="M468" s="27" t="n"/>
      <c r="N468" s="27" t="n"/>
      <c r="O468" s="27" t="n"/>
      <c r="P468" s="27" t="n"/>
      <c r="Q468" s="27" t="n"/>
      <c r="R468" s="27" t="n"/>
    </row>
    <row r="469">
      <c r="A469" s="27" t="n"/>
      <c r="B469" s="27" t="n"/>
      <c r="C469" s="27" t="n"/>
      <c r="D469" s="34" t="n"/>
      <c r="E469" s="27" t="n"/>
      <c r="F469" s="27" t="n"/>
      <c r="G469" s="28" t="n"/>
      <c r="H469" s="26">
        <f>IF(AND(ISNUMBER(G469),ISNUMBER(D469)),IF(E469="Weeks",G469+7*D469,EDATE(G469,IF(E469="Years",12,1)*D469)),"")</f>
        <v/>
      </c>
      <c r="I469" s="34" t="n"/>
      <c r="J469" s="26">
        <f>IF(ISNUMBER(H469),H469-IF(ISNUMBER(I469),I469,30),"")</f>
        <v/>
      </c>
      <c r="K469" s="35">
        <f>IF(H469="","",IF(ISNUMBER(H469),H469-TODAY(),"Check date"))</f>
        <v/>
      </c>
      <c r="L469" s="32">
        <f>IF(K469="","",IF(ISNUMBER(K469),IF(K469&lt;0,"Overdue",IF(K469&lt;=30,"Due ≤30 days",IF(K469&lt;=90,"Due ≤90 days","OK"))),"Check date"))</f>
        <v/>
      </c>
      <c r="M469" s="27" t="n"/>
      <c r="N469" s="27" t="n"/>
      <c r="O469" s="27" t="n"/>
      <c r="P469" s="27" t="n"/>
      <c r="Q469" s="27" t="n"/>
      <c r="R469" s="27" t="n"/>
    </row>
    <row r="470">
      <c r="A470" s="27" t="n"/>
      <c r="B470" s="27" t="n"/>
      <c r="C470" s="27" t="n"/>
      <c r="D470" s="34" t="n"/>
      <c r="E470" s="27" t="n"/>
      <c r="F470" s="27" t="n"/>
      <c r="G470" s="28" t="n"/>
      <c r="H470" s="26">
        <f>IF(AND(ISNUMBER(G470),ISNUMBER(D470)),IF(E470="Weeks",G470+7*D470,EDATE(G470,IF(E470="Years",12,1)*D470)),"")</f>
        <v/>
      </c>
      <c r="I470" s="34" t="n"/>
      <c r="J470" s="26">
        <f>IF(ISNUMBER(H470),H470-IF(ISNUMBER(I470),I470,30),"")</f>
        <v/>
      </c>
      <c r="K470" s="35">
        <f>IF(H470="","",IF(ISNUMBER(H470),H470-TODAY(),"Check date"))</f>
        <v/>
      </c>
      <c r="L470" s="32">
        <f>IF(K470="","",IF(ISNUMBER(K470),IF(K470&lt;0,"Overdue",IF(K470&lt;=30,"Due ≤30 days",IF(K470&lt;=90,"Due ≤90 days","OK"))),"Check date"))</f>
        <v/>
      </c>
      <c r="M470" s="27" t="n"/>
      <c r="N470" s="27" t="n"/>
      <c r="O470" s="27" t="n"/>
      <c r="P470" s="27" t="n"/>
      <c r="Q470" s="27" t="n"/>
      <c r="R470" s="27" t="n"/>
    </row>
    <row r="471">
      <c r="A471" s="27" t="n"/>
      <c r="B471" s="27" t="n"/>
      <c r="C471" s="27" t="n"/>
      <c r="D471" s="34" t="n"/>
      <c r="E471" s="27" t="n"/>
      <c r="F471" s="27" t="n"/>
      <c r="G471" s="28" t="n"/>
      <c r="H471" s="26">
        <f>IF(AND(ISNUMBER(G471),ISNUMBER(D471)),IF(E471="Weeks",G471+7*D471,EDATE(G471,IF(E471="Years",12,1)*D471)),"")</f>
        <v/>
      </c>
      <c r="I471" s="34" t="n"/>
      <c r="J471" s="26">
        <f>IF(ISNUMBER(H471),H471-IF(ISNUMBER(I471),I471,30),"")</f>
        <v/>
      </c>
      <c r="K471" s="35">
        <f>IF(H471="","",IF(ISNUMBER(H471),H471-TODAY(),"Check date"))</f>
        <v/>
      </c>
      <c r="L471" s="32">
        <f>IF(K471="","",IF(ISNUMBER(K471),IF(K471&lt;0,"Overdue",IF(K471&lt;=30,"Due ≤30 days",IF(K471&lt;=90,"Due ≤90 days","OK"))),"Check date"))</f>
        <v/>
      </c>
      <c r="M471" s="27" t="n"/>
      <c r="N471" s="27" t="n"/>
      <c r="O471" s="27" t="n"/>
      <c r="P471" s="27" t="n"/>
      <c r="Q471" s="27" t="n"/>
      <c r="R471" s="27" t="n"/>
    </row>
    <row r="472">
      <c r="A472" s="27" t="n"/>
      <c r="B472" s="27" t="n"/>
      <c r="C472" s="27" t="n"/>
      <c r="D472" s="34" t="n"/>
      <c r="E472" s="27" t="n"/>
      <c r="F472" s="27" t="n"/>
      <c r="G472" s="28" t="n"/>
      <c r="H472" s="26">
        <f>IF(AND(ISNUMBER(G472),ISNUMBER(D472)),IF(E472="Weeks",G472+7*D472,EDATE(G472,IF(E472="Years",12,1)*D472)),"")</f>
        <v/>
      </c>
      <c r="I472" s="34" t="n"/>
      <c r="J472" s="26">
        <f>IF(ISNUMBER(H472),H472-IF(ISNUMBER(I472),I472,30),"")</f>
        <v/>
      </c>
      <c r="K472" s="35">
        <f>IF(H472="","",IF(ISNUMBER(H472),H472-TODAY(),"Check date"))</f>
        <v/>
      </c>
      <c r="L472" s="32">
        <f>IF(K472="","",IF(ISNUMBER(K472),IF(K472&lt;0,"Overdue",IF(K472&lt;=30,"Due ≤30 days",IF(K472&lt;=90,"Due ≤90 days","OK"))),"Check date"))</f>
        <v/>
      </c>
      <c r="M472" s="27" t="n"/>
      <c r="N472" s="27" t="n"/>
      <c r="O472" s="27" t="n"/>
      <c r="P472" s="27" t="n"/>
      <c r="Q472" s="27" t="n"/>
      <c r="R472" s="27" t="n"/>
    </row>
    <row r="473">
      <c r="A473" s="27" t="n"/>
      <c r="B473" s="27" t="n"/>
      <c r="C473" s="27" t="n"/>
      <c r="D473" s="34" t="n"/>
      <c r="E473" s="27" t="n"/>
      <c r="F473" s="27" t="n"/>
      <c r="G473" s="28" t="n"/>
      <c r="H473" s="26">
        <f>IF(AND(ISNUMBER(G473),ISNUMBER(D473)),IF(E473="Weeks",G473+7*D473,EDATE(G473,IF(E473="Years",12,1)*D473)),"")</f>
        <v/>
      </c>
      <c r="I473" s="34" t="n"/>
      <c r="J473" s="26">
        <f>IF(ISNUMBER(H473),H473-IF(ISNUMBER(I473),I473,30),"")</f>
        <v/>
      </c>
      <c r="K473" s="35">
        <f>IF(H473="","",IF(ISNUMBER(H473),H473-TODAY(),"Check date"))</f>
        <v/>
      </c>
      <c r="L473" s="32">
        <f>IF(K473="","",IF(ISNUMBER(K473),IF(K473&lt;0,"Overdue",IF(K473&lt;=30,"Due ≤30 days",IF(K473&lt;=90,"Due ≤90 days","OK"))),"Check date"))</f>
        <v/>
      </c>
      <c r="M473" s="27" t="n"/>
      <c r="N473" s="27" t="n"/>
      <c r="O473" s="27" t="n"/>
      <c r="P473" s="27" t="n"/>
      <c r="Q473" s="27" t="n"/>
      <c r="R473" s="27" t="n"/>
    </row>
    <row r="474">
      <c r="A474" s="27" t="n"/>
      <c r="B474" s="27" t="n"/>
      <c r="C474" s="27" t="n"/>
      <c r="D474" s="34" t="n"/>
      <c r="E474" s="27" t="n"/>
      <c r="F474" s="27" t="n"/>
      <c r="G474" s="28" t="n"/>
      <c r="H474" s="26">
        <f>IF(AND(ISNUMBER(G474),ISNUMBER(D474)),IF(E474="Weeks",G474+7*D474,EDATE(G474,IF(E474="Years",12,1)*D474)),"")</f>
        <v/>
      </c>
      <c r="I474" s="34" t="n"/>
      <c r="J474" s="26">
        <f>IF(ISNUMBER(H474),H474-IF(ISNUMBER(I474),I474,30),"")</f>
        <v/>
      </c>
      <c r="K474" s="35">
        <f>IF(H474="","",IF(ISNUMBER(H474),H474-TODAY(),"Check date"))</f>
        <v/>
      </c>
      <c r="L474" s="32">
        <f>IF(K474="","",IF(ISNUMBER(K474),IF(K474&lt;0,"Overdue",IF(K474&lt;=30,"Due ≤30 days",IF(K474&lt;=90,"Due ≤90 days","OK"))),"Check date"))</f>
        <v/>
      </c>
      <c r="M474" s="27" t="n"/>
      <c r="N474" s="27" t="n"/>
      <c r="O474" s="27" t="n"/>
      <c r="P474" s="27" t="n"/>
      <c r="Q474" s="27" t="n"/>
      <c r="R474" s="27" t="n"/>
    </row>
    <row r="475">
      <c r="A475" s="27" t="n"/>
      <c r="B475" s="27" t="n"/>
      <c r="C475" s="27" t="n"/>
      <c r="D475" s="34" t="n"/>
      <c r="E475" s="27" t="n"/>
      <c r="F475" s="27" t="n"/>
      <c r="G475" s="28" t="n"/>
      <c r="H475" s="26">
        <f>IF(AND(ISNUMBER(G475),ISNUMBER(D475)),IF(E475="Weeks",G475+7*D475,EDATE(G475,IF(E475="Years",12,1)*D475)),"")</f>
        <v/>
      </c>
      <c r="I475" s="34" t="n"/>
      <c r="J475" s="26">
        <f>IF(ISNUMBER(H475),H475-IF(ISNUMBER(I475),I475,30),"")</f>
        <v/>
      </c>
      <c r="K475" s="35">
        <f>IF(H475="","",IF(ISNUMBER(H475),H475-TODAY(),"Check date"))</f>
        <v/>
      </c>
      <c r="L475" s="32">
        <f>IF(K475="","",IF(ISNUMBER(K475),IF(K475&lt;0,"Overdue",IF(K475&lt;=30,"Due ≤30 days",IF(K475&lt;=90,"Due ≤90 days","OK"))),"Check date"))</f>
        <v/>
      </c>
      <c r="M475" s="27" t="n"/>
      <c r="N475" s="27" t="n"/>
      <c r="O475" s="27" t="n"/>
      <c r="P475" s="27" t="n"/>
      <c r="Q475" s="27" t="n"/>
      <c r="R475" s="27" t="n"/>
    </row>
    <row r="476">
      <c r="A476" s="27" t="n"/>
      <c r="B476" s="27" t="n"/>
      <c r="C476" s="27" t="n"/>
      <c r="D476" s="34" t="n"/>
      <c r="E476" s="27" t="n"/>
      <c r="F476" s="27" t="n"/>
      <c r="G476" s="28" t="n"/>
      <c r="H476" s="26">
        <f>IF(AND(ISNUMBER(G476),ISNUMBER(D476)),IF(E476="Weeks",G476+7*D476,EDATE(G476,IF(E476="Years",12,1)*D476)),"")</f>
        <v/>
      </c>
      <c r="I476" s="34" t="n"/>
      <c r="J476" s="26">
        <f>IF(ISNUMBER(H476),H476-IF(ISNUMBER(I476),I476,30),"")</f>
        <v/>
      </c>
      <c r="K476" s="35">
        <f>IF(H476="","",IF(ISNUMBER(H476),H476-TODAY(),"Check date"))</f>
        <v/>
      </c>
      <c r="L476" s="32">
        <f>IF(K476="","",IF(ISNUMBER(K476),IF(K476&lt;0,"Overdue",IF(K476&lt;=30,"Due ≤30 days",IF(K476&lt;=90,"Due ≤90 days","OK"))),"Check date"))</f>
        <v/>
      </c>
      <c r="M476" s="27" t="n"/>
      <c r="N476" s="27" t="n"/>
      <c r="O476" s="27" t="n"/>
      <c r="P476" s="27" t="n"/>
      <c r="Q476" s="27" t="n"/>
      <c r="R476" s="27" t="n"/>
    </row>
    <row r="477">
      <c r="A477" s="27" t="n"/>
      <c r="B477" s="27" t="n"/>
      <c r="C477" s="27" t="n"/>
      <c r="D477" s="34" t="n"/>
      <c r="E477" s="27" t="n"/>
      <c r="F477" s="27" t="n"/>
      <c r="G477" s="28" t="n"/>
      <c r="H477" s="26">
        <f>IF(AND(ISNUMBER(G477),ISNUMBER(D477)),IF(E477="Weeks",G477+7*D477,EDATE(G477,IF(E477="Years",12,1)*D477)),"")</f>
        <v/>
      </c>
      <c r="I477" s="34" t="n"/>
      <c r="J477" s="26">
        <f>IF(ISNUMBER(H477),H477-IF(ISNUMBER(I477),I477,30),"")</f>
        <v/>
      </c>
      <c r="K477" s="35">
        <f>IF(H477="","",IF(ISNUMBER(H477),H477-TODAY(),"Check date"))</f>
        <v/>
      </c>
      <c r="L477" s="32">
        <f>IF(K477="","",IF(ISNUMBER(K477),IF(K477&lt;0,"Overdue",IF(K477&lt;=30,"Due ≤30 days",IF(K477&lt;=90,"Due ≤90 days","OK"))),"Check date"))</f>
        <v/>
      </c>
      <c r="M477" s="27" t="n"/>
      <c r="N477" s="27" t="n"/>
      <c r="O477" s="27" t="n"/>
      <c r="P477" s="27" t="n"/>
      <c r="Q477" s="27" t="n"/>
      <c r="R477" s="27" t="n"/>
    </row>
    <row r="478">
      <c r="A478" s="27" t="n"/>
      <c r="B478" s="27" t="n"/>
      <c r="C478" s="27" t="n"/>
      <c r="D478" s="34" t="n"/>
      <c r="E478" s="27" t="n"/>
      <c r="F478" s="27" t="n"/>
      <c r="G478" s="28" t="n"/>
      <c r="H478" s="26">
        <f>IF(AND(ISNUMBER(G478),ISNUMBER(D478)),IF(E478="Weeks",G478+7*D478,EDATE(G478,IF(E478="Years",12,1)*D478)),"")</f>
        <v/>
      </c>
      <c r="I478" s="34" t="n"/>
      <c r="J478" s="26">
        <f>IF(ISNUMBER(H478),H478-IF(ISNUMBER(I478),I478,30),"")</f>
        <v/>
      </c>
      <c r="K478" s="35">
        <f>IF(H478="","",IF(ISNUMBER(H478),H478-TODAY(),"Check date"))</f>
        <v/>
      </c>
      <c r="L478" s="32">
        <f>IF(K478="","",IF(ISNUMBER(K478),IF(K478&lt;0,"Overdue",IF(K478&lt;=30,"Due ≤30 days",IF(K478&lt;=90,"Due ≤90 days","OK"))),"Check date"))</f>
        <v/>
      </c>
      <c r="M478" s="27" t="n"/>
      <c r="N478" s="27" t="n"/>
      <c r="O478" s="27" t="n"/>
      <c r="P478" s="27" t="n"/>
      <c r="Q478" s="27" t="n"/>
      <c r="R478" s="27" t="n"/>
    </row>
    <row r="479">
      <c r="A479" s="27" t="n"/>
      <c r="B479" s="27" t="n"/>
      <c r="C479" s="27" t="n"/>
      <c r="D479" s="34" t="n"/>
      <c r="E479" s="27" t="n"/>
      <c r="F479" s="27" t="n"/>
      <c r="G479" s="28" t="n"/>
      <c r="H479" s="26">
        <f>IF(AND(ISNUMBER(G479),ISNUMBER(D479)),IF(E479="Weeks",G479+7*D479,EDATE(G479,IF(E479="Years",12,1)*D479)),"")</f>
        <v/>
      </c>
      <c r="I479" s="34" t="n"/>
      <c r="J479" s="26">
        <f>IF(ISNUMBER(H479),H479-IF(ISNUMBER(I479),I479,30),"")</f>
        <v/>
      </c>
      <c r="K479" s="35">
        <f>IF(H479="","",IF(ISNUMBER(H479),H479-TODAY(),"Check date"))</f>
        <v/>
      </c>
      <c r="L479" s="32">
        <f>IF(K479="","",IF(ISNUMBER(K479),IF(K479&lt;0,"Overdue",IF(K479&lt;=30,"Due ≤30 days",IF(K479&lt;=90,"Due ≤90 days","OK"))),"Check date"))</f>
        <v/>
      </c>
      <c r="M479" s="27" t="n"/>
      <c r="N479" s="27" t="n"/>
      <c r="O479" s="27" t="n"/>
      <c r="P479" s="27" t="n"/>
      <c r="Q479" s="27" t="n"/>
      <c r="R479" s="27" t="n"/>
    </row>
    <row r="480">
      <c r="A480" s="27" t="n"/>
      <c r="B480" s="27" t="n"/>
      <c r="C480" s="27" t="n"/>
      <c r="D480" s="34" t="n"/>
      <c r="E480" s="27" t="n"/>
      <c r="F480" s="27" t="n"/>
      <c r="G480" s="28" t="n"/>
      <c r="H480" s="26">
        <f>IF(AND(ISNUMBER(G480),ISNUMBER(D480)),IF(E480="Weeks",G480+7*D480,EDATE(G480,IF(E480="Years",12,1)*D480)),"")</f>
        <v/>
      </c>
      <c r="I480" s="34" t="n"/>
      <c r="J480" s="26">
        <f>IF(ISNUMBER(H480),H480-IF(ISNUMBER(I480),I480,30),"")</f>
        <v/>
      </c>
      <c r="K480" s="35">
        <f>IF(H480="","",IF(ISNUMBER(H480),H480-TODAY(),"Check date"))</f>
        <v/>
      </c>
      <c r="L480" s="32">
        <f>IF(K480="","",IF(ISNUMBER(K480),IF(K480&lt;0,"Overdue",IF(K480&lt;=30,"Due ≤30 days",IF(K480&lt;=90,"Due ≤90 days","OK"))),"Check date"))</f>
        <v/>
      </c>
      <c r="M480" s="27" t="n"/>
      <c r="N480" s="27" t="n"/>
      <c r="O480" s="27" t="n"/>
      <c r="P480" s="27" t="n"/>
      <c r="Q480" s="27" t="n"/>
      <c r="R480" s="27" t="n"/>
    </row>
    <row r="481">
      <c r="A481" s="27" t="n"/>
      <c r="B481" s="27" t="n"/>
      <c r="C481" s="27" t="n"/>
      <c r="D481" s="34" t="n"/>
      <c r="E481" s="27" t="n"/>
      <c r="F481" s="27" t="n"/>
      <c r="G481" s="28" t="n"/>
      <c r="H481" s="26">
        <f>IF(AND(ISNUMBER(G481),ISNUMBER(D481)),IF(E481="Weeks",G481+7*D481,EDATE(G481,IF(E481="Years",12,1)*D481)),"")</f>
        <v/>
      </c>
      <c r="I481" s="34" t="n"/>
      <c r="J481" s="26">
        <f>IF(ISNUMBER(H481),H481-IF(ISNUMBER(I481),I481,30),"")</f>
        <v/>
      </c>
      <c r="K481" s="35">
        <f>IF(H481="","",IF(ISNUMBER(H481),H481-TODAY(),"Check date"))</f>
        <v/>
      </c>
      <c r="L481" s="32">
        <f>IF(K481="","",IF(ISNUMBER(K481),IF(K481&lt;0,"Overdue",IF(K481&lt;=30,"Due ≤30 days",IF(K481&lt;=90,"Due ≤90 days","OK"))),"Check date"))</f>
        <v/>
      </c>
      <c r="M481" s="27" t="n"/>
      <c r="N481" s="27" t="n"/>
      <c r="O481" s="27" t="n"/>
      <c r="P481" s="27" t="n"/>
      <c r="Q481" s="27" t="n"/>
      <c r="R481" s="27" t="n"/>
    </row>
    <row r="482">
      <c r="A482" s="27" t="n"/>
      <c r="B482" s="27" t="n"/>
      <c r="C482" s="27" t="n"/>
      <c r="D482" s="34" t="n"/>
      <c r="E482" s="27" t="n"/>
      <c r="F482" s="27" t="n"/>
      <c r="G482" s="28" t="n"/>
      <c r="H482" s="26">
        <f>IF(AND(ISNUMBER(G482),ISNUMBER(D482)),IF(E482="Weeks",G482+7*D482,EDATE(G482,IF(E482="Years",12,1)*D482)),"")</f>
        <v/>
      </c>
      <c r="I482" s="34" t="n"/>
      <c r="J482" s="26">
        <f>IF(ISNUMBER(H482),H482-IF(ISNUMBER(I482),I482,30),"")</f>
        <v/>
      </c>
      <c r="K482" s="35">
        <f>IF(H482="","",IF(ISNUMBER(H482),H482-TODAY(),"Check date"))</f>
        <v/>
      </c>
      <c r="L482" s="32">
        <f>IF(K482="","",IF(ISNUMBER(K482),IF(K482&lt;0,"Overdue",IF(K482&lt;=30,"Due ≤30 days",IF(K482&lt;=90,"Due ≤90 days","OK"))),"Check date"))</f>
        <v/>
      </c>
      <c r="M482" s="27" t="n"/>
      <c r="N482" s="27" t="n"/>
      <c r="O482" s="27" t="n"/>
      <c r="P482" s="27" t="n"/>
      <c r="Q482" s="27" t="n"/>
      <c r="R482" s="27" t="n"/>
    </row>
    <row r="483">
      <c r="A483" s="27" t="n"/>
      <c r="B483" s="27" t="n"/>
      <c r="C483" s="27" t="n"/>
      <c r="D483" s="34" t="n"/>
      <c r="E483" s="27" t="n"/>
      <c r="F483" s="27" t="n"/>
      <c r="G483" s="28" t="n"/>
      <c r="H483" s="26">
        <f>IF(AND(ISNUMBER(G483),ISNUMBER(D483)),IF(E483="Weeks",G483+7*D483,EDATE(G483,IF(E483="Years",12,1)*D483)),"")</f>
        <v/>
      </c>
      <c r="I483" s="34" t="n"/>
      <c r="J483" s="26">
        <f>IF(ISNUMBER(H483),H483-IF(ISNUMBER(I483),I483,30),"")</f>
        <v/>
      </c>
      <c r="K483" s="35">
        <f>IF(H483="","",IF(ISNUMBER(H483),H483-TODAY(),"Check date"))</f>
        <v/>
      </c>
      <c r="L483" s="32">
        <f>IF(K483="","",IF(ISNUMBER(K483),IF(K483&lt;0,"Overdue",IF(K483&lt;=30,"Due ≤30 days",IF(K483&lt;=90,"Due ≤90 days","OK"))),"Check date"))</f>
        <v/>
      </c>
      <c r="M483" s="27" t="n"/>
      <c r="N483" s="27" t="n"/>
      <c r="O483" s="27" t="n"/>
      <c r="P483" s="27" t="n"/>
      <c r="Q483" s="27" t="n"/>
      <c r="R483" s="27" t="n"/>
    </row>
    <row r="484">
      <c r="A484" s="27" t="n"/>
      <c r="B484" s="27" t="n"/>
      <c r="C484" s="27" t="n"/>
      <c r="D484" s="34" t="n"/>
      <c r="E484" s="27" t="n"/>
      <c r="F484" s="27" t="n"/>
      <c r="G484" s="28" t="n"/>
      <c r="H484" s="26">
        <f>IF(AND(ISNUMBER(G484),ISNUMBER(D484)),IF(E484="Weeks",G484+7*D484,EDATE(G484,IF(E484="Years",12,1)*D484)),"")</f>
        <v/>
      </c>
      <c r="I484" s="34" t="n"/>
      <c r="J484" s="26">
        <f>IF(ISNUMBER(H484),H484-IF(ISNUMBER(I484),I484,30),"")</f>
        <v/>
      </c>
      <c r="K484" s="35">
        <f>IF(H484="","",IF(ISNUMBER(H484),H484-TODAY(),"Check date"))</f>
        <v/>
      </c>
      <c r="L484" s="32">
        <f>IF(K484="","",IF(ISNUMBER(K484),IF(K484&lt;0,"Overdue",IF(K484&lt;=30,"Due ≤30 days",IF(K484&lt;=90,"Due ≤90 days","OK"))),"Check date"))</f>
        <v/>
      </c>
      <c r="M484" s="27" t="n"/>
      <c r="N484" s="27" t="n"/>
      <c r="O484" s="27" t="n"/>
      <c r="P484" s="27" t="n"/>
      <c r="Q484" s="27" t="n"/>
      <c r="R484" s="27" t="n"/>
    </row>
    <row r="485">
      <c r="A485" s="27" t="n"/>
      <c r="B485" s="27" t="n"/>
      <c r="C485" s="27" t="n"/>
      <c r="D485" s="34" t="n"/>
      <c r="E485" s="27" t="n"/>
      <c r="F485" s="27" t="n"/>
      <c r="G485" s="28" t="n"/>
      <c r="H485" s="26">
        <f>IF(AND(ISNUMBER(G485),ISNUMBER(D485)),IF(E485="Weeks",G485+7*D485,EDATE(G485,IF(E485="Years",12,1)*D485)),"")</f>
        <v/>
      </c>
      <c r="I485" s="34" t="n"/>
      <c r="J485" s="26">
        <f>IF(ISNUMBER(H485),H485-IF(ISNUMBER(I485),I485,30),"")</f>
        <v/>
      </c>
      <c r="K485" s="35">
        <f>IF(H485="","",IF(ISNUMBER(H485),H485-TODAY(),"Check date"))</f>
        <v/>
      </c>
      <c r="L485" s="32">
        <f>IF(K485="","",IF(ISNUMBER(K485),IF(K485&lt;0,"Overdue",IF(K485&lt;=30,"Due ≤30 days",IF(K485&lt;=90,"Due ≤90 days","OK"))),"Check date"))</f>
        <v/>
      </c>
      <c r="M485" s="27" t="n"/>
      <c r="N485" s="27" t="n"/>
      <c r="O485" s="27" t="n"/>
      <c r="P485" s="27" t="n"/>
      <c r="Q485" s="27" t="n"/>
      <c r="R485" s="27" t="n"/>
    </row>
    <row r="486">
      <c r="A486" s="27" t="n"/>
      <c r="B486" s="27" t="n"/>
      <c r="C486" s="27" t="n"/>
      <c r="D486" s="34" t="n"/>
      <c r="E486" s="27" t="n"/>
      <c r="F486" s="27" t="n"/>
      <c r="G486" s="28" t="n"/>
      <c r="H486" s="26">
        <f>IF(AND(ISNUMBER(G486),ISNUMBER(D486)),IF(E486="Weeks",G486+7*D486,EDATE(G486,IF(E486="Years",12,1)*D486)),"")</f>
        <v/>
      </c>
      <c r="I486" s="34" t="n"/>
      <c r="J486" s="26">
        <f>IF(ISNUMBER(H486),H486-IF(ISNUMBER(I486),I486,30),"")</f>
        <v/>
      </c>
      <c r="K486" s="35">
        <f>IF(H486="","",IF(ISNUMBER(H486),H486-TODAY(),"Check date"))</f>
        <v/>
      </c>
      <c r="L486" s="32">
        <f>IF(K486="","",IF(ISNUMBER(K486),IF(K486&lt;0,"Overdue",IF(K486&lt;=30,"Due ≤30 days",IF(K486&lt;=90,"Due ≤90 days","OK"))),"Check date"))</f>
        <v/>
      </c>
      <c r="M486" s="27" t="n"/>
      <c r="N486" s="27" t="n"/>
      <c r="O486" s="27" t="n"/>
      <c r="P486" s="27" t="n"/>
      <c r="Q486" s="27" t="n"/>
      <c r="R486" s="27" t="n"/>
    </row>
    <row r="487">
      <c r="A487" s="27" t="n"/>
      <c r="B487" s="27" t="n"/>
      <c r="C487" s="27" t="n"/>
      <c r="D487" s="34" t="n"/>
      <c r="E487" s="27" t="n"/>
      <c r="F487" s="27" t="n"/>
      <c r="G487" s="28" t="n"/>
      <c r="H487" s="26">
        <f>IF(AND(ISNUMBER(G487),ISNUMBER(D487)),IF(E487="Weeks",G487+7*D487,EDATE(G487,IF(E487="Years",12,1)*D487)),"")</f>
        <v/>
      </c>
      <c r="I487" s="34" t="n"/>
      <c r="J487" s="26">
        <f>IF(ISNUMBER(H487),H487-IF(ISNUMBER(I487),I487,30),"")</f>
        <v/>
      </c>
      <c r="K487" s="35">
        <f>IF(H487="","",IF(ISNUMBER(H487),H487-TODAY(),"Check date"))</f>
        <v/>
      </c>
      <c r="L487" s="32">
        <f>IF(K487="","",IF(ISNUMBER(K487),IF(K487&lt;0,"Overdue",IF(K487&lt;=30,"Due ≤30 days",IF(K487&lt;=90,"Due ≤90 days","OK"))),"Check date"))</f>
        <v/>
      </c>
      <c r="M487" s="27" t="n"/>
      <c r="N487" s="27" t="n"/>
      <c r="O487" s="27" t="n"/>
      <c r="P487" s="27" t="n"/>
      <c r="Q487" s="27" t="n"/>
      <c r="R487" s="27" t="n"/>
    </row>
    <row r="488">
      <c r="A488" s="27" t="n"/>
      <c r="B488" s="27" t="n"/>
      <c r="C488" s="27" t="n"/>
      <c r="D488" s="34" t="n"/>
      <c r="E488" s="27" t="n"/>
      <c r="F488" s="27" t="n"/>
      <c r="G488" s="28" t="n"/>
      <c r="H488" s="26">
        <f>IF(AND(ISNUMBER(G488),ISNUMBER(D488)),IF(E488="Weeks",G488+7*D488,EDATE(G488,IF(E488="Years",12,1)*D488)),"")</f>
        <v/>
      </c>
      <c r="I488" s="34" t="n"/>
      <c r="J488" s="26">
        <f>IF(ISNUMBER(H488),H488-IF(ISNUMBER(I488),I488,30),"")</f>
        <v/>
      </c>
      <c r="K488" s="35">
        <f>IF(H488="","",IF(ISNUMBER(H488),H488-TODAY(),"Check date"))</f>
        <v/>
      </c>
      <c r="L488" s="32">
        <f>IF(K488="","",IF(ISNUMBER(K488),IF(K488&lt;0,"Overdue",IF(K488&lt;=30,"Due ≤30 days",IF(K488&lt;=90,"Due ≤90 days","OK"))),"Check date"))</f>
        <v/>
      </c>
      <c r="M488" s="27" t="n"/>
      <c r="N488" s="27" t="n"/>
      <c r="O488" s="27" t="n"/>
      <c r="P488" s="27" t="n"/>
      <c r="Q488" s="27" t="n"/>
      <c r="R488" s="27" t="n"/>
    </row>
    <row r="489">
      <c r="A489" s="27" t="n"/>
      <c r="B489" s="27" t="n"/>
      <c r="C489" s="27" t="n"/>
      <c r="D489" s="34" t="n"/>
      <c r="E489" s="27" t="n"/>
      <c r="F489" s="27" t="n"/>
      <c r="G489" s="28" t="n"/>
      <c r="H489" s="26">
        <f>IF(AND(ISNUMBER(G489),ISNUMBER(D489)),IF(E489="Weeks",G489+7*D489,EDATE(G489,IF(E489="Years",12,1)*D489)),"")</f>
        <v/>
      </c>
      <c r="I489" s="34" t="n"/>
      <c r="J489" s="26">
        <f>IF(ISNUMBER(H489),H489-IF(ISNUMBER(I489),I489,30),"")</f>
        <v/>
      </c>
      <c r="K489" s="35">
        <f>IF(H489="","",IF(ISNUMBER(H489),H489-TODAY(),"Check date"))</f>
        <v/>
      </c>
      <c r="L489" s="32">
        <f>IF(K489="","",IF(ISNUMBER(K489),IF(K489&lt;0,"Overdue",IF(K489&lt;=30,"Due ≤30 days",IF(K489&lt;=90,"Due ≤90 days","OK"))),"Check date"))</f>
        <v/>
      </c>
      <c r="M489" s="27" t="n"/>
      <c r="N489" s="27" t="n"/>
      <c r="O489" s="27" t="n"/>
      <c r="P489" s="27" t="n"/>
      <c r="Q489" s="27" t="n"/>
      <c r="R489" s="27" t="n"/>
    </row>
    <row r="490">
      <c r="A490" s="27" t="n"/>
      <c r="B490" s="27" t="n"/>
      <c r="C490" s="27" t="n"/>
      <c r="D490" s="34" t="n"/>
      <c r="E490" s="27" t="n"/>
      <c r="F490" s="27" t="n"/>
      <c r="G490" s="28" t="n"/>
      <c r="H490" s="26">
        <f>IF(AND(ISNUMBER(G490),ISNUMBER(D490)),IF(E490="Weeks",G490+7*D490,EDATE(G490,IF(E490="Years",12,1)*D490)),"")</f>
        <v/>
      </c>
      <c r="I490" s="34" t="n"/>
      <c r="J490" s="26">
        <f>IF(ISNUMBER(H490),H490-IF(ISNUMBER(I490),I490,30),"")</f>
        <v/>
      </c>
      <c r="K490" s="35">
        <f>IF(H490="","",IF(ISNUMBER(H490),H490-TODAY(),"Check date"))</f>
        <v/>
      </c>
      <c r="L490" s="32">
        <f>IF(K490="","",IF(ISNUMBER(K490),IF(K490&lt;0,"Overdue",IF(K490&lt;=30,"Due ≤30 days",IF(K490&lt;=90,"Due ≤90 days","OK"))),"Check date"))</f>
        <v/>
      </c>
      <c r="M490" s="27" t="n"/>
      <c r="N490" s="27" t="n"/>
      <c r="O490" s="27" t="n"/>
      <c r="P490" s="27" t="n"/>
      <c r="Q490" s="27" t="n"/>
      <c r="R490" s="27" t="n"/>
    </row>
    <row r="491">
      <c r="A491" s="27" t="n"/>
      <c r="B491" s="27" t="n"/>
      <c r="C491" s="27" t="n"/>
      <c r="D491" s="34" t="n"/>
      <c r="E491" s="27" t="n"/>
      <c r="F491" s="27" t="n"/>
      <c r="G491" s="28" t="n"/>
      <c r="H491" s="26">
        <f>IF(AND(ISNUMBER(G491),ISNUMBER(D491)),IF(E491="Weeks",G491+7*D491,EDATE(G491,IF(E491="Years",12,1)*D491)),"")</f>
        <v/>
      </c>
      <c r="I491" s="34" t="n"/>
      <c r="J491" s="26">
        <f>IF(ISNUMBER(H491),H491-IF(ISNUMBER(I491),I491,30),"")</f>
        <v/>
      </c>
      <c r="K491" s="35">
        <f>IF(H491="","",IF(ISNUMBER(H491),H491-TODAY(),"Check date"))</f>
        <v/>
      </c>
      <c r="L491" s="32">
        <f>IF(K491="","",IF(ISNUMBER(K491),IF(K491&lt;0,"Overdue",IF(K491&lt;=30,"Due ≤30 days",IF(K491&lt;=90,"Due ≤90 days","OK"))),"Check date"))</f>
        <v/>
      </c>
      <c r="M491" s="27" t="n"/>
      <c r="N491" s="27" t="n"/>
      <c r="O491" s="27" t="n"/>
      <c r="P491" s="27" t="n"/>
      <c r="Q491" s="27" t="n"/>
      <c r="R491" s="27" t="n"/>
    </row>
    <row r="492">
      <c r="A492" s="27" t="n"/>
      <c r="B492" s="27" t="n"/>
      <c r="C492" s="27" t="n"/>
      <c r="D492" s="34" t="n"/>
      <c r="E492" s="27" t="n"/>
      <c r="F492" s="27" t="n"/>
      <c r="G492" s="28" t="n"/>
      <c r="H492" s="26">
        <f>IF(AND(ISNUMBER(G492),ISNUMBER(D492)),IF(E492="Weeks",G492+7*D492,EDATE(G492,IF(E492="Years",12,1)*D492)),"")</f>
        <v/>
      </c>
      <c r="I492" s="34" t="n"/>
      <c r="J492" s="26">
        <f>IF(ISNUMBER(H492),H492-IF(ISNUMBER(I492),I492,30),"")</f>
        <v/>
      </c>
      <c r="K492" s="35">
        <f>IF(H492="","",IF(ISNUMBER(H492),H492-TODAY(),"Check date"))</f>
        <v/>
      </c>
      <c r="L492" s="32">
        <f>IF(K492="","",IF(ISNUMBER(K492),IF(K492&lt;0,"Overdue",IF(K492&lt;=30,"Due ≤30 days",IF(K492&lt;=90,"Due ≤90 days","OK"))),"Check date"))</f>
        <v/>
      </c>
      <c r="M492" s="27" t="n"/>
      <c r="N492" s="27" t="n"/>
      <c r="O492" s="27" t="n"/>
      <c r="P492" s="27" t="n"/>
      <c r="Q492" s="27" t="n"/>
      <c r="R492" s="27" t="n"/>
    </row>
    <row r="493">
      <c r="A493" s="27" t="n"/>
      <c r="B493" s="27" t="n"/>
      <c r="C493" s="27" t="n"/>
      <c r="D493" s="34" t="n"/>
      <c r="E493" s="27" t="n"/>
      <c r="F493" s="27" t="n"/>
      <c r="G493" s="28" t="n"/>
      <c r="H493" s="26">
        <f>IF(AND(ISNUMBER(G493),ISNUMBER(D493)),IF(E493="Weeks",G493+7*D493,EDATE(G493,IF(E493="Years",12,1)*D493)),"")</f>
        <v/>
      </c>
      <c r="I493" s="34" t="n"/>
      <c r="J493" s="26">
        <f>IF(ISNUMBER(H493),H493-IF(ISNUMBER(I493),I493,30),"")</f>
        <v/>
      </c>
      <c r="K493" s="35">
        <f>IF(H493="","",IF(ISNUMBER(H493),H493-TODAY(),"Check date"))</f>
        <v/>
      </c>
      <c r="L493" s="32">
        <f>IF(K493="","",IF(ISNUMBER(K493),IF(K493&lt;0,"Overdue",IF(K493&lt;=30,"Due ≤30 days",IF(K493&lt;=90,"Due ≤90 days","OK"))),"Check date"))</f>
        <v/>
      </c>
      <c r="M493" s="27" t="n"/>
      <c r="N493" s="27" t="n"/>
      <c r="O493" s="27" t="n"/>
      <c r="P493" s="27" t="n"/>
      <c r="Q493" s="27" t="n"/>
      <c r="R493" s="27" t="n"/>
    </row>
    <row r="494">
      <c r="A494" s="27" t="n"/>
      <c r="B494" s="27" t="n"/>
      <c r="C494" s="27" t="n"/>
      <c r="D494" s="34" t="n"/>
      <c r="E494" s="27" t="n"/>
      <c r="F494" s="27" t="n"/>
      <c r="G494" s="28" t="n"/>
      <c r="H494" s="26">
        <f>IF(AND(ISNUMBER(G494),ISNUMBER(D494)),IF(E494="Weeks",G494+7*D494,EDATE(G494,IF(E494="Years",12,1)*D494)),"")</f>
        <v/>
      </c>
      <c r="I494" s="34" t="n"/>
      <c r="J494" s="26">
        <f>IF(ISNUMBER(H494),H494-IF(ISNUMBER(I494),I494,30),"")</f>
        <v/>
      </c>
      <c r="K494" s="35">
        <f>IF(H494="","",IF(ISNUMBER(H494),H494-TODAY(),"Check date"))</f>
        <v/>
      </c>
      <c r="L494" s="32">
        <f>IF(K494="","",IF(ISNUMBER(K494),IF(K494&lt;0,"Overdue",IF(K494&lt;=30,"Due ≤30 days",IF(K494&lt;=90,"Due ≤90 days","OK"))),"Check date"))</f>
        <v/>
      </c>
      <c r="M494" s="27" t="n"/>
      <c r="N494" s="27" t="n"/>
      <c r="O494" s="27" t="n"/>
      <c r="P494" s="27" t="n"/>
      <c r="Q494" s="27" t="n"/>
      <c r="R494" s="27" t="n"/>
    </row>
    <row r="495">
      <c r="A495" s="27" t="n"/>
      <c r="B495" s="27" t="n"/>
      <c r="C495" s="27" t="n"/>
      <c r="D495" s="34" t="n"/>
      <c r="E495" s="27" t="n"/>
      <c r="F495" s="27" t="n"/>
      <c r="G495" s="28" t="n"/>
      <c r="H495" s="26">
        <f>IF(AND(ISNUMBER(G495),ISNUMBER(D495)),IF(E495="Weeks",G495+7*D495,EDATE(G495,IF(E495="Years",12,1)*D495)),"")</f>
        <v/>
      </c>
      <c r="I495" s="34" t="n"/>
      <c r="J495" s="26">
        <f>IF(ISNUMBER(H495),H495-IF(ISNUMBER(I495),I495,30),"")</f>
        <v/>
      </c>
      <c r="K495" s="35">
        <f>IF(H495="","",IF(ISNUMBER(H495),H495-TODAY(),"Check date"))</f>
        <v/>
      </c>
      <c r="L495" s="32">
        <f>IF(K495="","",IF(ISNUMBER(K495),IF(K495&lt;0,"Overdue",IF(K495&lt;=30,"Due ≤30 days",IF(K495&lt;=90,"Due ≤90 days","OK"))),"Check date"))</f>
        <v/>
      </c>
      <c r="M495" s="27" t="n"/>
      <c r="N495" s="27" t="n"/>
      <c r="O495" s="27" t="n"/>
      <c r="P495" s="27" t="n"/>
      <c r="Q495" s="27" t="n"/>
      <c r="R495" s="27" t="n"/>
    </row>
    <row r="496">
      <c r="A496" s="27" t="n"/>
      <c r="B496" s="27" t="n"/>
      <c r="C496" s="27" t="n"/>
      <c r="D496" s="34" t="n"/>
      <c r="E496" s="27" t="n"/>
      <c r="F496" s="27" t="n"/>
      <c r="G496" s="28" t="n"/>
      <c r="H496" s="26">
        <f>IF(AND(ISNUMBER(G496),ISNUMBER(D496)),IF(E496="Weeks",G496+7*D496,EDATE(G496,IF(E496="Years",12,1)*D496)),"")</f>
        <v/>
      </c>
      <c r="I496" s="34" t="n"/>
      <c r="J496" s="26">
        <f>IF(ISNUMBER(H496),H496-IF(ISNUMBER(I496),I496,30),"")</f>
        <v/>
      </c>
      <c r="K496" s="35">
        <f>IF(H496="","",IF(ISNUMBER(H496),H496-TODAY(),"Check date"))</f>
        <v/>
      </c>
      <c r="L496" s="32">
        <f>IF(K496="","",IF(ISNUMBER(K496),IF(K496&lt;0,"Overdue",IF(K496&lt;=30,"Due ≤30 days",IF(K496&lt;=90,"Due ≤90 days","OK"))),"Check date"))</f>
        <v/>
      </c>
      <c r="M496" s="27" t="n"/>
      <c r="N496" s="27" t="n"/>
      <c r="O496" s="27" t="n"/>
      <c r="P496" s="27" t="n"/>
      <c r="Q496" s="27" t="n"/>
      <c r="R496" s="27" t="n"/>
    </row>
    <row r="497">
      <c r="A497" s="27" t="n"/>
      <c r="B497" s="27" t="n"/>
      <c r="C497" s="27" t="n"/>
      <c r="D497" s="34" t="n"/>
      <c r="E497" s="27" t="n"/>
      <c r="F497" s="27" t="n"/>
      <c r="G497" s="28" t="n"/>
      <c r="H497" s="26">
        <f>IF(AND(ISNUMBER(G497),ISNUMBER(D497)),IF(E497="Weeks",G497+7*D497,EDATE(G497,IF(E497="Years",12,1)*D497)),"")</f>
        <v/>
      </c>
      <c r="I497" s="34" t="n"/>
      <c r="J497" s="26">
        <f>IF(ISNUMBER(H497),H497-IF(ISNUMBER(I497),I497,30),"")</f>
        <v/>
      </c>
      <c r="K497" s="35">
        <f>IF(H497="","",IF(ISNUMBER(H497),H497-TODAY(),"Check date"))</f>
        <v/>
      </c>
      <c r="L497" s="32">
        <f>IF(K497="","",IF(ISNUMBER(K497),IF(K497&lt;0,"Overdue",IF(K497&lt;=30,"Due ≤30 days",IF(K497&lt;=90,"Due ≤90 days","OK"))),"Check date"))</f>
        <v/>
      </c>
      <c r="M497" s="27" t="n"/>
      <c r="N497" s="27" t="n"/>
      <c r="O497" s="27" t="n"/>
      <c r="P497" s="27" t="n"/>
      <c r="Q497" s="27" t="n"/>
      <c r="R497" s="27" t="n"/>
    </row>
    <row r="498">
      <c r="A498" s="27" t="n"/>
      <c r="B498" s="27" t="n"/>
      <c r="C498" s="27" t="n"/>
      <c r="D498" s="34" t="n"/>
      <c r="E498" s="27" t="n"/>
      <c r="F498" s="27" t="n"/>
      <c r="G498" s="28" t="n"/>
      <c r="H498" s="26">
        <f>IF(AND(ISNUMBER(G498),ISNUMBER(D498)),IF(E498="Weeks",G498+7*D498,EDATE(G498,IF(E498="Years",12,1)*D498)),"")</f>
        <v/>
      </c>
      <c r="I498" s="34" t="n"/>
      <c r="J498" s="26">
        <f>IF(ISNUMBER(H498),H498-IF(ISNUMBER(I498),I498,30),"")</f>
        <v/>
      </c>
      <c r="K498" s="35">
        <f>IF(H498="","",IF(ISNUMBER(H498),H498-TODAY(),"Check date"))</f>
        <v/>
      </c>
      <c r="L498" s="32">
        <f>IF(K498="","",IF(ISNUMBER(K498),IF(K498&lt;0,"Overdue",IF(K498&lt;=30,"Due ≤30 days",IF(K498&lt;=90,"Due ≤90 days","OK"))),"Check date"))</f>
        <v/>
      </c>
      <c r="M498" s="27" t="n"/>
      <c r="N498" s="27" t="n"/>
      <c r="O498" s="27" t="n"/>
      <c r="P498" s="27" t="n"/>
      <c r="Q498" s="27" t="n"/>
      <c r="R498" s="27" t="n"/>
    </row>
    <row r="499">
      <c r="A499" s="27" t="n"/>
      <c r="B499" s="27" t="n"/>
      <c r="C499" s="27" t="n"/>
      <c r="D499" s="34" t="n"/>
      <c r="E499" s="27" t="n"/>
      <c r="F499" s="27" t="n"/>
      <c r="G499" s="28" t="n"/>
      <c r="H499" s="26">
        <f>IF(AND(ISNUMBER(G499),ISNUMBER(D499)),IF(E499="Weeks",G499+7*D499,EDATE(G499,IF(E499="Years",12,1)*D499)),"")</f>
        <v/>
      </c>
      <c r="I499" s="34" t="n"/>
      <c r="J499" s="26">
        <f>IF(ISNUMBER(H499),H499-IF(ISNUMBER(I499),I499,30),"")</f>
        <v/>
      </c>
      <c r="K499" s="35">
        <f>IF(H499="","",IF(ISNUMBER(H499),H499-TODAY(),"Check date"))</f>
        <v/>
      </c>
      <c r="L499" s="32">
        <f>IF(K499="","",IF(ISNUMBER(K499),IF(K499&lt;0,"Overdue",IF(K499&lt;=30,"Due ≤30 days",IF(K499&lt;=90,"Due ≤90 days","OK"))),"Check date"))</f>
        <v/>
      </c>
      <c r="M499" s="27" t="n"/>
      <c r="N499" s="27" t="n"/>
      <c r="O499" s="27" t="n"/>
      <c r="P499" s="27" t="n"/>
      <c r="Q499" s="27" t="n"/>
      <c r="R499" s="27" t="n"/>
    </row>
    <row r="500">
      <c r="A500" s="27" t="n"/>
      <c r="B500" s="27" t="n"/>
      <c r="C500" s="27" t="n"/>
      <c r="D500" s="34" t="n"/>
      <c r="E500" s="27" t="n"/>
      <c r="F500" s="27" t="n"/>
      <c r="G500" s="28" t="n"/>
      <c r="H500" s="26">
        <f>IF(AND(ISNUMBER(G500),ISNUMBER(D500)),IF(E500="Weeks",G500+7*D500,EDATE(G500,IF(E500="Years",12,1)*D500)),"")</f>
        <v/>
      </c>
      <c r="I500" s="34" t="n"/>
      <c r="J500" s="26">
        <f>IF(ISNUMBER(H500),H500-IF(ISNUMBER(I500),I500,30),"")</f>
        <v/>
      </c>
      <c r="K500" s="35">
        <f>IF(H500="","",IF(ISNUMBER(H500),H500-TODAY(),"Check date"))</f>
        <v/>
      </c>
      <c r="L500" s="32">
        <f>IF(K500="","",IF(ISNUMBER(K500),IF(K500&lt;0,"Overdue",IF(K500&lt;=30,"Due ≤30 days",IF(K500&lt;=90,"Due ≤90 days","OK"))),"Check date"))</f>
        <v/>
      </c>
      <c r="M500" s="27" t="n"/>
      <c r="N500" s="27" t="n"/>
      <c r="O500" s="27" t="n"/>
      <c r="P500" s="27" t="n"/>
      <c r="Q500" s="27" t="n"/>
      <c r="R500" s="27" t="n"/>
    </row>
    <row r="501">
      <c r="A501" s="27" t="n"/>
      <c r="B501" s="27" t="n"/>
      <c r="C501" s="27" t="n"/>
      <c r="D501" s="34" t="n"/>
      <c r="E501" s="27" t="n"/>
      <c r="F501" s="27" t="n"/>
      <c r="G501" s="28" t="n"/>
      <c r="H501" s="26">
        <f>IF(AND(ISNUMBER(G501),ISNUMBER(D501)),IF(E501="Weeks",G501+7*D501,EDATE(G501,IF(E501="Years",12,1)*D501)),"")</f>
        <v/>
      </c>
      <c r="I501" s="34" t="n"/>
      <c r="J501" s="26">
        <f>IF(ISNUMBER(H501),H501-IF(ISNUMBER(I501),I501,30),"")</f>
        <v/>
      </c>
      <c r="K501" s="35">
        <f>IF(H501="","",IF(ISNUMBER(H501),H501-TODAY(),"Check date"))</f>
        <v/>
      </c>
      <c r="L501" s="32">
        <f>IF(K501="","",IF(ISNUMBER(K501),IF(K501&lt;0,"Overdue",IF(K501&lt;=30,"Due ≤30 days",IF(K501&lt;=90,"Due ≤90 days","OK"))),"Check date"))</f>
        <v/>
      </c>
      <c r="M501" s="27" t="n"/>
      <c r="N501" s="27" t="n"/>
      <c r="O501" s="27" t="n"/>
      <c r="P501" s="27" t="n"/>
      <c r="Q501" s="27" t="n"/>
      <c r="R501" s="27" t="n"/>
    </row>
    <row r="502">
      <c r="A502" s="27" t="n"/>
      <c r="B502" s="27" t="n"/>
      <c r="C502" s="27" t="n"/>
      <c r="D502" s="34" t="n"/>
      <c r="E502" s="27" t="n"/>
      <c r="F502" s="27" t="n"/>
      <c r="G502" s="28" t="n"/>
      <c r="H502" s="26">
        <f>IF(AND(ISNUMBER(G502),ISNUMBER(D502)),IF(E502="Weeks",G502+7*D502,EDATE(G502,IF(E502="Years",12,1)*D502)),"")</f>
        <v/>
      </c>
      <c r="I502" s="34" t="n"/>
      <c r="J502" s="26">
        <f>IF(ISNUMBER(H502),H502-IF(ISNUMBER(I502),I502,30),"")</f>
        <v/>
      </c>
      <c r="K502" s="35">
        <f>IF(H502="","",IF(ISNUMBER(H502),H502-TODAY(),"Check date"))</f>
        <v/>
      </c>
      <c r="L502" s="32">
        <f>IF(K502="","",IF(ISNUMBER(K502),IF(K502&lt;0,"Overdue",IF(K502&lt;=30,"Due ≤30 days",IF(K502&lt;=90,"Due ≤90 days","OK"))),"Check date"))</f>
        <v/>
      </c>
      <c r="M502" s="27" t="n"/>
      <c r="N502" s="27" t="n"/>
      <c r="O502" s="27" t="n"/>
      <c r="P502" s="27" t="n"/>
      <c r="Q502" s="27" t="n"/>
      <c r="R502" s="27" t="n"/>
    </row>
    <row r="503">
      <c r="A503" s="27" t="n"/>
      <c r="B503" s="27" t="n"/>
      <c r="C503" s="27" t="n"/>
      <c r="D503" s="34" t="n"/>
      <c r="E503" s="27" t="n"/>
      <c r="F503" s="27" t="n"/>
      <c r="G503" s="28" t="n"/>
      <c r="H503" s="26">
        <f>IF(AND(ISNUMBER(G503),ISNUMBER(D503)),IF(E503="Weeks",G503+7*D503,EDATE(G503,IF(E503="Years",12,1)*D503)),"")</f>
        <v/>
      </c>
      <c r="I503" s="34" t="n"/>
      <c r="J503" s="26">
        <f>IF(ISNUMBER(H503),H503-IF(ISNUMBER(I503),I503,30),"")</f>
        <v/>
      </c>
      <c r="K503" s="35">
        <f>IF(H503="","",IF(ISNUMBER(H503),H503-TODAY(),"Check date"))</f>
        <v/>
      </c>
      <c r="L503" s="32">
        <f>IF(K503="","",IF(ISNUMBER(K503),IF(K503&lt;0,"Overdue",IF(K503&lt;=30,"Due ≤30 days",IF(K503&lt;=90,"Due ≤90 days","OK"))),"Check date"))</f>
        <v/>
      </c>
      <c r="M503" s="27" t="n"/>
      <c r="N503" s="27" t="n"/>
      <c r="O503" s="27" t="n"/>
      <c r="P503" s="27" t="n"/>
      <c r="Q503" s="27" t="n"/>
      <c r="R503" s="27" t="n"/>
    </row>
  </sheetData>
  <conditionalFormatting sqref="H4:H503 K4:K503 L4:L503">
    <cfRule type="expression" priority="1" dxfId="1" stopIfTrue="1">
      <formula>AND(ISNUMBER($K4),$K4&lt;0)</formula>
    </cfRule>
    <cfRule type="expression" priority="2" dxfId="0" stopIfTrue="1">
      <formula>AND(ISNUMBER($K4),$K4&lt;=30)</formula>
    </cfRule>
    <cfRule type="expression" priority="3" dxfId="2" stopIfTrue="1">
      <formula>AND(ISNUMBER($K4),$K4&lt;=90)</formula>
    </cfRule>
    <cfRule type="expression" priority="4" dxfId="3" stopIfTrue="1">
      <formula>ISNUMBER($K4)</formula>
    </cfRule>
  </conditionalFormatting>
  <conditionalFormatting sqref="A4:A503 B4:B503 C4:C503 D4:D503 E4:E503 F4:F503 G4:G503 I4:I503 M4:M503 N4:N503 O4:O503 P4:P503 Q4:Q503 R4:R503">
    <cfRule type="expression" priority="5" dxfId="4">
      <formula>LEFT($A4,9)="Example –"</formula>
    </cfRule>
    <cfRule type="expression" priority="6" dxfId="7">
      <formula>MOD(ROW(),2)=0</formula>
    </cfRule>
  </conditionalFormatting>
  <dataValidations count="6">
    <dataValidation sqref="B4:B503" showDropDown="0" showInputMessage="0" showErrorMessage="1" allowBlank="1" errorTitle="System" error="That is not on the list. Keep it anyway, or add it to the Lists sheet." type="list" errorStyle="warning">
      <formula1>=Lists!$C$2:$C$10</formula1>
    </dataValidation>
    <dataValidation sqref="D4:D503" showDropDown="0" showInputMessage="0" showErrorMessage="1" allowBlank="1" errorTitle="Number expected" error="Type a number (no currency symbol)." type="decimal" errorStyle="warning" operator="greaterThanOrEqual">
      <formula1>0</formula1>
    </dataValidation>
    <dataValidation sqref="E4:E503" showDropDown="0" showInputMessage="0" showErrorMessage="1" allowBlank="1" errorTitle="Unit" error="Pick one of: Weeks, Months, Years." type="list" errorStyle="stop">
      <formula1>"Weeks,Months,Years"</formula1>
    </dataValidation>
    <dataValidation sqref="F4:F503" showDropDown="0" showInputMessage="0" showErrorMessage="1" allowBlank="1" errorTitle="Done by" error="That is not on the list. Keep it anyway, or add it to the Lists sheet." type="list" errorStyle="warning">
      <formula1>=Lists!$E$2:$E$5</formula1>
    </dataValidation>
    <dataValidation sqref="G4:G503" showDropDown="0" showInputMessage="0" showErrorMessage="1" allowBlank="1" errorTitle="Date expected" error="Type a real date, e.g. 14 Jun 2027 (or 2027-06-14). Text that only looks like a date will not calculate." type="date" errorStyle="warning" operator="greaterThan">
      <formula1>32874</formula1>
    </dataValidation>
    <dataValidation sqref="I4:I503" showDropDown="0" showInputMessage="0" showErrorMessage="1" allowBlank="1" errorTitle="Number expected" error="Type a number (no currency symbol)." type="decimal" errorStyle="warning" operator="greaterThanOrEqual">
      <formula1>0</formula1>
    </dataValidation>
  </dataValidations>
  <printOptions horizontalCentered="0"/>
  <pageMargins left="0.4" right="0.4" top="0.5" bottom="0.6" header="0.5" footer="0.5"/>
  <pageSetup orientation="landscape" paperSize="1" fitToHeight="0" fitToWidth="1"/>
  <headerFooter>
    <oddHeader/>
    <oddFooter>&amp;C&amp;"Arial"&amp;8 expiryedge.com · page &amp;P of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B1:G45"/>
  <sheetViews>
    <sheetView showGridLines="0" tabSelected="0" workbookViewId="0">
      <selection activeCell="A1" sqref="A1"/>
    </sheetView>
  </sheetViews>
  <sheetFormatPr baseColWidth="8" defaultRowHeight="15"/>
  <cols>
    <col width="3" customWidth="1" min="1" max="1"/>
    <col width="6" customWidth="1" min="2" max="2"/>
    <col width="62" customWidth="1" min="3" max="3"/>
    <col width="15" customWidth="1" min="4" max="4"/>
    <col width="10" customWidth="1" min="5" max="5"/>
    <col width="15" customWidth="1" min="6" max="6"/>
    <col width="26" customWidth="1" min="7" max="7"/>
    <col width="6" customWidth="1" min="8" max="8"/>
  </cols>
  <sheetData>
    <row r="1">
      <c r="B1" s="36" t="inlineStr">
        <is>
          <t>Dashboard</t>
        </is>
      </c>
    </row>
    <row r="2">
      <c r="B2" s="3" t="inlineStr">
        <is>
          <t>As of</t>
        </is>
      </c>
      <c r="C2" s="37">
        <f>TODAY()</f>
        <v/>
      </c>
    </row>
    <row r="4">
      <c r="B4" s="38" t="inlineStr">
        <is>
          <t>Fire drills this year</t>
        </is>
      </c>
    </row>
    <row r="5">
      <c r="B5" s="13" t="n"/>
      <c r="C5" s="13" t="inlineStr">
        <is>
          <t>Measure</t>
        </is>
      </c>
      <c r="D5" s="13" t="inlineStr">
        <is>
          <t>Value</t>
        </is>
      </c>
    </row>
    <row r="6">
      <c r="C6" s="39" t="inlineStr">
        <is>
          <t>Schedule year</t>
        </is>
      </c>
      <c r="D6" s="40">
        <f>'Drill schedule'!$D$4</f>
        <v/>
      </c>
    </row>
    <row r="7">
      <c r="C7" s="39" t="inlineStr">
        <is>
          <t>Drills needed</t>
        </is>
      </c>
      <c r="D7" s="40">
        <f>'Drill schedule'!$H$4</f>
        <v/>
      </c>
    </row>
    <row r="8">
      <c r="C8" s="39" t="inlineStr">
        <is>
          <t>Drills logged</t>
        </is>
      </c>
      <c r="D8" s="40">
        <f>'Drill schedule'!$H$5</f>
        <v/>
      </c>
    </row>
    <row r="9">
      <c r="C9" s="39" t="inlineStr">
        <is>
          <t>Night drills needed (residents asleep)</t>
        </is>
      </c>
      <c r="D9" s="40">
        <f>'Drill schedule'!$D$6</f>
        <v/>
      </c>
    </row>
    <row r="10">
      <c r="C10" s="39" t="inlineStr">
        <is>
          <t>Night drills logged</t>
        </is>
      </c>
      <c r="D10" s="40">
        <f>'Drill schedule'!$H$6</f>
        <v/>
      </c>
    </row>
    <row r="11">
      <c r="C11" s="39" t="inlineStr">
        <is>
          <t>Windows missed (nothing logged)</t>
        </is>
      </c>
      <c r="D11" s="40">
        <f>COUNTIF('Drill schedule'!$M$9:$M$20,"Missed")</f>
        <v/>
      </c>
    </row>
    <row r="12">
      <c r="C12" s="39" t="inlineStr">
        <is>
          <t>Planned date passed, not yet logged</t>
        </is>
      </c>
      <c r="D12" s="40">
        <f>COUNTIF('Drill schedule'!$M$9:$M$20,"Overdue")</f>
        <v/>
      </c>
    </row>
    <row r="13">
      <c r="C13" s="39" t="inlineStr">
        <is>
          <t>Night windows logged but not while residents asleep</t>
        </is>
      </c>
      <c r="D13" s="40">
        <f>COUNTIF('Drill schedule'!$M$9:$M$20,"Done, not asleep")</f>
        <v/>
      </c>
    </row>
    <row r="14">
      <c r="C14" s="39" t="inlineStr">
        <is>
          <t>Next drill due</t>
        </is>
      </c>
      <c r="D14" s="41">
        <f>IF(COUNT(_calc!$G$4:$G$15)=0,"",MIN(_calc!$G$4:$G$15))</f>
        <v/>
      </c>
    </row>
    <row r="15">
      <c r="C15" s="39" t="inlineStr">
        <is>
          <t>Longest evacuation time</t>
        </is>
      </c>
      <c r="D15" s="42">
        <f>IF(COUNT(_calc!$H$4:$H$503)=0,"",MAX(_calc!$H$4:$H$503))</f>
        <v/>
      </c>
    </row>
    <row r="16">
      <c r="C16" s="39" t="inlineStr">
        <is>
          <t>Average evacuation time</t>
        </is>
      </c>
      <c r="D16" s="42">
        <f>IF(COUNT(_calc!$H$4:$H$503)=0,"",AVERAGE(_calc!$H$4:$H$503))</f>
        <v/>
      </c>
    </row>
    <row r="17">
      <c r="C17" s="39" t="inlineStr">
        <is>
          <t>Drill fixes open (any year)</t>
        </is>
      </c>
      <c r="D17" s="40">
        <f>COUNTIF('Drill log'!$W$4:$W$503,"Open")</f>
        <v/>
      </c>
    </row>
    <row r="18">
      <c r="C18" s="39" t="inlineStr">
        <is>
          <t>Drill fixes overdue (any year)</t>
        </is>
      </c>
      <c r="D18" s="40">
        <f>COUNTIF('Drill log'!$W$4:$W$503,"Overdue")</f>
        <v/>
      </c>
    </row>
    <row r="19">
      <c r="C19" s="3" t="inlineStr">
        <is>
          <t>Counts use the year on the Drill schedule sheet and every Drill log row dated in that year.</t>
        </is>
      </c>
    </row>
    <row r="21">
      <c r="B21" s="38" t="inlineStr">
        <is>
          <t>Recurring inspections</t>
        </is>
      </c>
    </row>
    <row r="22">
      <c r="B22" s="43" t="n"/>
      <c r="C22" s="44" t="inlineStr">
        <is>
          <t>Status</t>
        </is>
      </c>
      <c r="D22" s="45" t="inlineStr">
        <is>
          <t>Inspections</t>
        </is>
      </c>
    </row>
    <row r="23">
      <c r="C23" s="46" t="inlineStr">
        <is>
          <t>Overdue</t>
        </is>
      </c>
      <c r="D23" s="47">
        <f>COUNTIF('Inspections'!$L$4:$L$503,"Overdue")</f>
        <v/>
      </c>
    </row>
    <row r="24">
      <c r="C24" s="48" t="inlineStr">
        <is>
          <t>Due ≤30 days</t>
        </is>
      </c>
      <c r="D24" s="47">
        <f>COUNTIF('Inspections'!$L$4:$L$503,"Due ≤30 days")</f>
        <v/>
      </c>
    </row>
    <row r="25">
      <c r="C25" s="49" t="inlineStr">
        <is>
          <t>Due ≤90 days</t>
        </is>
      </c>
      <c r="D25" s="47">
        <f>COUNTIF('Inspections'!$L$4:$L$503,"Due ≤90 days")</f>
        <v/>
      </c>
    </row>
    <row r="26">
      <c r="C26" s="50" t="inlineStr">
        <is>
          <t>OK</t>
        </is>
      </c>
      <c r="D26" s="47">
        <f>COUNTIF('Inspections'!$L$4:$L$503,"OK")</f>
        <v/>
      </c>
    </row>
    <row r="27">
      <c r="C27" s="39" t="inlineStr">
        <is>
          <t>Last done missing or not a date</t>
        </is>
      </c>
      <c r="D27" s="47">
        <f>SUMPRODUCT((LEN('Inspections'!$A$4:$A$503)&gt;0)*(ISNUMBER('Inspections'!$H$4:$H$503)=FALSE))</f>
        <v/>
      </c>
    </row>
    <row r="28">
      <c r="C28" s="39" t="inlineStr">
        <is>
          <t>Total rows</t>
        </is>
      </c>
      <c r="D28" s="47">
        <f>COUNTIF('Inspections'!$A$4:$A$503,"?*")</f>
        <v/>
      </c>
    </row>
    <row r="29">
      <c r="C29" s="3" t="inlineStr">
        <is>
          <t>Weekly and monthly checks always sit inside 30 days, so a few amber rows are normal. Red is not.</t>
        </is>
      </c>
    </row>
    <row r="31">
      <c r="B31" s="38" t="inlineStr">
        <is>
          <t>Next 10 inspections due</t>
        </is>
      </c>
    </row>
    <row r="32">
      <c r="B32" s="13" t="inlineStr">
        <is>
          <t>#</t>
        </is>
      </c>
      <c r="C32" s="13" t="inlineStr">
        <is>
          <t>Check</t>
        </is>
      </c>
      <c r="D32" s="13" t="inlineStr">
        <is>
          <t>Next due</t>
        </is>
      </c>
      <c r="E32" s="13" t="inlineStr">
        <is>
          <t>Days left</t>
        </is>
      </c>
      <c r="F32" s="13" t="inlineStr">
        <is>
          <t>Status</t>
        </is>
      </c>
      <c r="G32" s="13" t="inlineStr">
        <is>
          <t>Owner email</t>
        </is>
      </c>
    </row>
    <row r="33">
      <c r="B33" s="51" t="n">
        <v>1</v>
      </c>
      <c r="C33" s="52">
        <f>IF(_calc!$D$4="","",INDEX('Inspections'!$C$4:$C$503,_calc!$D$4)&amp;" – "&amp;INDEX('Inspections'!$A$4:$A$503,_calc!$D$4))</f>
        <v/>
      </c>
      <c r="D33" s="53">
        <f>IF(_calc!$C$4="","",INT(_calc!$C$4))</f>
        <v/>
      </c>
      <c r="E33" s="54">
        <f>IF(_calc!$C$4="","",INT(_calc!$C$4)-TODAY())</f>
        <v/>
      </c>
      <c r="F33" s="39">
        <f>IF(E33="","",IF(E33&lt;0,"Overdue",IF(E33&lt;=30,"Due ≤30 days",IF(E33&lt;=90,"Due ≤90 days","OK"))))</f>
        <v/>
      </c>
      <c r="G33" s="52">
        <f>IF(_calc!$D$4="","",IF(LEN(INDEX('Inspections'!$P$4:$P$503,_calc!$D$4))=0,"",INDEX('Inspections'!$P$4:$P$503,_calc!$D$4)))</f>
        <v/>
      </c>
    </row>
    <row r="34">
      <c r="B34" s="51" t="n">
        <v>2</v>
      </c>
      <c r="C34" s="52">
        <f>IF(_calc!$D$5="","",INDEX('Inspections'!$C$4:$C$503,_calc!$D$5)&amp;" – "&amp;INDEX('Inspections'!$A$4:$A$503,_calc!$D$5))</f>
        <v/>
      </c>
      <c r="D34" s="53">
        <f>IF(_calc!$C$5="","",INT(_calc!$C$5))</f>
        <v/>
      </c>
      <c r="E34" s="54">
        <f>IF(_calc!$C$5="","",INT(_calc!$C$5)-TODAY())</f>
        <v/>
      </c>
      <c r="F34" s="39">
        <f>IF(E34="","",IF(E34&lt;0,"Overdue",IF(E34&lt;=30,"Due ≤30 days",IF(E34&lt;=90,"Due ≤90 days","OK"))))</f>
        <v/>
      </c>
      <c r="G34" s="52">
        <f>IF(_calc!$D$5="","",IF(LEN(INDEX('Inspections'!$P$4:$P$503,_calc!$D$5))=0,"",INDEX('Inspections'!$P$4:$P$503,_calc!$D$5)))</f>
        <v/>
      </c>
    </row>
    <row r="35">
      <c r="B35" s="51" t="n">
        <v>3</v>
      </c>
      <c r="C35" s="52">
        <f>IF(_calc!$D$6="","",INDEX('Inspections'!$C$4:$C$503,_calc!$D$6)&amp;" – "&amp;INDEX('Inspections'!$A$4:$A$503,_calc!$D$6))</f>
        <v/>
      </c>
      <c r="D35" s="53">
        <f>IF(_calc!$C$6="","",INT(_calc!$C$6))</f>
        <v/>
      </c>
      <c r="E35" s="54">
        <f>IF(_calc!$C$6="","",INT(_calc!$C$6)-TODAY())</f>
        <v/>
      </c>
      <c r="F35" s="39">
        <f>IF(E35="","",IF(E35&lt;0,"Overdue",IF(E35&lt;=30,"Due ≤30 days",IF(E35&lt;=90,"Due ≤90 days","OK"))))</f>
        <v/>
      </c>
      <c r="G35" s="52">
        <f>IF(_calc!$D$6="","",IF(LEN(INDEX('Inspections'!$P$4:$P$503,_calc!$D$6))=0,"",INDEX('Inspections'!$P$4:$P$503,_calc!$D$6)))</f>
        <v/>
      </c>
    </row>
    <row r="36">
      <c r="B36" s="51" t="n">
        <v>4</v>
      </c>
      <c r="C36" s="52">
        <f>IF(_calc!$D$7="","",INDEX('Inspections'!$C$4:$C$503,_calc!$D$7)&amp;" – "&amp;INDEX('Inspections'!$A$4:$A$503,_calc!$D$7))</f>
        <v/>
      </c>
      <c r="D36" s="53">
        <f>IF(_calc!$C$7="","",INT(_calc!$C$7))</f>
        <v/>
      </c>
      <c r="E36" s="54">
        <f>IF(_calc!$C$7="","",INT(_calc!$C$7)-TODAY())</f>
        <v/>
      </c>
      <c r="F36" s="39">
        <f>IF(E36="","",IF(E36&lt;0,"Overdue",IF(E36&lt;=30,"Due ≤30 days",IF(E36&lt;=90,"Due ≤90 days","OK"))))</f>
        <v/>
      </c>
      <c r="G36" s="52">
        <f>IF(_calc!$D$7="","",IF(LEN(INDEX('Inspections'!$P$4:$P$503,_calc!$D$7))=0,"",INDEX('Inspections'!$P$4:$P$503,_calc!$D$7)))</f>
        <v/>
      </c>
    </row>
    <row r="37">
      <c r="B37" s="51" t="n">
        <v>5</v>
      </c>
      <c r="C37" s="52">
        <f>IF(_calc!$D$8="","",INDEX('Inspections'!$C$4:$C$503,_calc!$D$8)&amp;" – "&amp;INDEX('Inspections'!$A$4:$A$503,_calc!$D$8))</f>
        <v/>
      </c>
      <c r="D37" s="53">
        <f>IF(_calc!$C$8="","",INT(_calc!$C$8))</f>
        <v/>
      </c>
      <c r="E37" s="54">
        <f>IF(_calc!$C$8="","",INT(_calc!$C$8)-TODAY())</f>
        <v/>
      </c>
      <c r="F37" s="39">
        <f>IF(E37="","",IF(E37&lt;0,"Overdue",IF(E37&lt;=30,"Due ≤30 days",IF(E37&lt;=90,"Due ≤90 days","OK"))))</f>
        <v/>
      </c>
      <c r="G37" s="52">
        <f>IF(_calc!$D$8="","",IF(LEN(INDEX('Inspections'!$P$4:$P$503,_calc!$D$8))=0,"",INDEX('Inspections'!$P$4:$P$503,_calc!$D$8)))</f>
        <v/>
      </c>
    </row>
    <row r="38">
      <c r="B38" s="51" t="n">
        <v>6</v>
      </c>
      <c r="C38" s="52">
        <f>IF(_calc!$D$9="","",INDEX('Inspections'!$C$4:$C$503,_calc!$D$9)&amp;" – "&amp;INDEX('Inspections'!$A$4:$A$503,_calc!$D$9))</f>
        <v/>
      </c>
      <c r="D38" s="53">
        <f>IF(_calc!$C$9="","",INT(_calc!$C$9))</f>
        <v/>
      </c>
      <c r="E38" s="54">
        <f>IF(_calc!$C$9="","",INT(_calc!$C$9)-TODAY())</f>
        <v/>
      </c>
      <c r="F38" s="39">
        <f>IF(E38="","",IF(E38&lt;0,"Overdue",IF(E38&lt;=30,"Due ≤30 days",IF(E38&lt;=90,"Due ≤90 days","OK"))))</f>
        <v/>
      </c>
      <c r="G38" s="52">
        <f>IF(_calc!$D$9="","",IF(LEN(INDEX('Inspections'!$P$4:$P$503,_calc!$D$9))=0,"",INDEX('Inspections'!$P$4:$P$503,_calc!$D$9)))</f>
        <v/>
      </c>
    </row>
    <row r="39">
      <c r="B39" s="51" t="n">
        <v>7</v>
      </c>
      <c r="C39" s="52">
        <f>IF(_calc!$D$10="","",INDEX('Inspections'!$C$4:$C$503,_calc!$D$10)&amp;" – "&amp;INDEX('Inspections'!$A$4:$A$503,_calc!$D$10))</f>
        <v/>
      </c>
      <c r="D39" s="53">
        <f>IF(_calc!$C$10="","",INT(_calc!$C$10))</f>
        <v/>
      </c>
      <c r="E39" s="54">
        <f>IF(_calc!$C$10="","",INT(_calc!$C$10)-TODAY())</f>
        <v/>
      </c>
      <c r="F39" s="39">
        <f>IF(E39="","",IF(E39&lt;0,"Overdue",IF(E39&lt;=30,"Due ≤30 days",IF(E39&lt;=90,"Due ≤90 days","OK"))))</f>
        <v/>
      </c>
      <c r="G39" s="52">
        <f>IF(_calc!$D$10="","",IF(LEN(INDEX('Inspections'!$P$4:$P$503,_calc!$D$10))=0,"",INDEX('Inspections'!$P$4:$P$503,_calc!$D$10)))</f>
        <v/>
      </c>
    </row>
    <row r="40">
      <c r="B40" s="51" t="n">
        <v>8</v>
      </c>
      <c r="C40" s="52">
        <f>IF(_calc!$D$11="","",INDEX('Inspections'!$C$4:$C$503,_calc!$D$11)&amp;" – "&amp;INDEX('Inspections'!$A$4:$A$503,_calc!$D$11))</f>
        <v/>
      </c>
      <c r="D40" s="53">
        <f>IF(_calc!$C$11="","",INT(_calc!$C$11))</f>
        <v/>
      </c>
      <c r="E40" s="54">
        <f>IF(_calc!$C$11="","",INT(_calc!$C$11)-TODAY())</f>
        <v/>
      </c>
      <c r="F40" s="39">
        <f>IF(E40="","",IF(E40&lt;0,"Overdue",IF(E40&lt;=30,"Due ≤30 days",IF(E40&lt;=90,"Due ≤90 days","OK"))))</f>
        <v/>
      </c>
      <c r="G40" s="52">
        <f>IF(_calc!$D$11="","",IF(LEN(INDEX('Inspections'!$P$4:$P$503,_calc!$D$11))=0,"",INDEX('Inspections'!$P$4:$P$503,_calc!$D$11)))</f>
        <v/>
      </c>
    </row>
    <row r="41">
      <c r="B41" s="51" t="n">
        <v>9</v>
      </c>
      <c r="C41" s="52">
        <f>IF(_calc!$D$12="","",INDEX('Inspections'!$C$4:$C$503,_calc!$D$12)&amp;" – "&amp;INDEX('Inspections'!$A$4:$A$503,_calc!$D$12))</f>
        <v/>
      </c>
      <c r="D41" s="53">
        <f>IF(_calc!$C$12="","",INT(_calc!$C$12))</f>
        <v/>
      </c>
      <c r="E41" s="54">
        <f>IF(_calc!$C$12="","",INT(_calc!$C$12)-TODAY())</f>
        <v/>
      </c>
      <c r="F41" s="39">
        <f>IF(E41="","",IF(E41&lt;0,"Overdue",IF(E41&lt;=30,"Due ≤30 days",IF(E41&lt;=90,"Due ≤90 days","OK"))))</f>
        <v/>
      </c>
      <c r="G41" s="52">
        <f>IF(_calc!$D$12="","",IF(LEN(INDEX('Inspections'!$P$4:$P$503,_calc!$D$12))=0,"",INDEX('Inspections'!$P$4:$P$503,_calc!$D$12)))</f>
        <v/>
      </c>
    </row>
    <row r="42">
      <c r="B42" s="51" t="n">
        <v>10</v>
      </c>
      <c r="C42" s="52">
        <f>IF(_calc!$D$13="","",INDEX('Inspections'!$C$4:$C$503,_calc!$D$13)&amp;" – "&amp;INDEX('Inspections'!$A$4:$A$503,_calc!$D$13))</f>
        <v/>
      </c>
      <c r="D42" s="53">
        <f>IF(_calc!$C$13="","",INT(_calc!$C$13))</f>
        <v/>
      </c>
      <c r="E42" s="54">
        <f>IF(_calc!$C$13="","",INT(_calc!$C$13)-TODAY())</f>
        <v/>
      </c>
      <c r="F42" s="39">
        <f>IF(E42="","",IF(E42&lt;0,"Overdue",IF(E42&lt;=30,"Due ≤30 days",IF(E42&lt;=90,"Due ≤90 days","OK"))))</f>
        <v/>
      </c>
      <c r="G42" s="52">
        <f>IF(_calc!$D$13="","",IF(LEN(INDEX('Inspections'!$P$4:$P$503,_calc!$D$13))=0,"",INDEX('Inspections'!$P$4:$P$503,_calc!$D$13)))</f>
        <v/>
      </c>
    </row>
    <row r="43">
      <c r="C43" s="3" t="inlineStr">
        <is>
          <t>Earliest dates first, including anything already overdue.</t>
        </is>
      </c>
    </row>
    <row r="45">
      <c r="C45" s="3" t="inlineStr">
        <is>
          <t>Made by ExpiryEdge · expiryedge.com</t>
        </is>
      </c>
    </row>
  </sheetData>
  <conditionalFormatting sqref="C10:D10">
    <cfRule type="expression" priority="1" dxfId="0">
      <formula>AND(ISNUMBER($D$10),$D$10&lt;$D$9)</formula>
    </cfRule>
  </conditionalFormatting>
  <conditionalFormatting sqref="C11:D11">
    <cfRule type="expression" priority="2" dxfId="1">
      <formula>AND(ISNUMBER($D$11),$D$11&gt;0)</formula>
    </cfRule>
  </conditionalFormatting>
  <conditionalFormatting sqref="C12:D12">
    <cfRule type="expression" priority="3" dxfId="1">
      <formula>AND(ISNUMBER($D$12),$D$12&gt;0)</formula>
    </cfRule>
  </conditionalFormatting>
  <conditionalFormatting sqref="C13:D13">
    <cfRule type="expression" priority="4" dxfId="1">
      <formula>AND(ISNUMBER($D$13),$D$13&gt;0)</formula>
    </cfRule>
  </conditionalFormatting>
  <conditionalFormatting sqref="C17:D17">
    <cfRule type="expression" priority="5" dxfId="0">
      <formula>AND(ISNUMBER($D$17),$D$17&gt;0)</formula>
    </cfRule>
  </conditionalFormatting>
  <conditionalFormatting sqref="C18:D18">
    <cfRule type="expression" priority="6" dxfId="1">
      <formula>AND(ISNUMBER($D$18),$D$18&gt;0)</formula>
    </cfRule>
  </conditionalFormatting>
  <conditionalFormatting sqref="D33:F42">
    <cfRule type="expression" priority="7" dxfId="1" stopIfTrue="1">
      <formula>AND(ISNUMBER($E33),$E33&lt;0)</formula>
    </cfRule>
    <cfRule type="expression" priority="8" dxfId="0" stopIfTrue="1">
      <formula>AND(ISNUMBER($E33),$E33&lt;=30)</formula>
    </cfRule>
    <cfRule type="expression" priority="9" dxfId="2" stopIfTrue="1">
      <formula>AND(ISNUMBER($E33),$E33&lt;=90)</formula>
    </cfRule>
    <cfRule type="expression" priority="10" dxfId="3" stopIfTrue="1">
      <formula>ISNUMBER($E33)</formula>
    </cfRule>
  </conditionalFormatting>
  <printOptions horizontalCentered="0"/>
  <pageMargins left="0.4" right="0.4" top="0.5" bottom="0.6" header="0.5" footer="0.5"/>
  <pageSetup orientation="portrait" paperSize="1" fitToHeight="0" fitToWidth="1"/>
  <headerFooter>
    <oddHeader/>
    <oddFooter>&amp;C&amp;"Arial"&amp;8 expiryedge.com · page &amp;P of &amp;N</oddFooter>
    <evenHeader/>
    <evenFooter/>
    <firstHeader/>
    <firstFooter/>
  </headerFooter>
</worksheet>
</file>

<file path=xl/worksheets/sheet6.xml><?xml version="1.0" encoding="utf-8"?>
<worksheet xmlns="http://schemas.openxmlformats.org/spreadsheetml/2006/main">
  <sheetPr>
    <tabColor rgb="0035584B"/>
    <outlinePr summaryBelow="1" summaryRight="1"/>
    <pageSetUpPr fitToPage="1"/>
  </sheetPr>
  <dimension ref="A1:K501"/>
  <sheetViews>
    <sheetView showGridLines="0" tabSelected="0" workbookViewId="0">
      <pane ySplit="1" topLeftCell="A2" activePane="bottomLeft" state="frozen"/>
      <selection pane="bottomLeft" activeCell="A1" sqref="A1"/>
    </sheetView>
  </sheetViews>
  <sheetFormatPr baseColWidth="8" defaultRowHeight="15"/>
  <cols>
    <col width="44" customWidth="1" min="1" max="1"/>
    <col width="13" customWidth="1" min="2" max="2"/>
    <col width="18" customWidth="1" min="3" max="3"/>
    <col width="13" customWidth="1" min="4" max="4"/>
    <col width="13" customWidth="1" min="5" max="5"/>
    <col width="60" customWidth="1" min="6" max="6"/>
    <col width="24" customWidth="1" min="7" max="7"/>
    <col width="13" customWidth="1" min="8" max="8"/>
    <col width="13" customWidth="1" min="9" max="9"/>
    <col width="13" customWidth="1" min="10" max="10"/>
    <col width="26" customWidth="1" min="11" max="11"/>
  </cols>
  <sheetData>
    <row r="1">
      <c r="A1" s="12" t="inlineStr">
        <is>
          <t>name</t>
        </is>
      </c>
      <c r="B1" s="12" t="inlineStr">
        <is>
          <t>expiry_date</t>
        </is>
      </c>
      <c r="C1" s="12" t="inlineStr">
        <is>
          <t>type</t>
        </is>
      </c>
      <c r="D1" s="12" t="inlineStr">
        <is>
          <t>start_date</t>
        </is>
      </c>
      <c r="E1" s="12" t="inlineStr">
        <is>
          <t>priority</t>
        </is>
      </c>
      <c r="F1" s="12" t="inlineStr">
        <is>
          <t>notes</t>
        </is>
      </c>
      <c r="G1" s="12" t="inlineStr">
        <is>
          <t>url</t>
        </is>
      </c>
      <c r="H1" s="12" t="inlineStr">
        <is>
          <t>value</t>
        </is>
      </c>
      <c r="I1" s="12" t="inlineStr">
        <is>
          <t>currency</t>
        </is>
      </c>
      <c r="J1" s="12" t="inlineStr">
        <is>
          <t>penalty_amount</t>
        </is>
      </c>
      <c r="K1" s="12" t="inlineStr">
        <is>
          <t>notification_email</t>
        </is>
      </c>
    </row>
    <row r="2">
      <c r="A2" s="55">
        <f>IF(_calc!$E$4="","",IF(LEN(INDEX('Inspections'!$C$4:$C$503,_calc!$E$4))=0,"",INDEX('Inspections'!$C$4:$C$503,_calc!$E$4))&amp;" – "&amp;IF(LEN(INDEX('Inspections'!$A$4:$A$503,_calc!$E$4))=0,"",INDEX('Inspections'!$A$4:$A$503,_calc!$E$4)))</f>
        <v/>
      </c>
      <c r="B2" s="55">
        <f>IF(_calc!$E$4="","",IF(ISNUMBER(INDEX('Inspections'!$H$4:$H$503,_calc!$E$4)),TEXT(INDEX('Inspections'!$H$4:$H$503,_calc!$E$4),"yyyy-mm-dd"),""))</f>
        <v/>
      </c>
      <c r="C2" s="55">
        <f>IF(_calc!$E$4="","","Inspection")</f>
        <v/>
      </c>
      <c r="D2" s="55">
        <f>IF(_calc!$E$4="","",IF(ISNUMBER(INDEX('Inspections'!$G$4:$G$503,_calc!$E$4)),TEXT(INDEX('Inspections'!$G$4:$G$503,_calc!$E$4),"yyyy-mm-dd"),""))</f>
        <v/>
      </c>
      <c r="F2" s="55">
        <f>IF(_calc!$E$4="","",TRIM(IF(LEN(IF(LEN(INDEX('Inspections'!$B$4:$B$503,_calc!$E$4))=0,"",INDEX('Inspections'!$B$4:$B$503,_calc!$E$4)))=0,"","System: "&amp;IF(LEN(INDEX('Inspections'!$B$4:$B$503,_calc!$E$4))=0,"",INDEX('Inspections'!$B$4:$B$503,_calc!$E$4))&amp;". ")&amp;IF(LEN(IF(LEN(INDEX('Inspections'!$D$4:$D$503,_calc!$E$4))=0,"",INDEX('Inspections'!$D$4:$D$503,_calc!$E$4)))=0,"","Every: "&amp;IF(LEN(INDEX('Inspections'!$D$4:$D$503,_calc!$E$4))=0,"",INDEX('Inspections'!$D$4:$D$503,_calc!$E$4))&amp;". ")&amp;IF(LEN(IF(LEN(INDEX('Inspections'!$E$4:$E$503,_calc!$E$4))=0,"",INDEX('Inspections'!$E$4:$E$503,_calc!$E$4)))=0,"","Unit: "&amp;IF(LEN(INDEX('Inspections'!$E$4:$E$503,_calc!$E$4))=0,"",INDEX('Inspections'!$E$4:$E$503,_calc!$E$4))&amp;". ")&amp;IF(LEN(IF(LEN(INDEX('Inspections'!$F$4:$F$503,_calc!$E$4))=0,"",INDEX('Inspections'!$F$4:$F$503,_calc!$E$4)))=0,"","Done by: "&amp;IF(LEN(INDEX('Inspections'!$F$4:$F$503,_calc!$E$4))=0,"",INDEX('Inspections'!$F$4:$F$503,_calc!$E$4))&amp;". ")&amp;IF(LEN(IF(LEN(INDEX('Inspections'!$M$4:$M$503,_calc!$E$4))=0,"",INDEX('Inspections'!$M$4:$M$503,_calc!$E$4)))=0,"","Source: "&amp;IF(LEN(INDEX('Inspections'!$M$4:$M$503,_calc!$E$4))=0,"",INDEX('Inspections'!$M$4:$M$503,_calc!$E$4))&amp;". ")&amp;IF(LEN(IF(LEN(INDEX('Inspections'!$N$4:$N$503,_calc!$E$4))=0,"",INDEX('Inspections'!$N$4:$N$503,_calc!$E$4)))=0,"","Owner: "&amp;IF(LEN(INDEX('Inspections'!$N$4:$N$503,_calc!$E$4))=0,"",INDEX('Inspections'!$N$4:$N$503,_calc!$E$4))&amp;". ")&amp;IF(LEN(IF(LEN(INDEX('Inspections'!$O$4:$O$503,_calc!$E$4))=0,"",INDEX('Inspections'!$O$4:$O$503,_calc!$E$4)))=0,"","Backup: "&amp;IF(LEN(INDEX('Inspections'!$O$4:$O$503,_calc!$E$4))=0,"",INDEX('Inspections'!$O$4:$O$503,_calc!$E$4))&amp;". ")&amp;IF(LEN(IF(LEN(INDEX('Inspections'!$R$4:$R$503,_calc!$E$4))=0,"",INDEX('Inspections'!$R$4:$R$503,_calc!$E$4)))=0,"",IF(LEN(INDEX('Inspections'!$R$4:$R$503,_calc!$E$4))=0,"",INDEX('Inspections'!$R$4:$R$503,_calc!$E$4)))))</f>
        <v/>
      </c>
      <c r="G2" s="55">
        <f>IF(_calc!$E$4="","",IF(LEN(INDEX('Inspections'!$Q$4:$Q$503,_calc!$E$4))=0,"",INDEX('Inspections'!$Q$4:$Q$503,_calc!$E$4)))</f>
        <v/>
      </c>
      <c r="K2" s="55">
        <f>IF(_calc!$E$4="","",IF(LEN(INDEX('Inspections'!$P$4:$P$503,_calc!$E$4))=0,"",INDEX('Inspections'!$P$4:$P$503,_calc!$E$4)))</f>
        <v/>
      </c>
    </row>
    <row r="3">
      <c r="A3" s="55">
        <f>IF(_calc!$E$5="","",IF(LEN(INDEX('Inspections'!$C$4:$C$503,_calc!$E$5))=0,"",INDEX('Inspections'!$C$4:$C$503,_calc!$E$5))&amp;" – "&amp;IF(LEN(INDEX('Inspections'!$A$4:$A$503,_calc!$E$5))=0,"",INDEX('Inspections'!$A$4:$A$503,_calc!$E$5)))</f>
        <v/>
      </c>
      <c r="B3" s="55">
        <f>IF(_calc!$E$5="","",IF(ISNUMBER(INDEX('Inspections'!$H$4:$H$503,_calc!$E$5)),TEXT(INDEX('Inspections'!$H$4:$H$503,_calc!$E$5),"yyyy-mm-dd"),""))</f>
        <v/>
      </c>
      <c r="C3" s="55">
        <f>IF(_calc!$E$5="","","Inspection")</f>
        <v/>
      </c>
      <c r="D3" s="55">
        <f>IF(_calc!$E$5="","",IF(ISNUMBER(INDEX('Inspections'!$G$4:$G$503,_calc!$E$5)),TEXT(INDEX('Inspections'!$G$4:$G$503,_calc!$E$5),"yyyy-mm-dd"),""))</f>
        <v/>
      </c>
      <c r="F3" s="55">
        <f>IF(_calc!$E$5="","",TRIM(IF(LEN(IF(LEN(INDEX('Inspections'!$B$4:$B$503,_calc!$E$5))=0,"",INDEX('Inspections'!$B$4:$B$503,_calc!$E$5)))=0,"","System: "&amp;IF(LEN(INDEX('Inspections'!$B$4:$B$503,_calc!$E$5))=0,"",INDEX('Inspections'!$B$4:$B$503,_calc!$E$5))&amp;". ")&amp;IF(LEN(IF(LEN(INDEX('Inspections'!$D$4:$D$503,_calc!$E$5))=0,"",INDEX('Inspections'!$D$4:$D$503,_calc!$E$5)))=0,"","Every: "&amp;IF(LEN(INDEX('Inspections'!$D$4:$D$503,_calc!$E$5))=0,"",INDEX('Inspections'!$D$4:$D$503,_calc!$E$5))&amp;". ")&amp;IF(LEN(IF(LEN(INDEX('Inspections'!$E$4:$E$503,_calc!$E$5))=0,"",INDEX('Inspections'!$E$4:$E$503,_calc!$E$5)))=0,"","Unit: "&amp;IF(LEN(INDEX('Inspections'!$E$4:$E$503,_calc!$E$5))=0,"",INDEX('Inspections'!$E$4:$E$503,_calc!$E$5))&amp;". ")&amp;IF(LEN(IF(LEN(INDEX('Inspections'!$F$4:$F$503,_calc!$E$5))=0,"",INDEX('Inspections'!$F$4:$F$503,_calc!$E$5)))=0,"","Done by: "&amp;IF(LEN(INDEX('Inspections'!$F$4:$F$503,_calc!$E$5))=0,"",INDEX('Inspections'!$F$4:$F$503,_calc!$E$5))&amp;". ")&amp;IF(LEN(IF(LEN(INDEX('Inspections'!$M$4:$M$503,_calc!$E$5))=0,"",INDEX('Inspections'!$M$4:$M$503,_calc!$E$5)))=0,"","Source: "&amp;IF(LEN(INDEX('Inspections'!$M$4:$M$503,_calc!$E$5))=0,"",INDEX('Inspections'!$M$4:$M$503,_calc!$E$5))&amp;". ")&amp;IF(LEN(IF(LEN(INDEX('Inspections'!$N$4:$N$503,_calc!$E$5))=0,"",INDEX('Inspections'!$N$4:$N$503,_calc!$E$5)))=0,"","Owner: "&amp;IF(LEN(INDEX('Inspections'!$N$4:$N$503,_calc!$E$5))=0,"",INDEX('Inspections'!$N$4:$N$503,_calc!$E$5))&amp;". ")&amp;IF(LEN(IF(LEN(INDEX('Inspections'!$O$4:$O$503,_calc!$E$5))=0,"",INDEX('Inspections'!$O$4:$O$503,_calc!$E$5)))=0,"","Backup: "&amp;IF(LEN(INDEX('Inspections'!$O$4:$O$503,_calc!$E$5))=0,"",INDEX('Inspections'!$O$4:$O$503,_calc!$E$5))&amp;". ")&amp;IF(LEN(IF(LEN(INDEX('Inspections'!$R$4:$R$503,_calc!$E$5))=0,"",INDEX('Inspections'!$R$4:$R$503,_calc!$E$5)))=0,"",IF(LEN(INDEX('Inspections'!$R$4:$R$503,_calc!$E$5))=0,"",INDEX('Inspections'!$R$4:$R$503,_calc!$E$5)))))</f>
        <v/>
      </c>
      <c r="G3" s="55">
        <f>IF(_calc!$E$5="","",IF(LEN(INDEX('Inspections'!$Q$4:$Q$503,_calc!$E$5))=0,"",INDEX('Inspections'!$Q$4:$Q$503,_calc!$E$5)))</f>
        <v/>
      </c>
      <c r="K3" s="55">
        <f>IF(_calc!$E$5="","",IF(LEN(INDEX('Inspections'!$P$4:$P$503,_calc!$E$5))=0,"",INDEX('Inspections'!$P$4:$P$503,_calc!$E$5)))</f>
        <v/>
      </c>
    </row>
    <row r="4">
      <c r="A4" s="55">
        <f>IF(_calc!$E$6="","",IF(LEN(INDEX('Inspections'!$C$4:$C$503,_calc!$E$6))=0,"",INDEX('Inspections'!$C$4:$C$503,_calc!$E$6))&amp;" – "&amp;IF(LEN(INDEX('Inspections'!$A$4:$A$503,_calc!$E$6))=0,"",INDEX('Inspections'!$A$4:$A$503,_calc!$E$6)))</f>
        <v/>
      </c>
      <c r="B4" s="55">
        <f>IF(_calc!$E$6="","",IF(ISNUMBER(INDEX('Inspections'!$H$4:$H$503,_calc!$E$6)),TEXT(INDEX('Inspections'!$H$4:$H$503,_calc!$E$6),"yyyy-mm-dd"),""))</f>
        <v/>
      </c>
      <c r="C4" s="55">
        <f>IF(_calc!$E$6="","","Inspection")</f>
        <v/>
      </c>
      <c r="D4" s="55">
        <f>IF(_calc!$E$6="","",IF(ISNUMBER(INDEX('Inspections'!$G$4:$G$503,_calc!$E$6)),TEXT(INDEX('Inspections'!$G$4:$G$503,_calc!$E$6),"yyyy-mm-dd"),""))</f>
        <v/>
      </c>
      <c r="F4" s="55">
        <f>IF(_calc!$E$6="","",TRIM(IF(LEN(IF(LEN(INDEX('Inspections'!$B$4:$B$503,_calc!$E$6))=0,"",INDEX('Inspections'!$B$4:$B$503,_calc!$E$6)))=0,"","System: "&amp;IF(LEN(INDEX('Inspections'!$B$4:$B$503,_calc!$E$6))=0,"",INDEX('Inspections'!$B$4:$B$503,_calc!$E$6))&amp;". ")&amp;IF(LEN(IF(LEN(INDEX('Inspections'!$D$4:$D$503,_calc!$E$6))=0,"",INDEX('Inspections'!$D$4:$D$503,_calc!$E$6)))=0,"","Every: "&amp;IF(LEN(INDEX('Inspections'!$D$4:$D$503,_calc!$E$6))=0,"",INDEX('Inspections'!$D$4:$D$503,_calc!$E$6))&amp;". ")&amp;IF(LEN(IF(LEN(INDEX('Inspections'!$E$4:$E$503,_calc!$E$6))=0,"",INDEX('Inspections'!$E$4:$E$503,_calc!$E$6)))=0,"","Unit: "&amp;IF(LEN(INDEX('Inspections'!$E$4:$E$503,_calc!$E$6))=0,"",INDEX('Inspections'!$E$4:$E$503,_calc!$E$6))&amp;". ")&amp;IF(LEN(IF(LEN(INDEX('Inspections'!$F$4:$F$503,_calc!$E$6))=0,"",INDEX('Inspections'!$F$4:$F$503,_calc!$E$6)))=0,"","Done by: "&amp;IF(LEN(INDEX('Inspections'!$F$4:$F$503,_calc!$E$6))=0,"",INDEX('Inspections'!$F$4:$F$503,_calc!$E$6))&amp;". ")&amp;IF(LEN(IF(LEN(INDEX('Inspections'!$M$4:$M$503,_calc!$E$6))=0,"",INDEX('Inspections'!$M$4:$M$503,_calc!$E$6)))=0,"","Source: "&amp;IF(LEN(INDEX('Inspections'!$M$4:$M$503,_calc!$E$6))=0,"",INDEX('Inspections'!$M$4:$M$503,_calc!$E$6))&amp;". ")&amp;IF(LEN(IF(LEN(INDEX('Inspections'!$N$4:$N$503,_calc!$E$6))=0,"",INDEX('Inspections'!$N$4:$N$503,_calc!$E$6)))=0,"","Owner: "&amp;IF(LEN(INDEX('Inspections'!$N$4:$N$503,_calc!$E$6))=0,"",INDEX('Inspections'!$N$4:$N$503,_calc!$E$6))&amp;". ")&amp;IF(LEN(IF(LEN(INDEX('Inspections'!$O$4:$O$503,_calc!$E$6))=0,"",INDEX('Inspections'!$O$4:$O$503,_calc!$E$6)))=0,"","Backup: "&amp;IF(LEN(INDEX('Inspections'!$O$4:$O$503,_calc!$E$6))=0,"",INDEX('Inspections'!$O$4:$O$503,_calc!$E$6))&amp;". ")&amp;IF(LEN(IF(LEN(INDEX('Inspections'!$R$4:$R$503,_calc!$E$6))=0,"",INDEX('Inspections'!$R$4:$R$503,_calc!$E$6)))=0,"",IF(LEN(INDEX('Inspections'!$R$4:$R$503,_calc!$E$6))=0,"",INDEX('Inspections'!$R$4:$R$503,_calc!$E$6)))))</f>
        <v/>
      </c>
      <c r="G4" s="55">
        <f>IF(_calc!$E$6="","",IF(LEN(INDEX('Inspections'!$Q$4:$Q$503,_calc!$E$6))=0,"",INDEX('Inspections'!$Q$4:$Q$503,_calc!$E$6)))</f>
        <v/>
      </c>
      <c r="K4" s="55">
        <f>IF(_calc!$E$6="","",IF(LEN(INDEX('Inspections'!$P$4:$P$503,_calc!$E$6))=0,"",INDEX('Inspections'!$P$4:$P$503,_calc!$E$6)))</f>
        <v/>
      </c>
    </row>
    <row r="5">
      <c r="A5" s="55">
        <f>IF(_calc!$E$7="","",IF(LEN(INDEX('Inspections'!$C$4:$C$503,_calc!$E$7))=0,"",INDEX('Inspections'!$C$4:$C$503,_calc!$E$7))&amp;" – "&amp;IF(LEN(INDEX('Inspections'!$A$4:$A$503,_calc!$E$7))=0,"",INDEX('Inspections'!$A$4:$A$503,_calc!$E$7)))</f>
        <v/>
      </c>
      <c r="B5" s="55">
        <f>IF(_calc!$E$7="","",IF(ISNUMBER(INDEX('Inspections'!$H$4:$H$503,_calc!$E$7)),TEXT(INDEX('Inspections'!$H$4:$H$503,_calc!$E$7),"yyyy-mm-dd"),""))</f>
        <v/>
      </c>
      <c r="C5" s="55">
        <f>IF(_calc!$E$7="","","Inspection")</f>
        <v/>
      </c>
      <c r="D5" s="55">
        <f>IF(_calc!$E$7="","",IF(ISNUMBER(INDEX('Inspections'!$G$4:$G$503,_calc!$E$7)),TEXT(INDEX('Inspections'!$G$4:$G$503,_calc!$E$7),"yyyy-mm-dd"),""))</f>
        <v/>
      </c>
      <c r="F5" s="55">
        <f>IF(_calc!$E$7="","",TRIM(IF(LEN(IF(LEN(INDEX('Inspections'!$B$4:$B$503,_calc!$E$7))=0,"",INDEX('Inspections'!$B$4:$B$503,_calc!$E$7)))=0,"","System: "&amp;IF(LEN(INDEX('Inspections'!$B$4:$B$503,_calc!$E$7))=0,"",INDEX('Inspections'!$B$4:$B$503,_calc!$E$7))&amp;". ")&amp;IF(LEN(IF(LEN(INDEX('Inspections'!$D$4:$D$503,_calc!$E$7))=0,"",INDEX('Inspections'!$D$4:$D$503,_calc!$E$7)))=0,"","Every: "&amp;IF(LEN(INDEX('Inspections'!$D$4:$D$503,_calc!$E$7))=0,"",INDEX('Inspections'!$D$4:$D$503,_calc!$E$7))&amp;". ")&amp;IF(LEN(IF(LEN(INDEX('Inspections'!$E$4:$E$503,_calc!$E$7))=0,"",INDEX('Inspections'!$E$4:$E$503,_calc!$E$7)))=0,"","Unit: "&amp;IF(LEN(INDEX('Inspections'!$E$4:$E$503,_calc!$E$7))=0,"",INDEX('Inspections'!$E$4:$E$503,_calc!$E$7))&amp;". ")&amp;IF(LEN(IF(LEN(INDEX('Inspections'!$F$4:$F$503,_calc!$E$7))=0,"",INDEX('Inspections'!$F$4:$F$503,_calc!$E$7)))=0,"","Done by: "&amp;IF(LEN(INDEX('Inspections'!$F$4:$F$503,_calc!$E$7))=0,"",INDEX('Inspections'!$F$4:$F$503,_calc!$E$7))&amp;". ")&amp;IF(LEN(IF(LEN(INDEX('Inspections'!$M$4:$M$503,_calc!$E$7))=0,"",INDEX('Inspections'!$M$4:$M$503,_calc!$E$7)))=0,"","Source: "&amp;IF(LEN(INDEX('Inspections'!$M$4:$M$503,_calc!$E$7))=0,"",INDEX('Inspections'!$M$4:$M$503,_calc!$E$7))&amp;". ")&amp;IF(LEN(IF(LEN(INDEX('Inspections'!$N$4:$N$503,_calc!$E$7))=0,"",INDEX('Inspections'!$N$4:$N$503,_calc!$E$7)))=0,"","Owner: "&amp;IF(LEN(INDEX('Inspections'!$N$4:$N$503,_calc!$E$7))=0,"",INDEX('Inspections'!$N$4:$N$503,_calc!$E$7))&amp;". ")&amp;IF(LEN(IF(LEN(INDEX('Inspections'!$O$4:$O$503,_calc!$E$7))=0,"",INDEX('Inspections'!$O$4:$O$503,_calc!$E$7)))=0,"","Backup: "&amp;IF(LEN(INDEX('Inspections'!$O$4:$O$503,_calc!$E$7))=0,"",INDEX('Inspections'!$O$4:$O$503,_calc!$E$7))&amp;". ")&amp;IF(LEN(IF(LEN(INDEX('Inspections'!$R$4:$R$503,_calc!$E$7))=0,"",INDEX('Inspections'!$R$4:$R$503,_calc!$E$7)))=0,"",IF(LEN(INDEX('Inspections'!$R$4:$R$503,_calc!$E$7))=0,"",INDEX('Inspections'!$R$4:$R$503,_calc!$E$7)))))</f>
        <v/>
      </c>
      <c r="G5" s="55">
        <f>IF(_calc!$E$7="","",IF(LEN(INDEX('Inspections'!$Q$4:$Q$503,_calc!$E$7))=0,"",INDEX('Inspections'!$Q$4:$Q$503,_calc!$E$7)))</f>
        <v/>
      </c>
      <c r="K5" s="55">
        <f>IF(_calc!$E$7="","",IF(LEN(INDEX('Inspections'!$P$4:$P$503,_calc!$E$7))=0,"",INDEX('Inspections'!$P$4:$P$503,_calc!$E$7)))</f>
        <v/>
      </c>
    </row>
    <row r="6">
      <c r="A6" s="55">
        <f>IF(_calc!$E$8="","",IF(LEN(INDEX('Inspections'!$C$4:$C$503,_calc!$E$8))=0,"",INDEX('Inspections'!$C$4:$C$503,_calc!$E$8))&amp;" – "&amp;IF(LEN(INDEX('Inspections'!$A$4:$A$503,_calc!$E$8))=0,"",INDEX('Inspections'!$A$4:$A$503,_calc!$E$8)))</f>
        <v/>
      </c>
      <c r="B6" s="55">
        <f>IF(_calc!$E$8="","",IF(ISNUMBER(INDEX('Inspections'!$H$4:$H$503,_calc!$E$8)),TEXT(INDEX('Inspections'!$H$4:$H$503,_calc!$E$8),"yyyy-mm-dd"),""))</f>
        <v/>
      </c>
      <c r="C6" s="55">
        <f>IF(_calc!$E$8="","","Inspection")</f>
        <v/>
      </c>
      <c r="D6" s="55">
        <f>IF(_calc!$E$8="","",IF(ISNUMBER(INDEX('Inspections'!$G$4:$G$503,_calc!$E$8)),TEXT(INDEX('Inspections'!$G$4:$G$503,_calc!$E$8),"yyyy-mm-dd"),""))</f>
        <v/>
      </c>
      <c r="F6" s="55">
        <f>IF(_calc!$E$8="","",TRIM(IF(LEN(IF(LEN(INDEX('Inspections'!$B$4:$B$503,_calc!$E$8))=0,"",INDEX('Inspections'!$B$4:$B$503,_calc!$E$8)))=0,"","System: "&amp;IF(LEN(INDEX('Inspections'!$B$4:$B$503,_calc!$E$8))=0,"",INDEX('Inspections'!$B$4:$B$503,_calc!$E$8))&amp;". ")&amp;IF(LEN(IF(LEN(INDEX('Inspections'!$D$4:$D$503,_calc!$E$8))=0,"",INDEX('Inspections'!$D$4:$D$503,_calc!$E$8)))=0,"","Every: "&amp;IF(LEN(INDEX('Inspections'!$D$4:$D$503,_calc!$E$8))=0,"",INDEX('Inspections'!$D$4:$D$503,_calc!$E$8))&amp;". ")&amp;IF(LEN(IF(LEN(INDEX('Inspections'!$E$4:$E$503,_calc!$E$8))=0,"",INDEX('Inspections'!$E$4:$E$503,_calc!$E$8)))=0,"","Unit: "&amp;IF(LEN(INDEX('Inspections'!$E$4:$E$503,_calc!$E$8))=0,"",INDEX('Inspections'!$E$4:$E$503,_calc!$E$8))&amp;". ")&amp;IF(LEN(IF(LEN(INDEX('Inspections'!$F$4:$F$503,_calc!$E$8))=0,"",INDEX('Inspections'!$F$4:$F$503,_calc!$E$8)))=0,"","Done by: "&amp;IF(LEN(INDEX('Inspections'!$F$4:$F$503,_calc!$E$8))=0,"",INDEX('Inspections'!$F$4:$F$503,_calc!$E$8))&amp;". ")&amp;IF(LEN(IF(LEN(INDEX('Inspections'!$M$4:$M$503,_calc!$E$8))=0,"",INDEX('Inspections'!$M$4:$M$503,_calc!$E$8)))=0,"","Source: "&amp;IF(LEN(INDEX('Inspections'!$M$4:$M$503,_calc!$E$8))=0,"",INDEX('Inspections'!$M$4:$M$503,_calc!$E$8))&amp;". ")&amp;IF(LEN(IF(LEN(INDEX('Inspections'!$N$4:$N$503,_calc!$E$8))=0,"",INDEX('Inspections'!$N$4:$N$503,_calc!$E$8)))=0,"","Owner: "&amp;IF(LEN(INDEX('Inspections'!$N$4:$N$503,_calc!$E$8))=0,"",INDEX('Inspections'!$N$4:$N$503,_calc!$E$8))&amp;". ")&amp;IF(LEN(IF(LEN(INDEX('Inspections'!$O$4:$O$503,_calc!$E$8))=0,"",INDEX('Inspections'!$O$4:$O$503,_calc!$E$8)))=0,"","Backup: "&amp;IF(LEN(INDEX('Inspections'!$O$4:$O$503,_calc!$E$8))=0,"",INDEX('Inspections'!$O$4:$O$503,_calc!$E$8))&amp;". ")&amp;IF(LEN(IF(LEN(INDEX('Inspections'!$R$4:$R$503,_calc!$E$8))=0,"",INDEX('Inspections'!$R$4:$R$503,_calc!$E$8)))=0,"",IF(LEN(INDEX('Inspections'!$R$4:$R$503,_calc!$E$8))=0,"",INDEX('Inspections'!$R$4:$R$503,_calc!$E$8)))))</f>
        <v/>
      </c>
      <c r="G6" s="55">
        <f>IF(_calc!$E$8="","",IF(LEN(INDEX('Inspections'!$Q$4:$Q$503,_calc!$E$8))=0,"",INDEX('Inspections'!$Q$4:$Q$503,_calc!$E$8)))</f>
        <v/>
      </c>
      <c r="K6" s="55">
        <f>IF(_calc!$E$8="","",IF(LEN(INDEX('Inspections'!$P$4:$P$503,_calc!$E$8))=0,"",INDEX('Inspections'!$P$4:$P$503,_calc!$E$8)))</f>
        <v/>
      </c>
    </row>
    <row r="7">
      <c r="A7" s="55">
        <f>IF(_calc!$E$9="","",IF(LEN(INDEX('Inspections'!$C$4:$C$503,_calc!$E$9))=0,"",INDEX('Inspections'!$C$4:$C$503,_calc!$E$9))&amp;" – "&amp;IF(LEN(INDEX('Inspections'!$A$4:$A$503,_calc!$E$9))=0,"",INDEX('Inspections'!$A$4:$A$503,_calc!$E$9)))</f>
        <v/>
      </c>
      <c r="B7" s="55">
        <f>IF(_calc!$E$9="","",IF(ISNUMBER(INDEX('Inspections'!$H$4:$H$503,_calc!$E$9)),TEXT(INDEX('Inspections'!$H$4:$H$503,_calc!$E$9),"yyyy-mm-dd"),""))</f>
        <v/>
      </c>
      <c r="C7" s="55">
        <f>IF(_calc!$E$9="","","Inspection")</f>
        <v/>
      </c>
      <c r="D7" s="55">
        <f>IF(_calc!$E$9="","",IF(ISNUMBER(INDEX('Inspections'!$G$4:$G$503,_calc!$E$9)),TEXT(INDEX('Inspections'!$G$4:$G$503,_calc!$E$9),"yyyy-mm-dd"),""))</f>
        <v/>
      </c>
      <c r="F7" s="55">
        <f>IF(_calc!$E$9="","",TRIM(IF(LEN(IF(LEN(INDEX('Inspections'!$B$4:$B$503,_calc!$E$9))=0,"",INDEX('Inspections'!$B$4:$B$503,_calc!$E$9)))=0,"","System: "&amp;IF(LEN(INDEX('Inspections'!$B$4:$B$503,_calc!$E$9))=0,"",INDEX('Inspections'!$B$4:$B$503,_calc!$E$9))&amp;". ")&amp;IF(LEN(IF(LEN(INDEX('Inspections'!$D$4:$D$503,_calc!$E$9))=0,"",INDEX('Inspections'!$D$4:$D$503,_calc!$E$9)))=0,"","Every: "&amp;IF(LEN(INDEX('Inspections'!$D$4:$D$503,_calc!$E$9))=0,"",INDEX('Inspections'!$D$4:$D$503,_calc!$E$9))&amp;". ")&amp;IF(LEN(IF(LEN(INDEX('Inspections'!$E$4:$E$503,_calc!$E$9))=0,"",INDEX('Inspections'!$E$4:$E$503,_calc!$E$9)))=0,"","Unit: "&amp;IF(LEN(INDEX('Inspections'!$E$4:$E$503,_calc!$E$9))=0,"",INDEX('Inspections'!$E$4:$E$503,_calc!$E$9))&amp;". ")&amp;IF(LEN(IF(LEN(INDEX('Inspections'!$F$4:$F$503,_calc!$E$9))=0,"",INDEX('Inspections'!$F$4:$F$503,_calc!$E$9)))=0,"","Done by: "&amp;IF(LEN(INDEX('Inspections'!$F$4:$F$503,_calc!$E$9))=0,"",INDEX('Inspections'!$F$4:$F$503,_calc!$E$9))&amp;". ")&amp;IF(LEN(IF(LEN(INDEX('Inspections'!$M$4:$M$503,_calc!$E$9))=0,"",INDEX('Inspections'!$M$4:$M$503,_calc!$E$9)))=0,"","Source: "&amp;IF(LEN(INDEX('Inspections'!$M$4:$M$503,_calc!$E$9))=0,"",INDEX('Inspections'!$M$4:$M$503,_calc!$E$9))&amp;". ")&amp;IF(LEN(IF(LEN(INDEX('Inspections'!$N$4:$N$503,_calc!$E$9))=0,"",INDEX('Inspections'!$N$4:$N$503,_calc!$E$9)))=0,"","Owner: "&amp;IF(LEN(INDEX('Inspections'!$N$4:$N$503,_calc!$E$9))=0,"",INDEX('Inspections'!$N$4:$N$503,_calc!$E$9))&amp;". ")&amp;IF(LEN(IF(LEN(INDEX('Inspections'!$O$4:$O$503,_calc!$E$9))=0,"",INDEX('Inspections'!$O$4:$O$503,_calc!$E$9)))=0,"","Backup: "&amp;IF(LEN(INDEX('Inspections'!$O$4:$O$503,_calc!$E$9))=0,"",INDEX('Inspections'!$O$4:$O$503,_calc!$E$9))&amp;". ")&amp;IF(LEN(IF(LEN(INDEX('Inspections'!$R$4:$R$503,_calc!$E$9))=0,"",INDEX('Inspections'!$R$4:$R$503,_calc!$E$9)))=0,"",IF(LEN(INDEX('Inspections'!$R$4:$R$503,_calc!$E$9))=0,"",INDEX('Inspections'!$R$4:$R$503,_calc!$E$9)))))</f>
        <v/>
      </c>
      <c r="G7" s="55">
        <f>IF(_calc!$E$9="","",IF(LEN(INDEX('Inspections'!$Q$4:$Q$503,_calc!$E$9))=0,"",INDEX('Inspections'!$Q$4:$Q$503,_calc!$E$9)))</f>
        <v/>
      </c>
      <c r="K7" s="55">
        <f>IF(_calc!$E$9="","",IF(LEN(INDEX('Inspections'!$P$4:$P$503,_calc!$E$9))=0,"",INDEX('Inspections'!$P$4:$P$503,_calc!$E$9)))</f>
        <v/>
      </c>
    </row>
    <row r="8">
      <c r="A8" s="55">
        <f>IF(_calc!$E$10="","",IF(LEN(INDEX('Inspections'!$C$4:$C$503,_calc!$E$10))=0,"",INDEX('Inspections'!$C$4:$C$503,_calc!$E$10))&amp;" – "&amp;IF(LEN(INDEX('Inspections'!$A$4:$A$503,_calc!$E$10))=0,"",INDEX('Inspections'!$A$4:$A$503,_calc!$E$10)))</f>
        <v/>
      </c>
      <c r="B8" s="55">
        <f>IF(_calc!$E$10="","",IF(ISNUMBER(INDEX('Inspections'!$H$4:$H$503,_calc!$E$10)),TEXT(INDEX('Inspections'!$H$4:$H$503,_calc!$E$10),"yyyy-mm-dd"),""))</f>
        <v/>
      </c>
      <c r="C8" s="55">
        <f>IF(_calc!$E$10="","","Inspection")</f>
        <v/>
      </c>
      <c r="D8" s="55">
        <f>IF(_calc!$E$10="","",IF(ISNUMBER(INDEX('Inspections'!$G$4:$G$503,_calc!$E$10)),TEXT(INDEX('Inspections'!$G$4:$G$503,_calc!$E$10),"yyyy-mm-dd"),""))</f>
        <v/>
      </c>
      <c r="F8" s="55">
        <f>IF(_calc!$E$10="","",TRIM(IF(LEN(IF(LEN(INDEX('Inspections'!$B$4:$B$503,_calc!$E$10))=0,"",INDEX('Inspections'!$B$4:$B$503,_calc!$E$10)))=0,"","System: "&amp;IF(LEN(INDEX('Inspections'!$B$4:$B$503,_calc!$E$10))=0,"",INDEX('Inspections'!$B$4:$B$503,_calc!$E$10))&amp;". ")&amp;IF(LEN(IF(LEN(INDEX('Inspections'!$D$4:$D$503,_calc!$E$10))=0,"",INDEX('Inspections'!$D$4:$D$503,_calc!$E$10)))=0,"","Every: "&amp;IF(LEN(INDEX('Inspections'!$D$4:$D$503,_calc!$E$10))=0,"",INDEX('Inspections'!$D$4:$D$503,_calc!$E$10))&amp;". ")&amp;IF(LEN(IF(LEN(INDEX('Inspections'!$E$4:$E$503,_calc!$E$10))=0,"",INDEX('Inspections'!$E$4:$E$503,_calc!$E$10)))=0,"","Unit: "&amp;IF(LEN(INDEX('Inspections'!$E$4:$E$503,_calc!$E$10))=0,"",INDEX('Inspections'!$E$4:$E$503,_calc!$E$10))&amp;". ")&amp;IF(LEN(IF(LEN(INDEX('Inspections'!$F$4:$F$503,_calc!$E$10))=0,"",INDEX('Inspections'!$F$4:$F$503,_calc!$E$10)))=0,"","Done by: "&amp;IF(LEN(INDEX('Inspections'!$F$4:$F$503,_calc!$E$10))=0,"",INDEX('Inspections'!$F$4:$F$503,_calc!$E$10))&amp;". ")&amp;IF(LEN(IF(LEN(INDEX('Inspections'!$M$4:$M$503,_calc!$E$10))=0,"",INDEX('Inspections'!$M$4:$M$503,_calc!$E$10)))=0,"","Source: "&amp;IF(LEN(INDEX('Inspections'!$M$4:$M$503,_calc!$E$10))=0,"",INDEX('Inspections'!$M$4:$M$503,_calc!$E$10))&amp;". ")&amp;IF(LEN(IF(LEN(INDEX('Inspections'!$N$4:$N$503,_calc!$E$10))=0,"",INDEX('Inspections'!$N$4:$N$503,_calc!$E$10)))=0,"","Owner: "&amp;IF(LEN(INDEX('Inspections'!$N$4:$N$503,_calc!$E$10))=0,"",INDEX('Inspections'!$N$4:$N$503,_calc!$E$10))&amp;". ")&amp;IF(LEN(IF(LEN(INDEX('Inspections'!$O$4:$O$503,_calc!$E$10))=0,"",INDEX('Inspections'!$O$4:$O$503,_calc!$E$10)))=0,"","Backup: "&amp;IF(LEN(INDEX('Inspections'!$O$4:$O$503,_calc!$E$10))=0,"",INDEX('Inspections'!$O$4:$O$503,_calc!$E$10))&amp;". ")&amp;IF(LEN(IF(LEN(INDEX('Inspections'!$R$4:$R$503,_calc!$E$10))=0,"",INDEX('Inspections'!$R$4:$R$503,_calc!$E$10)))=0,"",IF(LEN(INDEX('Inspections'!$R$4:$R$503,_calc!$E$10))=0,"",INDEX('Inspections'!$R$4:$R$503,_calc!$E$10)))))</f>
        <v/>
      </c>
      <c r="G8" s="55">
        <f>IF(_calc!$E$10="","",IF(LEN(INDEX('Inspections'!$Q$4:$Q$503,_calc!$E$10))=0,"",INDEX('Inspections'!$Q$4:$Q$503,_calc!$E$10)))</f>
        <v/>
      </c>
      <c r="K8" s="55">
        <f>IF(_calc!$E$10="","",IF(LEN(INDEX('Inspections'!$P$4:$P$503,_calc!$E$10))=0,"",INDEX('Inspections'!$P$4:$P$503,_calc!$E$10)))</f>
        <v/>
      </c>
    </row>
    <row r="9">
      <c r="A9" s="55">
        <f>IF(_calc!$E$11="","",IF(LEN(INDEX('Inspections'!$C$4:$C$503,_calc!$E$11))=0,"",INDEX('Inspections'!$C$4:$C$503,_calc!$E$11))&amp;" – "&amp;IF(LEN(INDEX('Inspections'!$A$4:$A$503,_calc!$E$11))=0,"",INDEX('Inspections'!$A$4:$A$503,_calc!$E$11)))</f>
        <v/>
      </c>
      <c r="B9" s="55">
        <f>IF(_calc!$E$11="","",IF(ISNUMBER(INDEX('Inspections'!$H$4:$H$503,_calc!$E$11)),TEXT(INDEX('Inspections'!$H$4:$H$503,_calc!$E$11),"yyyy-mm-dd"),""))</f>
        <v/>
      </c>
      <c r="C9" s="55">
        <f>IF(_calc!$E$11="","","Inspection")</f>
        <v/>
      </c>
      <c r="D9" s="55">
        <f>IF(_calc!$E$11="","",IF(ISNUMBER(INDEX('Inspections'!$G$4:$G$503,_calc!$E$11)),TEXT(INDEX('Inspections'!$G$4:$G$503,_calc!$E$11),"yyyy-mm-dd"),""))</f>
        <v/>
      </c>
      <c r="F9" s="55">
        <f>IF(_calc!$E$11="","",TRIM(IF(LEN(IF(LEN(INDEX('Inspections'!$B$4:$B$503,_calc!$E$11))=0,"",INDEX('Inspections'!$B$4:$B$503,_calc!$E$11)))=0,"","System: "&amp;IF(LEN(INDEX('Inspections'!$B$4:$B$503,_calc!$E$11))=0,"",INDEX('Inspections'!$B$4:$B$503,_calc!$E$11))&amp;". ")&amp;IF(LEN(IF(LEN(INDEX('Inspections'!$D$4:$D$503,_calc!$E$11))=0,"",INDEX('Inspections'!$D$4:$D$503,_calc!$E$11)))=0,"","Every: "&amp;IF(LEN(INDEX('Inspections'!$D$4:$D$503,_calc!$E$11))=0,"",INDEX('Inspections'!$D$4:$D$503,_calc!$E$11))&amp;". ")&amp;IF(LEN(IF(LEN(INDEX('Inspections'!$E$4:$E$503,_calc!$E$11))=0,"",INDEX('Inspections'!$E$4:$E$503,_calc!$E$11)))=0,"","Unit: "&amp;IF(LEN(INDEX('Inspections'!$E$4:$E$503,_calc!$E$11))=0,"",INDEX('Inspections'!$E$4:$E$503,_calc!$E$11))&amp;". ")&amp;IF(LEN(IF(LEN(INDEX('Inspections'!$F$4:$F$503,_calc!$E$11))=0,"",INDEX('Inspections'!$F$4:$F$503,_calc!$E$11)))=0,"","Done by: "&amp;IF(LEN(INDEX('Inspections'!$F$4:$F$503,_calc!$E$11))=0,"",INDEX('Inspections'!$F$4:$F$503,_calc!$E$11))&amp;". ")&amp;IF(LEN(IF(LEN(INDEX('Inspections'!$M$4:$M$503,_calc!$E$11))=0,"",INDEX('Inspections'!$M$4:$M$503,_calc!$E$11)))=0,"","Source: "&amp;IF(LEN(INDEX('Inspections'!$M$4:$M$503,_calc!$E$11))=0,"",INDEX('Inspections'!$M$4:$M$503,_calc!$E$11))&amp;". ")&amp;IF(LEN(IF(LEN(INDEX('Inspections'!$N$4:$N$503,_calc!$E$11))=0,"",INDEX('Inspections'!$N$4:$N$503,_calc!$E$11)))=0,"","Owner: "&amp;IF(LEN(INDEX('Inspections'!$N$4:$N$503,_calc!$E$11))=0,"",INDEX('Inspections'!$N$4:$N$503,_calc!$E$11))&amp;". ")&amp;IF(LEN(IF(LEN(INDEX('Inspections'!$O$4:$O$503,_calc!$E$11))=0,"",INDEX('Inspections'!$O$4:$O$503,_calc!$E$11)))=0,"","Backup: "&amp;IF(LEN(INDEX('Inspections'!$O$4:$O$503,_calc!$E$11))=0,"",INDEX('Inspections'!$O$4:$O$503,_calc!$E$11))&amp;". ")&amp;IF(LEN(IF(LEN(INDEX('Inspections'!$R$4:$R$503,_calc!$E$11))=0,"",INDEX('Inspections'!$R$4:$R$503,_calc!$E$11)))=0,"",IF(LEN(INDEX('Inspections'!$R$4:$R$503,_calc!$E$11))=0,"",INDEX('Inspections'!$R$4:$R$503,_calc!$E$11)))))</f>
        <v/>
      </c>
      <c r="G9" s="55">
        <f>IF(_calc!$E$11="","",IF(LEN(INDEX('Inspections'!$Q$4:$Q$503,_calc!$E$11))=0,"",INDEX('Inspections'!$Q$4:$Q$503,_calc!$E$11)))</f>
        <v/>
      </c>
      <c r="K9" s="55">
        <f>IF(_calc!$E$11="","",IF(LEN(INDEX('Inspections'!$P$4:$P$503,_calc!$E$11))=0,"",INDEX('Inspections'!$P$4:$P$503,_calc!$E$11)))</f>
        <v/>
      </c>
    </row>
    <row r="10">
      <c r="A10" s="55">
        <f>IF(_calc!$E$12="","",IF(LEN(INDEX('Inspections'!$C$4:$C$503,_calc!$E$12))=0,"",INDEX('Inspections'!$C$4:$C$503,_calc!$E$12))&amp;" – "&amp;IF(LEN(INDEX('Inspections'!$A$4:$A$503,_calc!$E$12))=0,"",INDEX('Inspections'!$A$4:$A$503,_calc!$E$12)))</f>
        <v/>
      </c>
      <c r="B10" s="55">
        <f>IF(_calc!$E$12="","",IF(ISNUMBER(INDEX('Inspections'!$H$4:$H$503,_calc!$E$12)),TEXT(INDEX('Inspections'!$H$4:$H$503,_calc!$E$12),"yyyy-mm-dd"),""))</f>
        <v/>
      </c>
      <c r="C10" s="55">
        <f>IF(_calc!$E$12="","","Inspection")</f>
        <v/>
      </c>
      <c r="D10" s="55">
        <f>IF(_calc!$E$12="","",IF(ISNUMBER(INDEX('Inspections'!$G$4:$G$503,_calc!$E$12)),TEXT(INDEX('Inspections'!$G$4:$G$503,_calc!$E$12),"yyyy-mm-dd"),""))</f>
        <v/>
      </c>
      <c r="F10" s="55">
        <f>IF(_calc!$E$12="","",TRIM(IF(LEN(IF(LEN(INDEX('Inspections'!$B$4:$B$503,_calc!$E$12))=0,"",INDEX('Inspections'!$B$4:$B$503,_calc!$E$12)))=0,"","System: "&amp;IF(LEN(INDEX('Inspections'!$B$4:$B$503,_calc!$E$12))=0,"",INDEX('Inspections'!$B$4:$B$503,_calc!$E$12))&amp;". ")&amp;IF(LEN(IF(LEN(INDEX('Inspections'!$D$4:$D$503,_calc!$E$12))=0,"",INDEX('Inspections'!$D$4:$D$503,_calc!$E$12)))=0,"","Every: "&amp;IF(LEN(INDEX('Inspections'!$D$4:$D$503,_calc!$E$12))=0,"",INDEX('Inspections'!$D$4:$D$503,_calc!$E$12))&amp;". ")&amp;IF(LEN(IF(LEN(INDEX('Inspections'!$E$4:$E$503,_calc!$E$12))=0,"",INDEX('Inspections'!$E$4:$E$503,_calc!$E$12)))=0,"","Unit: "&amp;IF(LEN(INDEX('Inspections'!$E$4:$E$503,_calc!$E$12))=0,"",INDEX('Inspections'!$E$4:$E$503,_calc!$E$12))&amp;". ")&amp;IF(LEN(IF(LEN(INDEX('Inspections'!$F$4:$F$503,_calc!$E$12))=0,"",INDEX('Inspections'!$F$4:$F$503,_calc!$E$12)))=0,"","Done by: "&amp;IF(LEN(INDEX('Inspections'!$F$4:$F$503,_calc!$E$12))=0,"",INDEX('Inspections'!$F$4:$F$503,_calc!$E$12))&amp;". ")&amp;IF(LEN(IF(LEN(INDEX('Inspections'!$M$4:$M$503,_calc!$E$12))=0,"",INDEX('Inspections'!$M$4:$M$503,_calc!$E$12)))=0,"","Source: "&amp;IF(LEN(INDEX('Inspections'!$M$4:$M$503,_calc!$E$12))=0,"",INDEX('Inspections'!$M$4:$M$503,_calc!$E$12))&amp;". ")&amp;IF(LEN(IF(LEN(INDEX('Inspections'!$N$4:$N$503,_calc!$E$12))=0,"",INDEX('Inspections'!$N$4:$N$503,_calc!$E$12)))=0,"","Owner: "&amp;IF(LEN(INDEX('Inspections'!$N$4:$N$503,_calc!$E$12))=0,"",INDEX('Inspections'!$N$4:$N$503,_calc!$E$12))&amp;". ")&amp;IF(LEN(IF(LEN(INDEX('Inspections'!$O$4:$O$503,_calc!$E$12))=0,"",INDEX('Inspections'!$O$4:$O$503,_calc!$E$12)))=0,"","Backup: "&amp;IF(LEN(INDEX('Inspections'!$O$4:$O$503,_calc!$E$12))=0,"",INDEX('Inspections'!$O$4:$O$503,_calc!$E$12))&amp;". ")&amp;IF(LEN(IF(LEN(INDEX('Inspections'!$R$4:$R$503,_calc!$E$12))=0,"",INDEX('Inspections'!$R$4:$R$503,_calc!$E$12)))=0,"",IF(LEN(INDEX('Inspections'!$R$4:$R$503,_calc!$E$12))=0,"",INDEX('Inspections'!$R$4:$R$503,_calc!$E$12)))))</f>
        <v/>
      </c>
      <c r="G10" s="55">
        <f>IF(_calc!$E$12="","",IF(LEN(INDEX('Inspections'!$Q$4:$Q$503,_calc!$E$12))=0,"",INDEX('Inspections'!$Q$4:$Q$503,_calc!$E$12)))</f>
        <v/>
      </c>
      <c r="K10" s="55">
        <f>IF(_calc!$E$12="","",IF(LEN(INDEX('Inspections'!$P$4:$P$503,_calc!$E$12))=0,"",INDEX('Inspections'!$P$4:$P$503,_calc!$E$12)))</f>
        <v/>
      </c>
    </row>
    <row r="11">
      <c r="A11" s="55">
        <f>IF(_calc!$E$13="","",IF(LEN(INDEX('Inspections'!$C$4:$C$503,_calc!$E$13))=0,"",INDEX('Inspections'!$C$4:$C$503,_calc!$E$13))&amp;" – "&amp;IF(LEN(INDEX('Inspections'!$A$4:$A$503,_calc!$E$13))=0,"",INDEX('Inspections'!$A$4:$A$503,_calc!$E$13)))</f>
        <v/>
      </c>
      <c r="B11" s="55">
        <f>IF(_calc!$E$13="","",IF(ISNUMBER(INDEX('Inspections'!$H$4:$H$503,_calc!$E$13)),TEXT(INDEX('Inspections'!$H$4:$H$503,_calc!$E$13),"yyyy-mm-dd"),""))</f>
        <v/>
      </c>
      <c r="C11" s="55">
        <f>IF(_calc!$E$13="","","Inspection")</f>
        <v/>
      </c>
      <c r="D11" s="55">
        <f>IF(_calc!$E$13="","",IF(ISNUMBER(INDEX('Inspections'!$G$4:$G$503,_calc!$E$13)),TEXT(INDEX('Inspections'!$G$4:$G$503,_calc!$E$13),"yyyy-mm-dd"),""))</f>
        <v/>
      </c>
      <c r="F11" s="55">
        <f>IF(_calc!$E$13="","",TRIM(IF(LEN(IF(LEN(INDEX('Inspections'!$B$4:$B$503,_calc!$E$13))=0,"",INDEX('Inspections'!$B$4:$B$503,_calc!$E$13)))=0,"","System: "&amp;IF(LEN(INDEX('Inspections'!$B$4:$B$503,_calc!$E$13))=0,"",INDEX('Inspections'!$B$4:$B$503,_calc!$E$13))&amp;". ")&amp;IF(LEN(IF(LEN(INDEX('Inspections'!$D$4:$D$503,_calc!$E$13))=0,"",INDEX('Inspections'!$D$4:$D$503,_calc!$E$13)))=0,"","Every: "&amp;IF(LEN(INDEX('Inspections'!$D$4:$D$503,_calc!$E$13))=0,"",INDEX('Inspections'!$D$4:$D$503,_calc!$E$13))&amp;". ")&amp;IF(LEN(IF(LEN(INDEX('Inspections'!$E$4:$E$503,_calc!$E$13))=0,"",INDEX('Inspections'!$E$4:$E$503,_calc!$E$13)))=0,"","Unit: "&amp;IF(LEN(INDEX('Inspections'!$E$4:$E$503,_calc!$E$13))=0,"",INDEX('Inspections'!$E$4:$E$503,_calc!$E$13))&amp;". ")&amp;IF(LEN(IF(LEN(INDEX('Inspections'!$F$4:$F$503,_calc!$E$13))=0,"",INDEX('Inspections'!$F$4:$F$503,_calc!$E$13)))=0,"","Done by: "&amp;IF(LEN(INDEX('Inspections'!$F$4:$F$503,_calc!$E$13))=0,"",INDEX('Inspections'!$F$4:$F$503,_calc!$E$13))&amp;". ")&amp;IF(LEN(IF(LEN(INDEX('Inspections'!$M$4:$M$503,_calc!$E$13))=0,"",INDEX('Inspections'!$M$4:$M$503,_calc!$E$13)))=0,"","Source: "&amp;IF(LEN(INDEX('Inspections'!$M$4:$M$503,_calc!$E$13))=0,"",INDEX('Inspections'!$M$4:$M$503,_calc!$E$13))&amp;". ")&amp;IF(LEN(IF(LEN(INDEX('Inspections'!$N$4:$N$503,_calc!$E$13))=0,"",INDEX('Inspections'!$N$4:$N$503,_calc!$E$13)))=0,"","Owner: "&amp;IF(LEN(INDEX('Inspections'!$N$4:$N$503,_calc!$E$13))=0,"",INDEX('Inspections'!$N$4:$N$503,_calc!$E$13))&amp;". ")&amp;IF(LEN(IF(LEN(INDEX('Inspections'!$O$4:$O$503,_calc!$E$13))=0,"",INDEX('Inspections'!$O$4:$O$503,_calc!$E$13)))=0,"","Backup: "&amp;IF(LEN(INDEX('Inspections'!$O$4:$O$503,_calc!$E$13))=0,"",INDEX('Inspections'!$O$4:$O$503,_calc!$E$13))&amp;". ")&amp;IF(LEN(IF(LEN(INDEX('Inspections'!$R$4:$R$503,_calc!$E$13))=0,"",INDEX('Inspections'!$R$4:$R$503,_calc!$E$13)))=0,"",IF(LEN(INDEX('Inspections'!$R$4:$R$503,_calc!$E$13))=0,"",INDEX('Inspections'!$R$4:$R$503,_calc!$E$13)))))</f>
        <v/>
      </c>
      <c r="G11" s="55">
        <f>IF(_calc!$E$13="","",IF(LEN(INDEX('Inspections'!$Q$4:$Q$503,_calc!$E$13))=0,"",INDEX('Inspections'!$Q$4:$Q$503,_calc!$E$13)))</f>
        <v/>
      </c>
      <c r="K11" s="55">
        <f>IF(_calc!$E$13="","",IF(LEN(INDEX('Inspections'!$P$4:$P$503,_calc!$E$13))=0,"",INDEX('Inspections'!$P$4:$P$503,_calc!$E$13)))</f>
        <v/>
      </c>
    </row>
    <row r="12">
      <c r="A12" s="55">
        <f>IF(_calc!$E$14="","",IF(LEN(INDEX('Inspections'!$C$4:$C$503,_calc!$E$14))=0,"",INDEX('Inspections'!$C$4:$C$503,_calc!$E$14))&amp;" – "&amp;IF(LEN(INDEX('Inspections'!$A$4:$A$503,_calc!$E$14))=0,"",INDEX('Inspections'!$A$4:$A$503,_calc!$E$14)))</f>
        <v/>
      </c>
      <c r="B12" s="55">
        <f>IF(_calc!$E$14="","",IF(ISNUMBER(INDEX('Inspections'!$H$4:$H$503,_calc!$E$14)),TEXT(INDEX('Inspections'!$H$4:$H$503,_calc!$E$14),"yyyy-mm-dd"),""))</f>
        <v/>
      </c>
      <c r="C12" s="55">
        <f>IF(_calc!$E$14="","","Inspection")</f>
        <v/>
      </c>
      <c r="D12" s="55">
        <f>IF(_calc!$E$14="","",IF(ISNUMBER(INDEX('Inspections'!$G$4:$G$503,_calc!$E$14)),TEXT(INDEX('Inspections'!$G$4:$G$503,_calc!$E$14),"yyyy-mm-dd"),""))</f>
        <v/>
      </c>
      <c r="F12" s="55">
        <f>IF(_calc!$E$14="","",TRIM(IF(LEN(IF(LEN(INDEX('Inspections'!$B$4:$B$503,_calc!$E$14))=0,"",INDEX('Inspections'!$B$4:$B$503,_calc!$E$14)))=0,"","System: "&amp;IF(LEN(INDEX('Inspections'!$B$4:$B$503,_calc!$E$14))=0,"",INDEX('Inspections'!$B$4:$B$503,_calc!$E$14))&amp;". ")&amp;IF(LEN(IF(LEN(INDEX('Inspections'!$D$4:$D$503,_calc!$E$14))=0,"",INDEX('Inspections'!$D$4:$D$503,_calc!$E$14)))=0,"","Every: "&amp;IF(LEN(INDEX('Inspections'!$D$4:$D$503,_calc!$E$14))=0,"",INDEX('Inspections'!$D$4:$D$503,_calc!$E$14))&amp;". ")&amp;IF(LEN(IF(LEN(INDEX('Inspections'!$E$4:$E$503,_calc!$E$14))=0,"",INDEX('Inspections'!$E$4:$E$503,_calc!$E$14)))=0,"","Unit: "&amp;IF(LEN(INDEX('Inspections'!$E$4:$E$503,_calc!$E$14))=0,"",INDEX('Inspections'!$E$4:$E$503,_calc!$E$14))&amp;". ")&amp;IF(LEN(IF(LEN(INDEX('Inspections'!$F$4:$F$503,_calc!$E$14))=0,"",INDEX('Inspections'!$F$4:$F$503,_calc!$E$14)))=0,"","Done by: "&amp;IF(LEN(INDEX('Inspections'!$F$4:$F$503,_calc!$E$14))=0,"",INDEX('Inspections'!$F$4:$F$503,_calc!$E$14))&amp;". ")&amp;IF(LEN(IF(LEN(INDEX('Inspections'!$M$4:$M$503,_calc!$E$14))=0,"",INDEX('Inspections'!$M$4:$M$503,_calc!$E$14)))=0,"","Source: "&amp;IF(LEN(INDEX('Inspections'!$M$4:$M$503,_calc!$E$14))=0,"",INDEX('Inspections'!$M$4:$M$503,_calc!$E$14))&amp;". ")&amp;IF(LEN(IF(LEN(INDEX('Inspections'!$N$4:$N$503,_calc!$E$14))=0,"",INDEX('Inspections'!$N$4:$N$503,_calc!$E$14)))=0,"","Owner: "&amp;IF(LEN(INDEX('Inspections'!$N$4:$N$503,_calc!$E$14))=0,"",INDEX('Inspections'!$N$4:$N$503,_calc!$E$14))&amp;". ")&amp;IF(LEN(IF(LEN(INDEX('Inspections'!$O$4:$O$503,_calc!$E$14))=0,"",INDEX('Inspections'!$O$4:$O$503,_calc!$E$14)))=0,"","Backup: "&amp;IF(LEN(INDEX('Inspections'!$O$4:$O$503,_calc!$E$14))=0,"",INDEX('Inspections'!$O$4:$O$503,_calc!$E$14))&amp;". ")&amp;IF(LEN(IF(LEN(INDEX('Inspections'!$R$4:$R$503,_calc!$E$14))=0,"",INDEX('Inspections'!$R$4:$R$503,_calc!$E$14)))=0,"",IF(LEN(INDEX('Inspections'!$R$4:$R$503,_calc!$E$14))=0,"",INDEX('Inspections'!$R$4:$R$503,_calc!$E$14)))))</f>
        <v/>
      </c>
      <c r="G12" s="55">
        <f>IF(_calc!$E$14="","",IF(LEN(INDEX('Inspections'!$Q$4:$Q$503,_calc!$E$14))=0,"",INDEX('Inspections'!$Q$4:$Q$503,_calc!$E$14)))</f>
        <v/>
      </c>
      <c r="K12" s="55">
        <f>IF(_calc!$E$14="","",IF(LEN(INDEX('Inspections'!$P$4:$P$503,_calc!$E$14))=0,"",INDEX('Inspections'!$P$4:$P$503,_calc!$E$14)))</f>
        <v/>
      </c>
    </row>
    <row r="13">
      <c r="A13" s="55">
        <f>IF(_calc!$E$15="","",IF(LEN(INDEX('Inspections'!$C$4:$C$503,_calc!$E$15))=0,"",INDEX('Inspections'!$C$4:$C$503,_calc!$E$15))&amp;" – "&amp;IF(LEN(INDEX('Inspections'!$A$4:$A$503,_calc!$E$15))=0,"",INDEX('Inspections'!$A$4:$A$503,_calc!$E$15)))</f>
        <v/>
      </c>
      <c r="B13" s="55">
        <f>IF(_calc!$E$15="","",IF(ISNUMBER(INDEX('Inspections'!$H$4:$H$503,_calc!$E$15)),TEXT(INDEX('Inspections'!$H$4:$H$503,_calc!$E$15),"yyyy-mm-dd"),""))</f>
        <v/>
      </c>
      <c r="C13" s="55">
        <f>IF(_calc!$E$15="","","Inspection")</f>
        <v/>
      </c>
      <c r="D13" s="55">
        <f>IF(_calc!$E$15="","",IF(ISNUMBER(INDEX('Inspections'!$G$4:$G$503,_calc!$E$15)),TEXT(INDEX('Inspections'!$G$4:$G$503,_calc!$E$15),"yyyy-mm-dd"),""))</f>
        <v/>
      </c>
      <c r="F13" s="55">
        <f>IF(_calc!$E$15="","",TRIM(IF(LEN(IF(LEN(INDEX('Inspections'!$B$4:$B$503,_calc!$E$15))=0,"",INDEX('Inspections'!$B$4:$B$503,_calc!$E$15)))=0,"","System: "&amp;IF(LEN(INDEX('Inspections'!$B$4:$B$503,_calc!$E$15))=0,"",INDEX('Inspections'!$B$4:$B$503,_calc!$E$15))&amp;". ")&amp;IF(LEN(IF(LEN(INDEX('Inspections'!$D$4:$D$503,_calc!$E$15))=0,"",INDEX('Inspections'!$D$4:$D$503,_calc!$E$15)))=0,"","Every: "&amp;IF(LEN(INDEX('Inspections'!$D$4:$D$503,_calc!$E$15))=0,"",INDEX('Inspections'!$D$4:$D$503,_calc!$E$15))&amp;". ")&amp;IF(LEN(IF(LEN(INDEX('Inspections'!$E$4:$E$503,_calc!$E$15))=0,"",INDEX('Inspections'!$E$4:$E$503,_calc!$E$15)))=0,"","Unit: "&amp;IF(LEN(INDEX('Inspections'!$E$4:$E$503,_calc!$E$15))=0,"",INDEX('Inspections'!$E$4:$E$503,_calc!$E$15))&amp;". ")&amp;IF(LEN(IF(LEN(INDEX('Inspections'!$F$4:$F$503,_calc!$E$15))=0,"",INDEX('Inspections'!$F$4:$F$503,_calc!$E$15)))=0,"","Done by: "&amp;IF(LEN(INDEX('Inspections'!$F$4:$F$503,_calc!$E$15))=0,"",INDEX('Inspections'!$F$4:$F$503,_calc!$E$15))&amp;". ")&amp;IF(LEN(IF(LEN(INDEX('Inspections'!$M$4:$M$503,_calc!$E$15))=0,"",INDEX('Inspections'!$M$4:$M$503,_calc!$E$15)))=0,"","Source: "&amp;IF(LEN(INDEX('Inspections'!$M$4:$M$503,_calc!$E$15))=0,"",INDEX('Inspections'!$M$4:$M$503,_calc!$E$15))&amp;". ")&amp;IF(LEN(IF(LEN(INDEX('Inspections'!$N$4:$N$503,_calc!$E$15))=0,"",INDEX('Inspections'!$N$4:$N$503,_calc!$E$15)))=0,"","Owner: "&amp;IF(LEN(INDEX('Inspections'!$N$4:$N$503,_calc!$E$15))=0,"",INDEX('Inspections'!$N$4:$N$503,_calc!$E$15))&amp;". ")&amp;IF(LEN(IF(LEN(INDEX('Inspections'!$O$4:$O$503,_calc!$E$15))=0,"",INDEX('Inspections'!$O$4:$O$503,_calc!$E$15)))=0,"","Backup: "&amp;IF(LEN(INDEX('Inspections'!$O$4:$O$503,_calc!$E$15))=0,"",INDEX('Inspections'!$O$4:$O$503,_calc!$E$15))&amp;". ")&amp;IF(LEN(IF(LEN(INDEX('Inspections'!$R$4:$R$503,_calc!$E$15))=0,"",INDEX('Inspections'!$R$4:$R$503,_calc!$E$15)))=0,"",IF(LEN(INDEX('Inspections'!$R$4:$R$503,_calc!$E$15))=0,"",INDEX('Inspections'!$R$4:$R$503,_calc!$E$15)))))</f>
        <v/>
      </c>
      <c r="G13" s="55">
        <f>IF(_calc!$E$15="","",IF(LEN(INDEX('Inspections'!$Q$4:$Q$503,_calc!$E$15))=0,"",INDEX('Inspections'!$Q$4:$Q$503,_calc!$E$15)))</f>
        <v/>
      </c>
      <c r="K13" s="55">
        <f>IF(_calc!$E$15="","",IF(LEN(INDEX('Inspections'!$P$4:$P$503,_calc!$E$15))=0,"",INDEX('Inspections'!$P$4:$P$503,_calc!$E$15)))</f>
        <v/>
      </c>
    </row>
    <row r="14">
      <c r="A14" s="55">
        <f>IF(_calc!$E$16="","",IF(LEN(INDEX('Inspections'!$C$4:$C$503,_calc!$E$16))=0,"",INDEX('Inspections'!$C$4:$C$503,_calc!$E$16))&amp;" – "&amp;IF(LEN(INDEX('Inspections'!$A$4:$A$503,_calc!$E$16))=0,"",INDEX('Inspections'!$A$4:$A$503,_calc!$E$16)))</f>
        <v/>
      </c>
      <c r="B14" s="55">
        <f>IF(_calc!$E$16="","",IF(ISNUMBER(INDEX('Inspections'!$H$4:$H$503,_calc!$E$16)),TEXT(INDEX('Inspections'!$H$4:$H$503,_calc!$E$16),"yyyy-mm-dd"),""))</f>
        <v/>
      </c>
      <c r="C14" s="55">
        <f>IF(_calc!$E$16="","","Inspection")</f>
        <v/>
      </c>
      <c r="D14" s="55">
        <f>IF(_calc!$E$16="","",IF(ISNUMBER(INDEX('Inspections'!$G$4:$G$503,_calc!$E$16)),TEXT(INDEX('Inspections'!$G$4:$G$503,_calc!$E$16),"yyyy-mm-dd"),""))</f>
        <v/>
      </c>
      <c r="F14" s="55">
        <f>IF(_calc!$E$16="","",TRIM(IF(LEN(IF(LEN(INDEX('Inspections'!$B$4:$B$503,_calc!$E$16))=0,"",INDEX('Inspections'!$B$4:$B$503,_calc!$E$16)))=0,"","System: "&amp;IF(LEN(INDEX('Inspections'!$B$4:$B$503,_calc!$E$16))=0,"",INDEX('Inspections'!$B$4:$B$503,_calc!$E$16))&amp;". ")&amp;IF(LEN(IF(LEN(INDEX('Inspections'!$D$4:$D$503,_calc!$E$16))=0,"",INDEX('Inspections'!$D$4:$D$503,_calc!$E$16)))=0,"","Every: "&amp;IF(LEN(INDEX('Inspections'!$D$4:$D$503,_calc!$E$16))=0,"",INDEX('Inspections'!$D$4:$D$503,_calc!$E$16))&amp;". ")&amp;IF(LEN(IF(LEN(INDEX('Inspections'!$E$4:$E$503,_calc!$E$16))=0,"",INDEX('Inspections'!$E$4:$E$503,_calc!$E$16)))=0,"","Unit: "&amp;IF(LEN(INDEX('Inspections'!$E$4:$E$503,_calc!$E$16))=0,"",INDEX('Inspections'!$E$4:$E$503,_calc!$E$16))&amp;". ")&amp;IF(LEN(IF(LEN(INDEX('Inspections'!$F$4:$F$503,_calc!$E$16))=0,"",INDEX('Inspections'!$F$4:$F$503,_calc!$E$16)))=0,"","Done by: "&amp;IF(LEN(INDEX('Inspections'!$F$4:$F$503,_calc!$E$16))=0,"",INDEX('Inspections'!$F$4:$F$503,_calc!$E$16))&amp;". ")&amp;IF(LEN(IF(LEN(INDEX('Inspections'!$M$4:$M$503,_calc!$E$16))=0,"",INDEX('Inspections'!$M$4:$M$503,_calc!$E$16)))=0,"","Source: "&amp;IF(LEN(INDEX('Inspections'!$M$4:$M$503,_calc!$E$16))=0,"",INDEX('Inspections'!$M$4:$M$503,_calc!$E$16))&amp;". ")&amp;IF(LEN(IF(LEN(INDEX('Inspections'!$N$4:$N$503,_calc!$E$16))=0,"",INDEX('Inspections'!$N$4:$N$503,_calc!$E$16)))=0,"","Owner: "&amp;IF(LEN(INDEX('Inspections'!$N$4:$N$503,_calc!$E$16))=0,"",INDEX('Inspections'!$N$4:$N$503,_calc!$E$16))&amp;". ")&amp;IF(LEN(IF(LEN(INDEX('Inspections'!$O$4:$O$503,_calc!$E$16))=0,"",INDEX('Inspections'!$O$4:$O$503,_calc!$E$16)))=0,"","Backup: "&amp;IF(LEN(INDEX('Inspections'!$O$4:$O$503,_calc!$E$16))=0,"",INDEX('Inspections'!$O$4:$O$503,_calc!$E$16))&amp;". ")&amp;IF(LEN(IF(LEN(INDEX('Inspections'!$R$4:$R$503,_calc!$E$16))=0,"",INDEX('Inspections'!$R$4:$R$503,_calc!$E$16)))=0,"",IF(LEN(INDEX('Inspections'!$R$4:$R$503,_calc!$E$16))=0,"",INDEX('Inspections'!$R$4:$R$503,_calc!$E$16)))))</f>
        <v/>
      </c>
      <c r="G14" s="55">
        <f>IF(_calc!$E$16="","",IF(LEN(INDEX('Inspections'!$Q$4:$Q$503,_calc!$E$16))=0,"",INDEX('Inspections'!$Q$4:$Q$503,_calc!$E$16)))</f>
        <v/>
      </c>
      <c r="K14" s="55">
        <f>IF(_calc!$E$16="","",IF(LEN(INDEX('Inspections'!$P$4:$P$503,_calc!$E$16))=0,"",INDEX('Inspections'!$P$4:$P$503,_calc!$E$16)))</f>
        <v/>
      </c>
    </row>
    <row r="15">
      <c r="A15" s="55">
        <f>IF(_calc!$E$17="","",IF(LEN(INDEX('Inspections'!$C$4:$C$503,_calc!$E$17))=0,"",INDEX('Inspections'!$C$4:$C$503,_calc!$E$17))&amp;" – "&amp;IF(LEN(INDEX('Inspections'!$A$4:$A$503,_calc!$E$17))=0,"",INDEX('Inspections'!$A$4:$A$503,_calc!$E$17)))</f>
        <v/>
      </c>
      <c r="B15" s="55">
        <f>IF(_calc!$E$17="","",IF(ISNUMBER(INDEX('Inspections'!$H$4:$H$503,_calc!$E$17)),TEXT(INDEX('Inspections'!$H$4:$H$503,_calc!$E$17),"yyyy-mm-dd"),""))</f>
        <v/>
      </c>
      <c r="C15" s="55">
        <f>IF(_calc!$E$17="","","Inspection")</f>
        <v/>
      </c>
      <c r="D15" s="55">
        <f>IF(_calc!$E$17="","",IF(ISNUMBER(INDEX('Inspections'!$G$4:$G$503,_calc!$E$17)),TEXT(INDEX('Inspections'!$G$4:$G$503,_calc!$E$17),"yyyy-mm-dd"),""))</f>
        <v/>
      </c>
      <c r="F15" s="55">
        <f>IF(_calc!$E$17="","",TRIM(IF(LEN(IF(LEN(INDEX('Inspections'!$B$4:$B$503,_calc!$E$17))=0,"",INDEX('Inspections'!$B$4:$B$503,_calc!$E$17)))=0,"","System: "&amp;IF(LEN(INDEX('Inspections'!$B$4:$B$503,_calc!$E$17))=0,"",INDEX('Inspections'!$B$4:$B$503,_calc!$E$17))&amp;". ")&amp;IF(LEN(IF(LEN(INDEX('Inspections'!$D$4:$D$503,_calc!$E$17))=0,"",INDEX('Inspections'!$D$4:$D$503,_calc!$E$17)))=0,"","Every: "&amp;IF(LEN(INDEX('Inspections'!$D$4:$D$503,_calc!$E$17))=0,"",INDEX('Inspections'!$D$4:$D$503,_calc!$E$17))&amp;". ")&amp;IF(LEN(IF(LEN(INDEX('Inspections'!$E$4:$E$503,_calc!$E$17))=0,"",INDEX('Inspections'!$E$4:$E$503,_calc!$E$17)))=0,"","Unit: "&amp;IF(LEN(INDEX('Inspections'!$E$4:$E$503,_calc!$E$17))=0,"",INDEX('Inspections'!$E$4:$E$503,_calc!$E$17))&amp;". ")&amp;IF(LEN(IF(LEN(INDEX('Inspections'!$F$4:$F$503,_calc!$E$17))=0,"",INDEX('Inspections'!$F$4:$F$503,_calc!$E$17)))=0,"","Done by: "&amp;IF(LEN(INDEX('Inspections'!$F$4:$F$503,_calc!$E$17))=0,"",INDEX('Inspections'!$F$4:$F$503,_calc!$E$17))&amp;". ")&amp;IF(LEN(IF(LEN(INDEX('Inspections'!$M$4:$M$503,_calc!$E$17))=0,"",INDEX('Inspections'!$M$4:$M$503,_calc!$E$17)))=0,"","Source: "&amp;IF(LEN(INDEX('Inspections'!$M$4:$M$503,_calc!$E$17))=0,"",INDEX('Inspections'!$M$4:$M$503,_calc!$E$17))&amp;". ")&amp;IF(LEN(IF(LEN(INDEX('Inspections'!$N$4:$N$503,_calc!$E$17))=0,"",INDEX('Inspections'!$N$4:$N$503,_calc!$E$17)))=0,"","Owner: "&amp;IF(LEN(INDEX('Inspections'!$N$4:$N$503,_calc!$E$17))=0,"",INDEX('Inspections'!$N$4:$N$503,_calc!$E$17))&amp;". ")&amp;IF(LEN(IF(LEN(INDEX('Inspections'!$O$4:$O$503,_calc!$E$17))=0,"",INDEX('Inspections'!$O$4:$O$503,_calc!$E$17)))=0,"","Backup: "&amp;IF(LEN(INDEX('Inspections'!$O$4:$O$503,_calc!$E$17))=0,"",INDEX('Inspections'!$O$4:$O$503,_calc!$E$17))&amp;". ")&amp;IF(LEN(IF(LEN(INDEX('Inspections'!$R$4:$R$503,_calc!$E$17))=0,"",INDEX('Inspections'!$R$4:$R$503,_calc!$E$17)))=0,"",IF(LEN(INDEX('Inspections'!$R$4:$R$503,_calc!$E$17))=0,"",INDEX('Inspections'!$R$4:$R$503,_calc!$E$17)))))</f>
        <v/>
      </c>
      <c r="G15" s="55">
        <f>IF(_calc!$E$17="","",IF(LEN(INDEX('Inspections'!$Q$4:$Q$503,_calc!$E$17))=0,"",INDEX('Inspections'!$Q$4:$Q$503,_calc!$E$17)))</f>
        <v/>
      </c>
      <c r="K15" s="55">
        <f>IF(_calc!$E$17="","",IF(LEN(INDEX('Inspections'!$P$4:$P$503,_calc!$E$17))=0,"",INDEX('Inspections'!$P$4:$P$503,_calc!$E$17)))</f>
        <v/>
      </c>
    </row>
    <row r="16">
      <c r="A16" s="55">
        <f>IF(_calc!$E$18="","",IF(LEN(INDEX('Inspections'!$C$4:$C$503,_calc!$E$18))=0,"",INDEX('Inspections'!$C$4:$C$503,_calc!$E$18))&amp;" – "&amp;IF(LEN(INDEX('Inspections'!$A$4:$A$503,_calc!$E$18))=0,"",INDEX('Inspections'!$A$4:$A$503,_calc!$E$18)))</f>
        <v/>
      </c>
      <c r="B16" s="55">
        <f>IF(_calc!$E$18="","",IF(ISNUMBER(INDEX('Inspections'!$H$4:$H$503,_calc!$E$18)),TEXT(INDEX('Inspections'!$H$4:$H$503,_calc!$E$18),"yyyy-mm-dd"),""))</f>
        <v/>
      </c>
      <c r="C16" s="55">
        <f>IF(_calc!$E$18="","","Inspection")</f>
        <v/>
      </c>
      <c r="D16" s="55">
        <f>IF(_calc!$E$18="","",IF(ISNUMBER(INDEX('Inspections'!$G$4:$G$503,_calc!$E$18)),TEXT(INDEX('Inspections'!$G$4:$G$503,_calc!$E$18),"yyyy-mm-dd"),""))</f>
        <v/>
      </c>
      <c r="F16" s="55">
        <f>IF(_calc!$E$18="","",TRIM(IF(LEN(IF(LEN(INDEX('Inspections'!$B$4:$B$503,_calc!$E$18))=0,"",INDEX('Inspections'!$B$4:$B$503,_calc!$E$18)))=0,"","System: "&amp;IF(LEN(INDEX('Inspections'!$B$4:$B$503,_calc!$E$18))=0,"",INDEX('Inspections'!$B$4:$B$503,_calc!$E$18))&amp;". ")&amp;IF(LEN(IF(LEN(INDEX('Inspections'!$D$4:$D$503,_calc!$E$18))=0,"",INDEX('Inspections'!$D$4:$D$503,_calc!$E$18)))=0,"","Every: "&amp;IF(LEN(INDEX('Inspections'!$D$4:$D$503,_calc!$E$18))=0,"",INDEX('Inspections'!$D$4:$D$503,_calc!$E$18))&amp;". ")&amp;IF(LEN(IF(LEN(INDEX('Inspections'!$E$4:$E$503,_calc!$E$18))=0,"",INDEX('Inspections'!$E$4:$E$503,_calc!$E$18)))=0,"","Unit: "&amp;IF(LEN(INDEX('Inspections'!$E$4:$E$503,_calc!$E$18))=0,"",INDEX('Inspections'!$E$4:$E$503,_calc!$E$18))&amp;". ")&amp;IF(LEN(IF(LEN(INDEX('Inspections'!$F$4:$F$503,_calc!$E$18))=0,"",INDEX('Inspections'!$F$4:$F$503,_calc!$E$18)))=0,"","Done by: "&amp;IF(LEN(INDEX('Inspections'!$F$4:$F$503,_calc!$E$18))=0,"",INDEX('Inspections'!$F$4:$F$503,_calc!$E$18))&amp;". ")&amp;IF(LEN(IF(LEN(INDEX('Inspections'!$M$4:$M$503,_calc!$E$18))=0,"",INDEX('Inspections'!$M$4:$M$503,_calc!$E$18)))=0,"","Source: "&amp;IF(LEN(INDEX('Inspections'!$M$4:$M$503,_calc!$E$18))=0,"",INDEX('Inspections'!$M$4:$M$503,_calc!$E$18))&amp;". ")&amp;IF(LEN(IF(LEN(INDEX('Inspections'!$N$4:$N$503,_calc!$E$18))=0,"",INDEX('Inspections'!$N$4:$N$503,_calc!$E$18)))=0,"","Owner: "&amp;IF(LEN(INDEX('Inspections'!$N$4:$N$503,_calc!$E$18))=0,"",INDEX('Inspections'!$N$4:$N$503,_calc!$E$18))&amp;". ")&amp;IF(LEN(IF(LEN(INDEX('Inspections'!$O$4:$O$503,_calc!$E$18))=0,"",INDEX('Inspections'!$O$4:$O$503,_calc!$E$18)))=0,"","Backup: "&amp;IF(LEN(INDEX('Inspections'!$O$4:$O$503,_calc!$E$18))=0,"",INDEX('Inspections'!$O$4:$O$503,_calc!$E$18))&amp;". ")&amp;IF(LEN(IF(LEN(INDEX('Inspections'!$R$4:$R$503,_calc!$E$18))=0,"",INDEX('Inspections'!$R$4:$R$503,_calc!$E$18)))=0,"",IF(LEN(INDEX('Inspections'!$R$4:$R$503,_calc!$E$18))=0,"",INDEX('Inspections'!$R$4:$R$503,_calc!$E$18)))))</f>
        <v/>
      </c>
      <c r="G16" s="55">
        <f>IF(_calc!$E$18="","",IF(LEN(INDEX('Inspections'!$Q$4:$Q$503,_calc!$E$18))=0,"",INDEX('Inspections'!$Q$4:$Q$503,_calc!$E$18)))</f>
        <v/>
      </c>
      <c r="K16" s="55">
        <f>IF(_calc!$E$18="","",IF(LEN(INDEX('Inspections'!$P$4:$P$503,_calc!$E$18))=0,"",INDEX('Inspections'!$P$4:$P$503,_calc!$E$18)))</f>
        <v/>
      </c>
    </row>
    <row r="17">
      <c r="A17" s="55">
        <f>IF(_calc!$E$19="","",IF(LEN(INDEX('Inspections'!$C$4:$C$503,_calc!$E$19))=0,"",INDEX('Inspections'!$C$4:$C$503,_calc!$E$19))&amp;" – "&amp;IF(LEN(INDEX('Inspections'!$A$4:$A$503,_calc!$E$19))=0,"",INDEX('Inspections'!$A$4:$A$503,_calc!$E$19)))</f>
        <v/>
      </c>
      <c r="B17" s="55">
        <f>IF(_calc!$E$19="","",IF(ISNUMBER(INDEX('Inspections'!$H$4:$H$503,_calc!$E$19)),TEXT(INDEX('Inspections'!$H$4:$H$503,_calc!$E$19),"yyyy-mm-dd"),""))</f>
        <v/>
      </c>
      <c r="C17" s="55">
        <f>IF(_calc!$E$19="","","Inspection")</f>
        <v/>
      </c>
      <c r="D17" s="55">
        <f>IF(_calc!$E$19="","",IF(ISNUMBER(INDEX('Inspections'!$G$4:$G$503,_calc!$E$19)),TEXT(INDEX('Inspections'!$G$4:$G$503,_calc!$E$19),"yyyy-mm-dd"),""))</f>
        <v/>
      </c>
      <c r="F17" s="55">
        <f>IF(_calc!$E$19="","",TRIM(IF(LEN(IF(LEN(INDEX('Inspections'!$B$4:$B$503,_calc!$E$19))=0,"",INDEX('Inspections'!$B$4:$B$503,_calc!$E$19)))=0,"","System: "&amp;IF(LEN(INDEX('Inspections'!$B$4:$B$503,_calc!$E$19))=0,"",INDEX('Inspections'!$B$4:$B$503,_calc!$E$19))&amp;". ")&amp;IF(LEN(IF(LEN(INDEX('Inspections'!$D$4:$D$503,_calc!$E$19))=0,"",INDEX('Inspections'!$D$4:$D$503,_calc!$E$19)))=0,"","Every: "&amp;IF(LEN(INDEX('Inspections'!$D$4:$D$503,_calc!$E$19))=0,"",INDEX('Inspections'!$D$4:$D$503,_calc!$E$19))&amp;". ")&amp;IF(LEN(IF(LEN(INDEX('Inspections'!$E$4:$E$503,_calc!$E$19))=0,"",INDEX('Inspections'!$E$4:$E$503,_calc!$E$19)))=0,"","Unit: "&amp;IF(LEN(INDEX('Inspections'!$E$4:$E$503,_calc!$E$19))=0,"",INDEX('Inspections'!$E$4:$E$503,_calc!$E$19))&amp;". ")&amp;IF(LEN(IF(LEN(INDEX('Inspections'!$F$4:$F$503,_calc!$E$19))=0,"",INDEX('Inspections'!$F$4:$F$503,_calc!$E$19)))=0,"","Done by: "&amp;IF(LEN(INDEX('Inspections'!$F$4:$F$503,_calc!$E$19))=0,"",INDEX('Inspections'!$F$4:$F$503,_calc!$E$19))&amp;". ")&amp;IF(LEN(IF(LEN(INDEX('Inspections'!$M$4:$M$503,_calc!$E$19))=0,"",INDEX('Inspections'!$M$4:$M$503,_calc!$E$19)))=0,"","Source: "&amp;IF(LEN(INDEX('Inspections'!$M$4:$M$503,_calc!$E$19))=0,"",INDEX('Inspections'!$M$4:$M$503,_calc!$E$19))&amp;". ")&amp;IF(LEN(IF(LEN(INDEX('Inspections'!$N$4:$N$503,_calc!$E$19))=0,"",INDEX('Inspections'!$N$4:$N$503,_calc!$E$19)))=0,"","Owner: "&amp;IF(LEN(INDEX('Inspections'!$N$4:$N$503,_calc!$E$19))=0,"",INDEX('Inspections'!$N$4:$N$503,_calc!$E$19))&amp;". ")&amp;IF(LEN(IF(LEN(INDEX('Inspections'!$O$4:$O$503,_calc!$E$19))=0,"",INDEX('Inspections'!$O$4:$O$503,_calc!$E$19)))=0,"","Backup: "&amp;IF(LEN(INDEX('Inspections'!$O$4:$O$503,_calc!$E$19))=0,"",INDEX('Inspections'!$O$4:$O$503,_calc!$E$19))&amp;". ")&amp;IF(LEN(IF(LEN(INDEX('Inspections'!$R$4:$R$503,_calc!$E$19))=0,"",INDEX('Inspections'!$R$4:$R$503,_calc!$E$19)))=0,"",IF(LEN(INDEX('Inspections'!$R$4:$R$503,_calc!$E$19))=0,"",INDEX('Inspections'!$R$4:$R$503,_calc!$E$19)))))</f>
        <v/>
      </c>
      <c r="G17" s="55">
        <f>IF(_calc!$E$19="","",IF(LEN(INDEX('Inspections'!$Q$4:$Q$503,_calc!$E$19))=0,"",INDEX('Inspections'!$Q$4:$Q$503,_calc!$E$19)))</f>
        <v/>
      </c>
      <c r="K17" s="55">
        <f>IF(_calc!$E$19="","",IF(LEN(INDEX('Inspections'!$P$4:$P$503,_calc!$E$19))=0,"",INDEX('Inspections'!$P$4:$P$503,_calc!$E$19)))</f>
        <v/>
      </c>
    </row>
    <row r="18">
      <c r="A18" s="55">
        <f>IF(_calc!$E$20="","",IF(LEN(INDEX('Inspections'!$C$4:$C$503,_calc!$E$20))=0,"",INDEX('Inspections'!$C$4:$C$503,_calc!$E$20))&amp;" – "&amp;IF(LEN(INDEX('Inspections'!$A$4:$A$503,_calc!$E$20))=0,"",INDEX('Inspections'!$A$4:$A$503,_calc!$E$20)))</f>
        <v/>
      </c>
      <c r="B18" s="55">
        <f>IF(_calc!$E$20="","",IF(ISNUMBER(INDEX('Inspections'!$H$4:$H$503,_calc!$E$20)),TEXT(INDEX('Inspections'!$H$4:$H$503,_calc!$E$20),"yyyy-mm-dd"),""))</f>
        <v/>
      </c>
      <c r="C18" s="55">
        <f>IF(_calc!$E$20="","","Inspection")</f>
        <v/>
      </c>
      <c r="D18" s="55">
        <f>IF(_calc!$E$20="","",IF(ISNUMBER(INDEX('Inspections'!$G$4:$G$503,_calc!$E$20)),TEXT(INDEX('Inspections'!$G$4:$G$503,_calc!$E$20),"yyyy-mm-dd"),""))</f>
        <v/>
      </c>
      <c r="F18" s="55">
        <f>IF(_calc!$E$20="","",TRIM(IF(LEN(IF(LEN(INDEX('Inspections'!$B$4:$B$503,_calc!$E$20))=0,"",INDEX('Inspections'!$B$4:$B$503,_calc!$E$20)))=0,"","System: "&amp;IF(LEN(INDEX('Inspections'!$B$4:$B$503,_calc!$E$20))=0,"",INDEX('Inspections'!$B$4:$B$503,_calc!$E$20))&amp;". ")&amp;IF(LEN(IF(LEN(INDEX('Inspections'!$D$4:$D$503,_calc!$E$20))=0,"",INDEX('Inspections'!$D$4:$D$503,_calc!$E$20)))=0,"","Every: "&amp;IF(LEN(INDEX('Inspections'!$D$4:$D$503,_calc!$E$20))=0,"",INDEX('Inspections'!$D$4:$D$503,_calc!$E$20))&amp;". ")&amp;IF(LEN(IF(LEN(INDEX('Inspections'!$E$4:$E$503,_calc!$E$20))=0,"",INDEX('Inspections'!$E$4:$E$503,_calc!$E$20)))=0,"","Unit: "&amp;IF(LEN(INDEX('Inspections'!$E$4:$E$503,_calc!$E$20))=0,"",INDEX('Inspections'!$E$4:$E$503,_calc!$E$20))&amp;". ")&amp;IF(LEN(IF(LEN(INDEX('Inspections'!$F$4:$F$503,_calc!$E$20))=0,"",INDEX('Inspections'!$F$4:$F$503,_calc!$E$20)))=0,"","Done by: "&amp;IF(LEN(INDEX('Inspections'!$F$4:$F$503,_calc!$E$20))=0,"",INDEX('Inspections'!$F$4:$F$503,_calc!$E$20))&amp;". ")&amp;IF(LEN(IF(LEN(INDEX('Inspections'!$M$4:$M$503,_calc!$E$20))=0,"",INDEX('Inspections'!$M$4:$M$503,_calc!$E$20)))=0,"","Source: "&amp;IF(LEN(INDEX('Inspections'!$M$4:$M$503,_calc!$E$20))=0,"",INDEX('Inspections'!$M$4:$M$503,_calc!$E$20))&amp;". ")&amp;IF(LEN(IF(LEN(INDEX('Inspections'!$N$4:$N$503,_calc!$E$20))=0,"",INDEX('Inspections'!$N$4:$N$503,_calc!$E$20)))=0,"","Owner: "&amp;IF(LEN(INDEX('Inspections'!$N$4:$N$503,_calc!$E$20))=0,"",INDEX('Inspections'!$N$4:$N$503,_calc!$E$20))&amp;". ")&amp;IF(LEN(IF(LEN(INDEX('Inspections'!$O$4:$O$503,_calc!$E$20))=0,"",INDEX('Inspections'!$O$4:$O$503,_calc!$E$20)))=0,"","Backup: "&amp;IF(LEN(INDEX('Inspections'!$O$4:$O$503,_calc!$E$20))=0,"",INDEX('Inspections'!$O$4:$O$503,_calc!$E$20))&amp;". ")&amp;IF(LEN(IF(LEN(INDEX('Inspections'!$R$4:$R$503,_calc!$E$20))=0,"",INDEX('Inspections'!$R$4:$R$503,_calc!$E$20)))=0,"",IF(LEN(INDEX('Inspections'!$R$4:$R$503,_calc!$E$20))=0,"",INDEX('Inspections'!$R$4:$R$503,_calc!$E$20)))))</f>
        <v/>
      </c>
      <c r="G18" s="55">
        <f>IF(_calc!$E$20="","",IF(LEN(INDEX('Inspections'!$Q$4:$Q$503,_calc!$E$20))=0,"",INDEX('Inspections'!$Q$4:$Q$503,_calc!$E$20)))</f>
        <v/>
      </c>
      <c r="K18" s="55">
        <f>IF(_calc!$E$20="","",IF(LEN(INDEX('Inspections'!$P$4:$P$503,_calc!$E$20))=0,"",INDEX('Inspections'!$P$4:$P$503,_calc!$E$20)))</f>
        <v/>
      </c>
    </row>
    <row r="19">
      <c r="A19" s="55">
        <f>IF(_calc!$E$21="","",IF(LEN(INDEX('Inspections'!$C$4:$C$503,_calc!$E$21))=0,"",INDEX('Inspections'!$C$4:$C$503,_calc!$E$21))&amp;" – "&amp;IF(LEN(INDEX('Inspections'!$A$4:$A$503,_calc!$E$21))=0,"",INDEX('Inspections'!$A$4:$A$503,_calc!$E$21)))</f>
        <v/>
      </c>
      <c r="B19" s="55">
        <f>IF(_calc!$E$21="","",IF(ISNUMBER(INDEX('Inspections'!$H$4:$H$503,_calc!$E$21)),TEXT(INDEX('Inspections'!$H$4:$H$503,_calc!$E$21),"yyyy-mm-dd"),""))</f>
        <v/>
      </c>
      <c r="C19" s="55">
        <f>IF(_calc!$E$21="","","Inspection")</f>
        <v/>
      </c>
      <c r="D19" s="55">
        <f>IF(_calc!$E$21="","",IF(ISNUMBER(INDEX('Inspections'!$G$4:$G$503,_calc!$E$21)),TEXT(INDEX('Inspections'!$G$4:$G$503,_calc!$E$21),"yyyy-mm-dd"),""))</f>
        <v/>
      </c>
      <c r="F19" s="55">
        <f>IF(_calc!$E$21="","",TRIM(IF(LEN(IF(LEN(INDEX('Inspections'!$B$4:$B$503,_calc!$E$21))=0,"",INDEX('Inspections'!$B$4:$B$503,_calc!$E$21)))=0,"","System: "&amp;IF(LEN(INDEX('Inspections'!$B$4:$B$503,_calc!$E$21))=0,"",INDEX('Inspections'!$B$4:$B$503,_calc!$E$21))&amp;". ")&amp;IF(LEN(IF(LEN(INDEX('Inspections'!$D$4:$D$503,_calc!$E$21))=0,"",INDEX('Inspections'!$D$4:$D$503,_calc!$E$21)))=0,"","Every: "&amp;IF(LEN(INDEX('Inspections'!$D$4:$D$503,_calc!$E$21))=0,"",INDEX('Inspections'!$D$4:$D$503,_calc!$E$21))&amp;". ")&amp;IF(LEN(IF(LEN(INDEX('Inspections'!$E$4:$E$503,_calc!$E$21))=0,"",INDEX('Inspections'!$E$4:$E$503,_calc!$E$21)))=0,"","Unit: "&amp;IF(LEN(INDEX('Inspections'!$E$4:$E$503,_calc!$E$21))=0,"",INDEX('Inspections'!$E$4:$E$503,_calc!$E$21))&amp;". ")&amp;IF(LEN(IF(LEN(INDEX('Inspections'!$F$4:$F$503,_calc!$E$21))=0,"",INDEX('Inspections'!$F$4:$F$503,_calc!$E$21)))=0,"","Done by: "&amp;IF(LEN(INDEX('Inspections'!$F$4:$F$503,_calc!$E$21))=0,"",INDEX('Inspections'!$F$4:$F$503,_calc!$E$21))&amp;". ")&amp;IF(LEN(IF(LEN(INDEX('Inspections'!$M$4:$M$503,_calc!$E$21))=0,"",INDEX('Inspections'!$M$4:$M$503,_calc!$E$21)))=0,"","Source: "&amp;IF(LEN(INDEX('Inspections'!$M$4:$M$503,_calc!$E$21))=0,"",INDEX('Inspections'!$M$4:$M$503,_calc!$E$21))&amp;". ")&amp;IF(LEN(IF(LEN(INDEX('Inspections'!$N$4:$N$503,_calc!$E$21))=0,"",INDEX('Inspections'!$N$4:$N$503,_calc!$E$21)))=0,"","Owner: "&amp;IF(LEN(INDEX('Inspections'!$N$4:$N$503,_calc!$E$21))=0,"",INDEX('Inspections'!$N$4:$N$503,_calc!$E$21))&amp;". ")&amp;IF(LEN(IF(LEN(INDEX('Inspections'!$O$4:$O$503,_calc!$E$21))=0,"",INDEX('Inspections'!$O$4:$O$503,_calc!$E$21)))=0,"","Backup: "&amp;IF(LEN(INDEX('Inspections'!$O$4:$O$503,_calc!$E$21))=0,"",INDEX('Inspections'!$O$4:$O$503,_calc!$E$21))&amp;". ")&amp;IF(LEN(IF(LEN(INDEX('Inspections'!$R$4:$R$503,_calc!$E$21))=0,"",INDEX('Inspections'!$R$4:$R$503,_calc!$E$21)))=0,"",IF(LEN(INDEX('Inspections'!$R$4:$R$503,_calc!$E$21))=0,"",INDEX('Inspections'!$R$4:$R$503,_calc!$E$21)))))</f>
        <v/>
      </c>
      <c r="G19" s="55">
        <f>IF(_calc!$E$21="","",IF(LEN(INDEX('Inspections'!$Q$4:$Q$503,_calc!$E$21))=0,"",INDEX('Inspections'!$Q$4:$Q$503,_calc!$E$21)))</f>
        <v/>
      </c>
      <c r="K19" s="55">
        <f>IF(_calc!$E$21="","",IF(LEN(INDEX('Inspections'!$P$4:$P$503,_calc!$E$21))=0,"",INDEX('Inspections'!$P$4:$P$503,_calc!$E$21)))</f>
        <v/>
      </c>
    </row>
    <row r="20">
      <c r="A20" s="55">
        <f>IF(_calc!$E$22="","",IF(LEN(INDEX('Inspections'!$C$4:$C$503,_calc!$E$22))=0,"",INDEX('Inspections'!$C$4:$C$503,_calc!$E$22))&amp;" – "&amp;IF(LEN(INDEX('Inspections'!$A$4:$A$503,_calc!$E$22))=0,"",INDEX('Inspections'!$A$4:$A$503,_calc!$E$22)))</f>
        <v/>
      </c>
      <c r="B20" s="55">
        <f>IF(_calc!$E$22="","",IF(ISNUMBER(INDEX('Inspections'!$H$4:$H$503,_calc!$E$22)),TEXT(INDEX('Inspections'!$H$4:$H$503,_calc!$E$22),"yyyy-mm-dd"),""))</f>
        <v/>
      </c>
      <c r="C20" s="55">
        <f>IF(_calc!$E$22="","","Inspection")</f>
        <v/>
      </c>
      <c r="D20" s="55">
        <f>IF(_calc!$E$22="","",IF(ISNUMBER(INDEX('Inspections'!$G$4:$G$503,_calc!$E$22)),TEXT(INDEX('Inspections'!$G$4:$G$503,_calc!$E$22),"yyyy-mm-dd"),""))</f>
        <v/>
      </c>
      <c r="F20" s="55">
        <f>IF(_calc!$E$22="","",TRIM(IF(LEN(IF(LEN(INDEX('Inspections'!$B$4:$B$503,_calc!$E$22))=0,"",INDEX('Inspections'!$B$4:$B$503,_calc!$E$22)))=0,"","System: "&amp;IF(LEN(INDEX('Inspections'!$B$4:$B$503,_calc!$E$22))=0,"",INDEX('Inspections'!$B$4:$B$503,_calc!$E$22))&amp;". ")&amp;IF(LEN(IF(LEN(INDEX('Inspections'!$D$4:$D$503,_calc!$E$22))=0,"",INDEX('Inspections'!$D$4:$D$503,_calc!$E$22)))=0,"","Every: "&amp;IF(LEN(INDEX('Inspections'!$D$4:$D$503,_calc!$E$22))=0,"",INDEX('Inspections'!$D$4:$D$503,_calc!$E$22))&amp;". ")&amp;IF(LEN(IF(LEN(INDEX('Inspections'!$E$4:$E$503,_calc!$E$22))=0,"",INDEX('Inspections'!$E$4:$E$503,_calc!$E$22)))=0,"","Unit: "&amp;IF(LEN(INDEX('Inspections'!$E$4:$E$503,_calc!$E$22))=0,"",INDEX('Inspections'!$E$4:$E$503,_calc!$E$22))&amp;". ")&amp;IF(LEN(IF(LEN(INDEX('Inspections'!$F$4:$F$503,_calc!$E$22))=0,"",INDEX('Inspections'!$F$4:$F$503,_calc!$E$22)))=0,"","Done by: "&amp;IF(LEN(INDEX('Inspections'!$F$4:$F$503,_calc!$E$22))=0,"",INDEX('Inspections'!$F$4:$F$503,_calc!$E$22))&amp;". ")&amp;IF(LEN(IF(LEN(INDEX('Inspections'!$M$4:$M$503,_calc!$E$22))=0,"",INDEX('Inspections'!$M$4:$M$503,_calc!$E$22)))=0,"","Source: "&amp;IF(LEN(INDEX('Inspections'!$M$4:$M$503,_calc!$E$22))=0,"",INDEX('Inspections'!$M$4:$M$503,_calc!$E$22))&amp;". ")&amp;IF(LEN(IF(LEN(INDEX('Inspections'!$N$4:$N$503,_calc!$E$22))=0,"",INDEX('Inspections'!$N$4:$N$503,_calc!$E$22)))=0,"","Owner: "&amp;IF(LEN(INDEX('Inspections'!$N$4:$N$503,_calc!$E$22))=0,"",INDEX('Inspections'!$N$4:$N$503,_calc!$E$22))&amp;". ")&amp;IF(LEN(IF(LEN(INDEX('Inspections'!$O$4:$O$503,_calc!$E$22))=0,"",INDEX('Inspections'!$O$4:$O$503,_calc!$E$22)))=0,"","Backup: "&amp;IF(LEN(INDEX('Inspections'!$O$4:$O$503,_calc!$E$22))=0,"",INDEX('Inspections'!$O$4:$O$503,_calc!$E$22))&amp;". ")&amp;IF(LEN(IF(LEN(INDEX('Inspections'!$R$4:$R$503,_calc!$E$22))=0,"",INDEX('Inspections'!$R$4:$R$503,_calc!$E$22)))=0,"",IF(LEN(INDEX('Inspections'!$R$4:$R$503,_calc!$E$22))=0,"",INDEX('Inspections'!$R$4:$R$503,_calc!$E$22)))))</f>
        <v/>
      </c>
      <c r="G20" s="55">
        <f>IF(_calc!$E$22="","",IF(LEN(INDEX('Inspections'!$Q$4:$Q$503,_calc!$E$22))=0,"",INDEX('Inspections'!$Q$4:$Q$503,_calc!$E$22)))</f>
        <v/>
      </c>
      <c r="K20" s="55">
        <f>IF(_calc!$E$22="","",IF(LEN(INDEX('Inspections'!$P$4:$P$503,_calc!$E$22))=0,"",INDEX('Inspections'!$P$4:$P$503,_calc!$E$22)))</f>
        <v/>
      </c>
    </row>
    <row r="21">
      <c r="A21" s="55">
        <f>IF(_calc!$E$23="","",IF(LEN(INDEX('Inspections'!$C$4:$C$503,_calc!$E$23))=0,"",INDEX('Inspections'!$C$4:$C$503,_calc!$E$23))&amp;" – "&amp;IF(LEN(INDEX('Inspections'!$A$4:$A$503,_calc!$E$23))=0,"",INDEX('Inspections'!$A$4:$A$503,_calc!$E$23)))</f>
        <v/>
      </c>
      <c r="B21" s="55">
        <f>IF(_calc!$E$23="","",IF(ISNUMBER(INDEX('Inspections'!$H$4:$H$503,_calc!$E$23)),TEXT(INDEX('Inspections'!$H$4:$H$503,_calc!$E$23),"yyyy-mm-dd"),""))</f>
        <v/>
      </c>
      <c r="C21" s="55">
        <f>IF(_calc!$E$23="","","Inspection")</f>
        <v/>
      </c>
      <c r="D21" s="55">
        <f>IF(_calc!$E$23="","",IF(ISNUMBER(INDEX('Inspections'!$G$4:$G$503,_calc!$E$23)),TEXT(INDEX('Inspections'!$G$4:$G$503,_calc!$E$23),"yyyy-mm-dd"),""))</f>
        <v/>
      </c>
      <c r="F21" s="55">
        <f>IF(_calc!$E$23="","",TRIM(IF(LEN(IF(LEN(INDEX('Inspections'!$B$4:$B$503,_calc!$E$23))=0,"",INDEX('Inspections'!$B$4:$B$503,_calc!$E$23)))=0,"","System: "&amp;IF(LEN(INDEX('Inspections'!$B$4:$B$503,_calc!$E$23))=0,"",INDEX('Inspections'!$B$4:$B$503,_calc!$E$23))&amp;". ")&amp;IF(LEN(IF(LEN(INDEX('Inspections'!$D$4:$D$503,_calc!$E$23))=0,"",INDEX('Inspections'!$D$4:$D$503,_calc!$E$23)))=0,"","Every: "&amp;IF(LEN(INDEX('Inspections'!$D$4:$D$503,_calc!$E$23))=0,"",INDEX('Inspections'!$D$4:$D$503,_calc!$E$23))&amp;". ")&amp;IF(LEN(IF(LEN(INDEX('Inspections'!$E$4:$E$503,_calc!$E$23))=0,"",INDEX('Inspections'!$E$4:$E$503,_calc!$E$23)))=0,"","Unit: "&amp;IF(LEN(INDEX('Inspections'!$E$4:$E$503,_calc!$E$23))=0,"",INDEX('Inspections'!$E$4:$E$503,_calc!$E$23))&amp;". ")&amp;IF(LEN(IF(LEN(INDEX('Inspections'!$F$4:$F$503,_calc!$E$23))=0,"",INDEX('Inspections'!$F$4:$F$503,_calc!$E$23)))=0,"","Done by: "&amp;IF(LEN(INDEX('Inspections'!$F$4:$F$503,_calc!$E$23))=0,"",INDEX('Inspections'!$F$4:$F$503,_calc!$E$23))&amp;". ")&amp;IF(LEN(IF(LEN(INDEX('Inspections'!$M$4:$M$503,_calc!$E$23))=0,"",INDEX('Inspections'!$M$4:$M$503,_calc!$E$23)))=0,"","Source: "&amp;IF(LEN(INDEX('Inspections'!$M$4:$M$503,_calc!$E$23))=0,"",INDEX('Inspections'!$M$4:$M$503,_calc!$E$23))&amp;". ")&amp;IF(LEN(IF(LEN(INDEX('Inspections'!$N$4:$N$503,_calc!$E$23))=0,"",INDEX('Inspections'!$N$4:$N$503,_calc!$E$23)))=0,"","Owner: "&amp;IF(LEN(INDEX('Inspections'!$N$4:$N$503,_calc!$E$23))=0,"",INDEX('Inspections'!$N$4:$N$503,_calc!$E$23))&amp;". ")&amp;IF(LEN(IF(LEN(INDEX('Inspections'!$O$4:$O$503,_calc!$E$23))=0,"",INDEX('Inspections'!$O$4:$O$503,_calc!$E$23)))=0,"","Backup: "&amp;IF(LEN(INDEX('Inspections'!$O$4:$O$503,_calc!$E$23))=0,"",INDEX('Inspections'!$O$4:$O$503,_calc!$E$23))&amp;". ")&amp;IF(LEN(IF(LEN(INDEX('Inspections'!$R$4:$R$503,_calc!$E$23))=0,"",INDEX('Inspections'!$R$4:$R$503,_calc!$E$23)))=0,"",IF(LEN(INDEX('Inspections'!$R$4:$R$503,_calc!$E$23))=0,"",INDEX('Inspections'!$R$4:$R$503,_calc!$E$23)))))</f>
        <v/>
      </c>
      <c r="G21" s="55">
        <f>IF(_calc!$E$23="","",IF(LEN(INDEX('Inspections'!$Q$4:$Q$503,_calc!$E$23))=0,"",INDEX('Inspections'!$Q$4:$Q$503,_calc!$E$23)))</f>
        <v/>
      </c>
      <c r="K21" s="55">
        <f>IF(_calc!$E$23="","",IF(LEN(INDEX('Inspections'!$P$4:$P$503,_calc!$E$23))=0,"",INDEX('Inspections'!$P$4:$P$503,_calc!$E$23)))</f>
        <v/>
      </c>
    </row>
    <row r="22">
      <c r="A22" s="55">
        <f>IF(_calc!$E$24="","",IF(LEN(INDEX('Inspections'!$C$4:$C$503,_calc!$E$24))=0,"",INDEX('Inspections'!$C$4:$C$503,_calc!$E$24))&amp;" – "&amp;IF(LEN(INDEX('Inspections'!$A$4:$A$503,_calc!$E$24))=0,"",INDEX('Inspections'!$A$4:$A$503,_calc!$E$24)))</f>
        <v/>
      </c>
      <c r="B22" s="55">
        <f>IF(_calc!$E$24="","",IF(ISNUMBER(INDEX('Inspections'!$H$4:$H$503,_calc!$E$24)),TEXT(INDEX('Inspections'!$H$4:$H$503,_calc!$E$24),"yyyy-mm-dd"),""))</f>
        <v/>
      </c>
      <c r="C22" s="55">
        <f>IF(_calc!$E$24="","","Inspection")</f>
        <v/>
      </c>
      <c r="D22" s="55">
        <f>IF(_calc!$E$24="","",IF(ISNUMBER(INDEX('Inspections'!$G$4:$G$503,_calc!$E$24)),TEXT(INDEX('Inspections'!$G$4:$G$503,_calc!$E$24),"yyyy-mm-dd"),""))</f>
        <v/>
      </c>
      <c r="F22" s="55">
        <f>IF(_calc!$E$24="","",TRIM(IF(LEN(IF(LEN(INDEX('Inspections'!$B$4:$B$503,_calc!$E$24))=0,"",INDEX('Inspections'!$B$4:$B$503,_calc!$E$24)))=0,"","System: "&amp;IF(LEN(INDEX('Inspections'!$B$4:$B$503,_calc!$E$24))=0,"",INDEX('Inspections'!$B$4:$B$503,_calc!$E$24))&amp;". ")&amp;IF(LEN(IF(LEN(INDEX('Inspections'!$D$4:$D$503,_calc!$E$24))=0,"",INDEX('Inspections'!$D$4:$D$503,_calc!$E$24)))=0,"","Every: "&amp;IF(LEN(INDEX('Inspections'!$D$4:$D$503,_calc!$E$24))=0,"",INDEX('Inspections'!$D$4:$D$503,_calc!$E$24))&amp;". ")&amp;IF(LEN(IF(LEN(INDEX('Inspections'!$E$4:$E$503,_calc!$E$24))=0,"",INDEX('Inspections'!$E$4:$E$503,_calc!$E$24)))=0,"","Unit: "&amp;IF(LEN(INDEX('Inspections'!$E$4:$E$503,_calc!$E$24))=0,"",INDEX('Inspections'!$E$4:$E$503,_calc!$E$24))&amp;". ")&amp;IF(LEN(IF(LEN(INDEX('Inspections'!$F$4:$F$503,_calc!$E$24))=0,"",INDEX('Inspections'!$F$4:$F$503,_calc!$E$24)))=0,"","Done by: "&amp;IF(LEN(INDEX('Inspections'!$F$4:$F$503,_calc!$E$24))=0,"",INDEX('Inspections'!$F$4:$F$503,_calc!$E$24))&amp;". ")&amp;IF(LEN(IF(LEN(INDEX('Inspections'!$M$4:$M$503,_calc!$E$24))=0,"",INDEX('Inspections'!$M$4:$M$503,_calc!$E$24)))=0,"","Source: "&amp;IF(LEN(INDEX('Inspections'!$M$4:$M$503,_calc!$E$24))=0,"",INDEX('Inspections'!$M$4:$M$503,_calc!$E$24))&amp;". ")&amp;IF(LEN(IF(LEN(INDEX('Inspections'!$N$4:$N$503,_calc!$E$24))=0,"",INDEX('Inspections'!$N$4:$N$503,_calc!$E$24)))=0,"","Owner: "&amp;IF(LEN(INDEX('Inspections'!$N$4:$N$503,_calc!$E$24))=0,"",INDEX('Inspections'!$N$4:$N$503,_calc!$E$24))&amp;". ")&amp;IF(LEN(IF(LEN(INDEX('Inspections'!$O$4:$O$503,_calc!$E$24))=0,"",INDEX('Inspections'!$O$4:$O$503,_calc!$E$24)))=0,"","Backup: "&amp;IF(LEN(INDEX('Inspections'!$O$4:$O$503,_calc!$E$24))=0,"",INDEX('Inspections'!$O$4:$O$503,_calc!$E$24))&amp;". ")&amp;IF(LEN(IF(LEN(INDEX('Inspections'!$R$4:$R$503,_calc!$E$24))=0,"",INDEX('Inspections'!$R$4:$R$503,_calc!$E$24)))=0,"",IF(LEN(INDEX('Inspections'!$R$4:$R$503,_calc!$E$24))=0,"",INDEX('Inspections'!$R$4:$R$503,_calc!$E$24)))))</f>
        <v/>
      </c>
      <c r="G22" s="55">
        <f>IF(_calc!$E$24="","",IF(LEN(INDEX('Inspections'!$Q$4:$Q$503,_calc!$E$24))=0,"",INDEX('Inspections'!$Q$4:$Q$503,_calc!$E$24)))</f>
        <v/>
      </c>
      <c r="K22" s="55">
        <f>IF(_calc!$E$24="","",IF(LEN(INDEX('Inspections'!$P$4:$P$503,_calc!$E$24))=0,"",INDEX('Inspections'!$P$4:$P$503,_calc!$E$24)))</f>
        <v/>
      </c>
    </row>
    <row r="23">
      <c r="A23" s="55">
        <f>IF(_calc!$E$25="","",IF(LEN(INDEX('Inspections'!$C$4:$C$503,_calc!$E$25))=0,"",INDEX('Inspections'!$C$4:$C$503,_calc!$E$25))&amp;" – "&amp;IF(LEN(INDEX('Inspections'!$A$4:$A$503,_calc!$E$25))=0,"",INDEX('Inspections'!$A$4:$A$503,_calc!$E$25)))</f>
        <v/>
      </c>
      <c r="B23" s="55">
        <f>IF(_calc!$E$25="","",IF(ISNUMBER(INDEX('Inspections'!$H$4:$H$503,_calc!$E$25)),TEXT(INDEX('Inspections'!$H$4:$H$503,_calc!$E$25),"yyyy-mm-dd"),""))</f>
        <v/>
      </c>
      <c r="C23" s="55">
        <f>IF(_calc!$E$25="","","Inspection")</f>
        <v/>
      </c>
      <c r="D23" s="55">
        <f>IF(_calc!$E$25="","",IF(ISNUMBER(INDEX('Inspections'!$G$4:$G$503,_calc!$E$25)),TEXT(INDEX('Inspections'!$G$4:$G$503,_calc!$E$25),"yyyy-mm-dd"),""))</f>
        <v/>
      </c>
      <c r="F23" s="55">
        <f>IF(_calc!$E$25="","",TRIM(IF(LEN(IF(LEN(INDEX('Inspections'!$B$4:$B$503,_calc!$E$25))=0,"",INDEX('Inspections'!$B$4:$B$503,_calc!$E$25)))=0,"","System: "&amp;IF(LEN(INDEX('Inspections'!$B$4:$B$503,_calc!$E$25))=0,"",INDEX('Inspections'!$B$4:$B$503,_calc!$E$25))&amp;". ")&amp;IF(LEN(IF(LEN(INDEX('Inspections'!$D$4:$D$503,_calc!$E$25))=0,"",INDEX('Inspections'!$D$4:$D$503,_calc!$E$25)))=0,"","Every: "&amp;IF(LEN(INDEX('Inspections'!$D$4:$D$503,_calc!$E$25))=0,"",INDEX('Inspections'!$D$4:$D$503,_calc!$E$25))&amp;". ")&amp;IF(LEN(IF(LEN(INDEX('Inspections'!$E$4:$E$503,_calc!$E$25))=0,"",INDEX('Inspections'!$E$4:$E$503,_calc!$E$25)))=0,"","Unit: "&amp;IF(LEN(INDEX('Inspections'!$E$4:$E$503,_calc!$E$25))=0,"",INDEX('Inspections'!$E$4:$E$503,_calc!$E$25))&amp;". ")&amp;IF(LEN(IF(LEN(INDEX('Inspections'!$F$4:$F$503,_calc!$E$25))=0,"",INDEX('Inspections'!$F$4:$F$503,_calc!$E$25)))=0,"","Done by: "&amp;IF(LEN(INDEX('Inspections'!$F$4:$F$503,_calc!$E$25))=0,"",INDEX('Inspections'!$F$4:$F$503,_calc!$E$25))&amp;". ")&amp;IF(LEN(IF(LEN(INDEX('Inspections'!$M$4:$M$503,_calc!$E$25))=0,"",INDEX('Inspections'!$M$4:$M$503,_calc!$E$25)))=0,"","Source: "&amp;IF(LEN(INDEX('Inspections'!$M$4:$M$503,_calc!$E$25))=0,"",INDEX('Inspections'!$M$4:$M$503,_calc!$E$25))&amp;". ")&amp;IF(LEN(IF(LEN(INDEX('Inspections'!$N$4:$N$503,_calc!$E$25))=0,"",INDEX('Inspections'!$N$4:$N$503,_calc!$E$25)))=0,"","Owner: "&amp;IF(LEN(INDEX('Inspections'!$N$4:$N$503,_calc!$E$25))=0,"",INDEX('Inspections'!$N$4:$N$503,_calc!$E$25))&amp;". ")&amp;IF(LEN(IF(LEN(INDEX('Inspections'!$O$4:$O$503,_calc!$E$25))=0,"",INDEX('Inspections'!$O$4:$O$503,_calc!$E$25)))=0,"","Backup: "&amp;IF(LEN(INDEX('Inspections'!$O$4:$O$503,_calc!$E$25))=0,"",INDEX('Inspections'!$O$4:$O$503,_calc!$E$25))&amp;". ")&amp;IF(LEN(IF(LEN(INDEX('Inspections'!$R$4:$R$503,_calc!$E$25))=0,"",INDEX('Inspections'!$R$4:$R$503,_calc!$E$25)))=0,"",IF(LEN(INDEX('Inspections'!$R$4:$R$503,_calc!$E$25))=0,"",INDEX('Inspections'!$R$4:$R$503,_calc!$E$25)))))</f>
        <v/>
      </c>
      <c r="G23" s="55">
        <f>IF(_calc!$E$25="","",IF(LEN(INDEX('Inspections'!$Q$4:$Q$503,_calc!$E$25))=0,"",INDEX('Inspections'!$Q$4:$Q$503,_calc!$E$25)))</f>
        <v/>
      </c>
      <c r="K23" s="55">
        <f>IF(_calc!$E$25="","",IF(LEN(INDEX('Inspections'!$P$4:$P$503,_calc!$E$25))=0,"",INDEX('Inspections'!$P$4:$P$503,_calc!$E$25)))</f>
        <v/>
      </c>
    </row>
    <row r="24">
      <c r="A24" s="55">
        <f>IF(_calc!$E$26="","",IF(LEN(INDEX('Inspections'!$C$4:$C$503,_calc!$E$26))=0,"",INDEX('Inspections'!$C$4:$C$503,_calc!$E$26))&amp;" – "&amp;IF(LEN(INDEX('Inspections'!$A$4:$A$503,_calc!$E$26))=0,"",INDEX('Inspections'!$A$4:$A$503,_calc!$E$26)))</f>
        <v/>
      </c>
      <c r="B24" s="55">
        <f>IF(_calc!$E$26="","",IF(ISNUMBER(INDEX('Inspections'!$H$4:$H$503,_calc!$E$26)),TEXT(INDEX('Inspections'!$H$4:$H$503,_calc!$E$26),"yyyy-mm-dd"),""))</f>
        <v/>
      </c>
      <c r="C24" s="55">
        <f>IF(_calc!$E$26="","","Inspection")</f>
        <v/>
      </c>
      <c r="D24" s="55">
        <f>IF(_calc!$E$26="","",IF(ISNUMBER(INDEX('Inspections'!$G$4:$G$503,_calc!$E$26)),TEXT(INDEX('Inspections'!$G$4:$G$503,_calc!$E$26),"yyyy-mm-dd"),""))</f>
        <v/>
      </c>
      <c r="F24" s="55">
        <f>IF(_calc!$E$26="","",TRIM(IF(LEN(IF(LEN(INDEX('Inspections'!$B$4:$B$503,_calc!$E$26))=0,"",INDEX('Inspections'!$B$4:$B$503,_calc!$E$26)))=0,"","System: "&amp;IF(LEN(INDEX('Inspections'!$B$4:$B$503,_calc!$E$26))=0,"",INDEX('Inspections'!$B$4:$B$503,_calc!$E$26))&amp;". ")&amp;IF(LEN(IF(LEN(INDEX('Inspections'!$D$4:$D$503,_calc!$E$26))=0,"",INDEX('Inspections'!$D$4:$D$503,_calc!$E$26)))=0,"","Every: "&amp;IF(LEN(INDEX('Inspections'!$D$4:$D$503,_calc!$E$26))=0,"",INDEX('Inspections'!$D$4:$D$503,_calc!$E$26))&amp;". ")&amp;IF(LEN(IF(LEN(INDEX('Inspections'!$E$4:$E$503,_calc!$E$26))=0,"",INDEX('Inspections'!$E$4:$E$503,_calc!$E$26)))=0,"","Unit: "&amp;IF(LEN(INDEX('Inspections'!$E$4:$E$503,_calc!$E$26))=0,"",INDEX('Inspections'!$E$4:$E$503,_calc!$E$26))&amp;". ")&amp;IF(LEN(IF(LEN(INDEX('Inspections'!$F$4:$F$503,_calc!$E$26))=0,"",INDEX('Inspections'!$F$4:$F$503,_calc!$E$26)))=0,"","Done by: "&amp;IF(LEN(INDEX('Inspections'!$F$4:$F$503,_calc!$E$26))=0,"",INDEX('Inspections'!$F$4:$F$503,_calc!$E$26))&amp;". ")&amp;IF(LEN(IF(LEN(INDEX('Inspections'!$M$4:$M$503,_calc!$E$26))=0,"",INDEX('Inspections'!$M$4:$M$503,_calc!$E$26)))=0,"","Source: "&amp;IF(LEN(INDEX('Inspections'!$M$4:$M$503,_calc!$E$26))=0,"",INDEX('Inspections'!$M$4:$M$503,_calc!$E$26))&amp;". ")&amp;IF(LEN(IF(LEN(INDEX('Inspections'!$N$4:$N$503,_calc!$E$26))=0,"",INDEX('Inspections'!$N$4:$N$503,_calc!$E$26)))=0,"","Owner: "&amp;IF(LEN(INDEX('Inspections'!$N$4:$N$503,_calc!$E$26))=0,"",INDEX('Inspections'!$N$4:$N$503,_calc!$E$26))&amp;". ")&amp;IF(LEN(IF(LEN(INDEX('Inspections'!$O$4:$O$503,_calc!$E$26))=0,"",INDEX('Inspections'!$O$4:$O$503,_calc!$E$26)))=0,"","Backup: "&amp;IF(LEN(INDEX('Inspections'!$O$4:$O$503,_calc!$E$26))=0,"",INDEX('Inspections'!$O$4:$O$503,_calc!$E$26))&amp;". ")&amp;IF(LEN(IF(LEN(INDEX('Inspections'!$R$4:$R$503,_calc!$E$26))=0,"",INDEX('Inspections'!$R$4:$R$503,_calc!$E$26)))=0,"",IF(LEN(INDEX('Inspections'!$R$4:$R$503,_calc!$E$26))=0,"",INDEX('Inspections'!$R$4:$R$503,_calc!$E$26)))))</f>
        <v/>
      </c>
      <c r="G24" s="55">
        <f>IF(_calc!$E$26="","",IF(LEN(INDEX('Inspections'!$Q$4:$Q$503,_calc!$E$26))=0,"",INDEX('Inspections'!$Q$4:$Q$503,_calc!$E$26)))</f>
        <v/>
      </c>
      <c r="K24" s="55">
        <f>IF(_calc!$E$26="","",IF(LEN(INDEX('Inspections'!$P$4:$P$503,_calc!$E$26))=0,"",INDEX('Inspections'!$P$4:$P$503,_calc!$E$26)))</f>
        <v/>
      </c>
    </row>
    <row r="25">
      <c r="A25" s="55">
        <f>IF(_calc!$E$27="","",IF(LEN(INDEX('Inspections'!$C$4:$C$503,_calc!$E$27))=0,"",INDEX('Inspections'!$C$4:$C$503,_calc!$E$27))&amp;" – "&amp;IF(LEN(INDEX('Inspections'!$A$4:$A$503,_calc!$E$27))=0,"",INDEX('Inspections'!$A$4:$A$503,_calc!$E$27)))</f>
        <v/>
      </c>
      <c r="B25" s="55">
        <f>IF(_calc!$E$27="","",IF(ISNUMBER(INDEX('Inspections'!$H$4:$H$503,_calc!$E$27)),TEXT(INDEX('Inspections'!$H$4:$H$503,_calc!$E$27),"yyyy-mm-dd"),""))</f>
        <v/>
      </c>
      <c r="C25" s="55">
        <f>IF(_calc!$E$27="","","Inspection")</f>
        <v/>
      </c>
      <c r="D25" s="55">
        <f>IF(_calc!$E$27="","",IF(ISNUMBER(INDEX('Inspections'!$G$4:$G$503,_calc!$E$27)),TEXT(INDEX('Inspections'!$G$4:$G$503,_calc!$E$27),"yyyy-mm-dd"),""))</f>
        <v/>
      </c>
      <c r="F25" s="55">
        <f>IF(_calc!$E$27="","",TRIM(IF(LEN(IF(LEN(INDEX('Inspections'!$B$4:$B$503,_calc!$E$27))=0,"",INDEX('Inspections'!$B$4:$B$503,_calc!$E$27)))=0,"","System: "&amp;IF(LEN(INDEX('Inspections'!$B$4:$B$503,_calc!$E$27))=0,"",INDEX('Inspections'!$B$4:$B$503,_calc!$E$27))&amp;". ")&amp;IF(LEN(IF(LEN(INDEX('Inspections'!$D$4:$D$503,_calc!$E$27))=0,"",INDEX('Inspections'!$D$4:$D$503,_calc!$E$27)))=0,"","Every: "&amp;IF(LEN(INDEX('Inspections'!$D$4:$D$503,_calc!$E$27))=0,"",INDEX('Inspections'!$D$4:$D$503,_calc!$E$27))&amp;". ")&amp;IF(LEN(IF(LEN(INDEX('Inspections'!$E$4:$E$503,_calc!$E$27))=0,"",INDEX('Inspections'!$E$4:$E$503,_calc!$E$27)))=0,"","Unit: "&amp;IF(LEN(INDEX('Inspections'!$E$4:$E$503,_calc!$E$27))=0,"",INDEX('Inspections'!$E$4:$E$503,_calc!$E$27))&amp;". ")&amp;IF(LEN(IF(LEN(INDEX('Inspections'!$F$4:$F$503,_calc!$E$27))=0,"",INDEX('Inspections'!$F$4:$F$503,_calc!$E$27)))=0,"","Done by: "&amp;IF(LEN(INDEX('Inspections'!$F$4:$F$503,_calc!$E$27))=0,"",INDEX('Inspections'!$F$4:$F$503,_calc!$E$27))&amp;". ")&amp;IF(LEN(IF(LEN(INDEX('Inspections'!$M$4:$M$503,_calc!$E$27))=0,"",INDEX('Inspections'!$M$4:$M$503,_calc!$E$27)))=0,"","Source: "&amp;IF(LEN(INDEX('Inspections'!$M$4:$M$503,_calc!$E$27))=0,"",INDEX('Inspections'!$M$4:$M$503,_calc!$E$27))&amp;". ")&amp;IF(LEN(IF(LEN(INDEX('Inspections'!$N$4:$N$503,_calc!$E$27))=0,"",INDEX('Inspections'!$N$4:$N$503,_calc!$E$27)))=0,"","Owner: "&amp;IF(LEN(INDEX('Inspections'!$N$4:$N$503,_calc!$E$27))=0,"",INDEX('Inspections'!$N$4:$N$503,_calc!$E$27))&amp;". ")&amp;IF(LEN(IF(LEN(INDEX('Inspections'!$O$4:$O$503,_calc!$E$27))=0,"",INDEX('Inspections'!$O$4:$O$503,_calc!$E$27)))=0,"","Backup: "&amp;IF(LEN(INDEX('Inspections'!$O$4:$O$503,_calc!$E$27))=0,"",INDEX('Inspections'!$O$4:$O$503,_calc!$E$27))&amp;". ")&amp;IF(LEN(IF(LEN(INDEX('Inspections'!$R$4:$R$503,_calc!$E$27))=0,"",INDEX('Inspections'!$R$4:$R$503,_calc!$E$27)))=0,"",IF(LEN(INDEX('Inspections'!$R$4:$R$503,_calc!$E$27))=0,"",INDEX('Inspections'!$R$4:$R$503,_calc!$E$27)))))</f>
        <v/>
      </c>
      <c r="G25" s="55">
        <f>IF(_calc!$E$27="","",IF(LEN(INDEX('Inspections'!$Q$4:$Q$503,_calc!$E$27))=0,"",INDEX('Inspections'!$Q$4:$Q$503,_calc!$E$27)))</f>
        <v/>
      </c>
      <c r="K25" s="55">
        <f>IF(_calc!$E$27="","",IF(LEN(INDEX('Inspections'!$P$4:$P$503,_calc!$E$27))=0,"",INDEX('Inspections'!$P$4:$P$503,_calc!$E$27)))</f>
        <v/>
      </c>
    </row>
    <row r="26">
      <c r="A26" s="55">
        <f>IF(_calc!$E$28="","",IF(LEN(INDEX('Inspections'!$C$4:$C$503,_calc!$E$28))=0,"",INDEX('Inspections'!$C$4:$C$503,_calc!$E$28))&amp;" – "&amp;IF(LEN(INDEX('Inspections'!$A$4:$A$503,_calc!$E$28))=0,"",INDEX('Inspections'!$A$4:$A$503,_calc!$E$28)))</f>
        <v/>
      </c>
      <c r="B26" s="55">
        <f>IF(_calc!$E$28="","",IF(ISNUMBER(INDEX('Inspections'!$H$4:$H$503,_calc!$E$28)),TEXT(INDEX('Inspections'!$H$4:$H$503,_calc!$E$28),"yyyy-mm-dd"),""))</f>
        <v/>
      </c>
      <c r="C26" s="55">
        <f>IF(_calc!$E$28="","","Inspection")</f>
        <v/>
      </c>
      <c r="D26" s="55">
        <f>IF(_calc!$E$28="","",IF(ISNUMBER(INDEX('Inspections'!$G$4:$G$503,_calc!$E$28)),TEXT(INDEX('Inspections'!$G$4:$G$503,_calc!$E$28),"yyyy-mm-dd"),""))</f>
        <v/>
      </c>
      <c r="F26" s="55">
        <f>IF(_calc!$E$28="","",TRIM(IF(LEN(IF(LEN(INDEX('Inspections'!$B$4:$B$503,_calc!$E$28))=0,"",INDEX('Inspections'!$B$4:$B$503,_calc!$E$28)))=0,"","System: "&amp;IF(LEN(INDEX('Inspections'!$B$4:$B$503,_calc!$E$28))=0,"",INDEX('Inspections'!$B$4:$B$503,_calc!$E$28))&amp;". ")&amp;IF(LEN(IF(LEN(INDEX('Inspections'!$D$4:$D$503,_calc!$E$28))=0,"",INDEX('Inspections'!$D$4:$D$503,_calc!$E$28)))=0,"","Every: "&amp;IF(LEN(INDEX('Inspections'!$D$4:$D$503,_calc!$E$28))=0,"",INDEX('Inspections'!$D$4:$D$503,_calc!$E$28))&amp;". ")&amp;IF(LEN(IF(LEN(INDEX('Inspections'!$E$4:$E$503,_calc!$E$28))=0,"",INDEX('Inspections'!$E$4:$E$503,_calc!$E$28)))=0,"","Unit: "&amp;IF(LEN(INDEX('Inspections'!$E$4:$E$503,_calc!$E$28))=0,"",INDEX('Inspections'!$E$4:$E$503,_calc!$E$28))&amp;". ")&amp;IF(LEN(IF(LEN(INDEX('Inspections'!$F$4:$F$503,_calc!$E$28))=0,"",INDEX('Inspections'!$F$4:$F$503,_calc!$E$28)))=0,"","Done by: "&amp;IF(LEN(INDEX('Inspections'!$F$4:$F$503,_calc!$E$28))=0,"",INDEX('Inspections'!$F$4:$F$503,_calc!$E$28))&amp;". ")&amp;IF(LEN(IF(LEN(INDEX('Inspections'!$M$4:$M$503,_calc!$E$28))=0,"",INDEX('Inspections'!$M$4:$M$503,_calc!$E$28)))=0,"","Source: "&amp;IF(LEN(INDEX('Inspections'!$M$4:$M$503,_calc!$E$28))=0,"",INDEX('Inspections'!$M$4:$M$503,_calc!$E$28))&amp;". ")&amp;IF(LEN(IF(LEN(INDEX('Inspections'!$N$4:$N$503,_calc!$E$28))=0,"",INDEX('Inspections'!$N$4:$N$503,_calc!$E$28)))=0,"","Owner: "&amp;IF(LEN(INDEX('Inspections'!$N$4:$N$503,_calc!$E$28))=0,"",INDEX('Inspections'!$N$4:$N$503,_calc!$E$28))&amp;". ")&amp;IF(LEN(IF(LEN(INDEX('Inspections'!$O$4:$O$503,_calc!$E$28))=0,"",INDEX('Inspections'!$O$4:$O$503,_calc!$E$28)))=0,"","Backup: "&amp;IF(LEN(INDEX('Inspections'!$O$4:$O$503,_calc!$E$28))=0,"",INDEX('Inspections'!$O$4:$O$503,_calc!$E$28))&amp;". ")&amp;IF(LEN(IF(LEN(INDEX('Inspections'!$R$4:$R$503,_calc!$E$28))=0,"",INDEX('Inspections'!$R$4:$R$503,_calc!$E$28)))=0,"",IF(LEN(INDEX('Inspections'!$R$4:$R$503,_calc!$E$28))=0,"",INDEX('Inspections'!$R$4:$R$503,_calc!$E$28)))))</f>
        <v/>
      </c>
      <c r="G26" s="55">
        <f>IF(_calc!$E$28="","",IF(LEN(INDEX('Inspections'!$Q$4:$Q$503,_calc!$E$28))=0,"",INDEX('Inspections'!$Q$4:$Q$503,_calc!$E$28)))</f>
        <v/>
      </c>
      <c r="K26" s="55">
        <f>IF(_calc!$E$28="","",IF(LEN(INDEX('Inspections'!$P$4:$P$503,_calc!$E$28))=0,"",INDEX('Inspections'!$P$4:$P$503,_calc!$E$28)))</f>
        <v/>
      </c>
    </row>
    <row r="27">
      <c r="A27" s="55">
        <f>IF(_calc!$E$29="","",IF(LEN(INDEX('Inspections'!$C$4:$C$503,_calc!$E$29))=0,"",INDEX('Inspections'!$C$4:$C$503,_calc!$E$29))&amp;" – "&amp;IF(LEN(INDEX('Inspections'!$A$4:$A$503,_calc!$E$29))=0,"",INDEX('Inspections'!$A$4:$A$503,_calc!$E$29)))</f>
        <v/>
      </c>
      <c r="B27" s="55">
        <f>IF(_calc!$E$29="","",IF(ISNUMBER(INDEX('Inspections'!$H$4:$H$503,_calc!$E$29)),TEXT(INDEX('Inspections'!$H$4:$H$503,_calc!$E$29),"yyyy-mm-dd"),""))</f>
        <v/>
      </c>
      <c r="C27" s="55">
        <f>IF(_calc!$E$29="","","Inspection")</f>
        <v/>
      </c>
      <c r="D27" s="55">
        <f>IF(_calc!$E$29="","",IF(ISNUMBER(INDEX('Inspections'!$G$4:$G$503,_calc!$E$29)),TEXT(INDEX('Inspections'!$G$4:$G$503,_calc!$E$29),"yyyy-mm-dd"),""))</f>
        <v/>
      </c>
      <c r="F27" s="55">
        <f>IF(_calc!$E$29="","",TRIM(IF(LEN(IF(LEN(INDEX('Inspections'!$B$4:$B$503,_calc!$E$29))=0,"",INDEX('Inspections'!$B$4:$B$503,_calc!$E$29)))=0,"","System: "&amp;IF(LEN(INDEX('Inspections'!$B$4:$B$503,_calc!$E$29))=0,"",INDEX('Inspections'!$B$4:$B$503,_calc!$E$29))&amp;". ")&amp;IF(LEN(IF(LEN(INDEX('Inspections'!$D$4:$D$503,_calc!$E$29))=0,"",INDEX('Inspections'!$D$4:$D$503,_calc!$E$29)))=0,"","Every: "&amp;IF(LEN(INDEX('Inspections'!$D$4:$D$503,_calc!$E$29))=0,"",INDEX('Inspections'!$D$4:$D$503,_calc!$E$29))&amp;". ")&amp;IF(LEN(IF(LEN(INDEX('Inspections'!$E$4:$E$503,_calc!$E$29))=0,"",INDEX('Inspections'!$E$4:$E$503,_calc!$E$29)))=0,"","Unit: "&amp;IF(LEN(INDEX('Inspections'!$E$4:$E$503,_calc!$E$29))=0,"",INDEX('Inspections'!$E$4:$E$503,_calc!$E$29))&amp;". ")&amp;IF(LEN(IF(LEN(INDEX('Inspections'!$F$4:$F$503,_calc!$E$29))=0,"",INDEX('Inspections'!$F$4:$F$503,_calc!$E$29)))=0,"","Done by: "&amp;IF(LEN(INDEX('Inspections'!$F$4:$F$503,_calc!$E$29))=0,"",INDEX('Inspections'!$F$4:$F$503,_calc!$E$29))&amp;". ")&amp;IF(LEN(IF(LEN(INDEX('Inspections'!$M$4:$M$503,_calc!$E$29))=0,"",INDEX('Inspections'!$M$4:$M$503,_calc!$E$29)))=0,"","Source: "&amp;IF(LEN(INDEX('Inspections'!$M$4:$M$503,_calc!$E$29))=0,"",INDEX('Inspections'!$M$4:$M$503,_calc!$E$29))&amp;". ")&amp;IF(LEN(IF(LEN(INDEX('Inspections'!$N$4:$N$503,_calc!$E$29))=0,"",INDEX('Inspections'!$N$4:$N$503,_calc!$E$29)))=0,"","Owner: "&amp;IF(LEN(INDEX('Inspections'!$N$4:$N$503,_calc!$E$29))=0,"",INDEX('Inspections'!$N$4:$N$503,_calc!$E$29))&amp;". ")&amp;IF(LEN(IF(LEN(INDEX('Inspections'!$O$4:$O$503,_calc!$E$29))=0,"",INDEX('Inspections'!$O$4:$O$503,_calc!$E$29)))=0,"","Backup: "&amp;IF(LEN(INDEX('Inspections'!$O$4:$O$503,_calc!$E$29))=0,"",INDEX('Inspections'!$O$4:$O$503,_calc!$E$29))&amp;". ")&amp;IF(LEN(IF(LEN(INDEX('Inspections'!$R$4:$R$503,_calc!$E$29))=0,"",INDEX('Inspections'!$R$4:$R$503,_calc!$E$29)))=0,"",IF(LEN(INDEX('Inspections'!$R$4:$R$503,_calc!$E$29))=0,"",INDEX('Inspections'!$R$4:$R$503,_calc!$E$29)))))</f>
        <v/>
      </c>
      <c r="G27" s="55">
        <f>IF(_calc!$E$29="","",IF(LEN(INDEX('Inspections'!$Q$4:$Q$503,_calc!$E$29))=0,"",INDEX('Inspections'!$Q$4:$Q$503,_calc!$E$29)))</f>
        <v/>
      </c>
      <c r="K27" s="55">
        <f>IF(_calc!$E$29="","",IF(LEN(INDEX('Inspections'!$P$4:$P$503,_calc!$E$29))=0,"",INDEX('Inspections'!$P$4:$P$503,_calc!$E$29)))</f>
        <v/>
      </c>
    </row>
    <row r="28">
      <c r="A28" s="55">
        <f>IF(_calc!$E$30="","",IF(LEN(INDEX('Inspections'!$C$4:$C$503,_calc!$E$30))=0,"",INDEX('Inspections'!$C$4:$C$503,_calc!$E$30))&amp;" – "&amp;IF(LEN(INDEX('Inspections'!$A$4:$A$503,_calc!$E$30))=0,"",INDEX('Inspections'!$A$4:$A$503,_calc!$E$30)))</f>
        <v/>
      </c>
      <c r="B28" s="55">
        <f>IF(_calc!$E$30="","",IF(ISNUMBER(INDEX('Inspections'!$H$4:$H$503,_calc!$E$30)),TEXT(INDEX('Inspections'!$H$4:$H$503,_calc!$E$30),"yyyy-mm-dd"),""))</f>
        <v/>
      </c>
      <c r="C28" s="55">
        <f>IF(_calc!$E$30="","","Inspection")</f>
        <v/>
      </c>
      <c r="D28" s="55">
        <f>IF(_calc!$E$30="","",IF(ISNUMBER(INDEX('Inspections'!$G$4:$G$503,_calc!$E$30)),TEXT(INDEX('Inspections'!$G$4:$G$503,_calc!$E$30),"yyyy-mm-dd"),""))</f>
        <v/>
      </c>
      <c r="F28" s="55">
        <f>IF(_calc!$E$30="","",TRIM(IF(LEN(IF(LEN(INDEX('Inspections'!$B$4:$B$503,_calc!$E$30))=0,"",INDEX('Inspections'!$B$4:$B$503,_calc!$E$30)))=0,"","System: "&amp;IF(LEN(INDEX('Inspections'!$B$4:$B$503,_calc!$E$30))=0,"",INDEX('Inspections'!$B$4:$B$503,_calc!$E$30))&amp;". ")&amp;IF(LEN(IF(LEN(INDEX('Inspections'!$D$4:$D$503,_calc!$E$30))=0,"",INDEX('Inspections'!$D$4:$D$503,_calc!$E$30)))=0,"","Every: "&amp;IF(LEN(INDEX('Inspections'!$D$4:$D$503,_calc!$E$30))=0,"",INDEX('Inspections'!$D$4:$D$503,_calc!$E$30))&amp;". ")&amp;IF(LEN(IF(LEN(INDEX('Inspections'!$E$4:$E$503,_calc!$E$30))=0,"",INDEX('Inspections'!$E$4:$E$503,_calc!$E$30)))=0,"","Unit: "&amp;IF(LEN(INDEX('Inspections'!$E$4:$E$503,_calc!$E$30))=0,"",INDEX('Inspections'!$E$4:$E$503,_calc!$E$30))&amp;". ")&amp;IF(LEN(IF(LEN(INDEX('Inspections'!$F$4:$F$503,_calc!$E$30))=0,"",INDEX('Inspections'!$F$4:$F$503,_calc!$E$30)))=0,"","Done by: "&amp;IF(LEN(INDEX('Inspections'!$F$4:$F$503,_calc!$E$30))=0,"",INDEX('Inspections'!$F$4:$F$503,_calc!$E$30))&amp;". ")&amp;IF(LEN(IF(LEN(INDEX('Inspections'!$M$4:$M$503,_calc!$E$30))=0,"",INDEX('Inspections'!$M$4:$M$503,_calc!$E$30)))=0,"","Source: "&amp;IF(LEN(INDEX('Inspections'!$M$4:$M$503,_calc!$E$30))=0,"",INDEX('Inspections'!$M$4:$M$503,_calc!$E$30))&amp;". ")&amp;IF(LEN(IF(LEN(INDEX('Inspections'!$N$4:$N$503,_calc!$E$30))=0,"",INDEX('Inspections'!$N$4:$N$503,_calc!$E$30)))=0,"","Owner: "&amp;IF(LEN(INDEX('Inspections'!$N$4:$N$503,_calc!$E$30))=0,"",INDEX('Inspections'!$N$4:$N$503,_calc!$E$30))&amp;". ")&amp;IF(LEN(IF(LEN(INDEX('Inspections'!$O$4:$O$503,_calc!$E$30))=0,"",INDEX('Inspections'!$O$4:$O$503,_calc!$E$30)))=0,"","Backup: "&amp;IF(LEN(INDEX('Inspections'!$O$4:$O$503,_calc!$E$30))=0,"",INDEX('Inspections'!$O$4:$O$503,_calc!$E$30))&amp;". ")&amp;IF(LEN(IF(LEN(INDEX('Inspections'!$R$4:$R$503,_calc!$E$30))=0,"",INDEX('Inspections'!$R$4:$R$503,_calc!$E$30)))=0,"",IF(LEN(INDEX('Inspections'!$R$4:$R$503,_calc!$E$30))=0,"",INDEX('Inspections'!$R$4:$R$503,_calc!$E$30)))))</f>
        <v/>
      </c>
      <c r="G28" s="55">
        <f>IF(_calc!$E$30="","",IF(LEN(INDEX('Inspections'!$Q$4:$Q$503,_calc!$E$30))=0,"",INDEX('Inspections'!$Q$4:$Q$503,_calc!$E$30)))</f>
        <v/>
      </c>
      <c r="K28" s="55">
        <f>IF(_calc!$E$30="","",IF(LEN(INDEX('Inspections'!$P$4:$P$503,_calc!$E$30))=0,"",INDEX('Inspections'!$P$4:$P$503,_calc!$E$30)))</f>
        <v/>
      </c>
    </row>
    <row r="29">
      <c r="A29" s="55">
        <f>IF(_calc!$E$31="","",IF(LEN(INDEX('Inspections'!$C$4:$C$503,_calc!$E$31))=0,"",INDEX('Inspections'!$C$4:$C$503,_calc!$E$31))&amp;" – "&amp;IF(LEN(INDEX('Inspections'!$A$4:$A$503,_calc!$E$31))=0,"",INDEX('Inspections'!$A$4:$A$503,_calc!$E$31)))</f>
        <v/>
      </c>
      <c r="B29" s="55">
        <f>IF(_calc!$E$31="","",IF(ISNUMBER(INDEX('Inspections'!$H$4:$H$503,_calc!$E$31)),TEXT(INDEX('Inspections'!$H$4:$H$503,_calc!$E$31),"yyyy-mm-dd"),""))</f>
        <v/>
      </c>
      <c r="C29" s="55">
        <f>IF(_calc!$E$31="","","Inspection")</f>
        <v/>
      </c>
      <c r="D29" s="55">
        <f>IF(_calc!$E$31="","",IF(ISNUMBER(INDEX('Inspections'!$G$4:$G$503,_calc!$E$31)),TEXT(INDEX('Inspections'!$G$4:$G$503,_calc!$E$31),"yyyy-mm-dd"),""))</f>
        <v/>
      </c>
      <c r="F29" s="55">
        <f>IF(_calc!$E$31="","",TRIM(IF(LEN(IF(LEN(INDEX('Inspections'!$B$4:$B$503,_calc!$E$31))=0,"",INDEX('Inspections'!$B$4:$B$503,_calc!$E$31)))=0,"","System: "&amp;IF(LEN(INDEX('Inspections'!$B$4:$B$503,_calc!$E$31))=0,"",INDEX('Inspections'!$B$4:$B$503,_calc!$E$31))&amp;". ")&amp;IF(LEN(IF(LEN(INDEX('Inspections'!$D$4:$D$503,_calc!$E$31))=0,"",INDEX('Inspections'!$D$4:$D$503,_calc!$E$31)))=0,"","Every: "&amp;IF(LEN(INDEX('Inspections'!$D$4:$D$503,_calc!$E$31))=0,"",INDEX('Inspections'!$D$4:$D$503,_calc!$E$31))&amp;". ")&amp;IF(LEN(IF(LEN(INDEX('Inspections'!$E$4:$E$503,_calc!$E$31))=0,"",INDEX('Inspections'!$E$4:$E$503,_calc!$E$31)))=0,"","Unit: "&amp;IF(LEN(INDEX('Inspections'!$E$4:$E$503,_calc!$E$31))=0,"",INDEX('Inspections'!$E$4:$E$503,_calc!$E$31))&amp;". ")&amp;IF(LEN(IF(LEN(INDEX('Inspections'!$F$4:$F$503,_calc!$E$31))=0,"",INDEX('Inspections'!$F$4:$F$503,_calc!$E$31)))=0,"","Done by: "&amp;IF(LEN(INDEX('Inspections'!$F$4:$F$503,_calc!$E$31))=0,"",INDEX('Inspections'!$F$4:$F$503,_calc!$E$31))&amp;". ")&amp;IF(LEN(IF(LEN(INDEX('Inspections'!$M$4:$M$503,_calc!$E$31))=0,"",INDEX('Inspections'!$M$4:$M$503,_calc!$E$31)))=0,"","Source: "&amp;IF(LEN(INDEX('Inspections'!$M$4:$M$503,_calc!$E$31))=0,"",INDEX('Inspections'!$M$4:$M$503,_calc!$E$31))&amp;". ")&amp;IF(LEN(IF(LEN(INDEX('Inspections'!$N$4:$N$503,_calc!$E$31))=0,"",INDEX('Inspections'!$N$4:$N$503,_calc!$E$31)))=0,"","Owner: "&amp;IF(LEN(INDEX('Inspections'!$N$4:$N$503,_calc!$E$31))=0,"",INDEX('Inspections'!$N$4:$N$503,_calc!$E$31))&amp;". ")&amp;IF(LEN(IF(LEN(INDEX('Inspections'!$O$4:$O$503,_calc!$E$31))=0,"",INDEX('Inspections'!$O$4:$O$503,_calc!$E$31)))=0,"","Backup: "&amp;IF(LEN(INDEX('Inspections'!$O$4:$O$503,_calc!$E$31))=0,"",INDEX('Inspections'!$O$4:$O$503,_calc!$E$31))&amp;". ")&amp;IF(LEN(IF(LEN(INDEX('Inspections'!$R$4:$R$503,_calc!$E$31))=0,"",INDEX('Inspections'!$R$4:$R$503,_calc!$E$31)))=0,"",IF(LEN(INDEX('Inspections'!$R$4:$R$503,_calc!$E$31))=0,"",INDEX('Inspections'!$R$4:$R$503,_calc!$E$31)))))</f>
        <v/>
      </c>
      <c r="G29" s="55">
        <f>IF(_calc!$E$31="","",IF(LEN(INDEX('Inspections'!$Q$4:$Q$503,_calc!$E$31))=0,"",INDEX('Inspections'!$Q$4:$Q$503,_calc!$E$31)))</f>
        <v/>
      </c>
      <c r="K29" s="55">
        <f>IF(_calc!$E$31="","",IF(LEN(INDEX('Inspections'!$P$4:$P$503,_calc!$E$31))=0,"",INDEX('Inspections'!$P$4:$P$503,_calc!$E$31)))</f>
        <v/>
      </c>
    </row>
    <row r="30">
      <c r="A30" s="55">
        <f>IF(_calc!$E$32="","",IF(LEN(INDEX('Inspections'!$C$4:$C$503,_calc!$E$32))=0,"",INDEX('Inspections'!$C$4:$C$503,_calc!$E$32))&amp;" – "&amp;IF(LEN(INDEX('Inspections'!$A$4:$A$503,_calc!$E$32))=0,"",INDEX('Inspections'!$A$4:$A$503,_calc!$E$32)))</f>
        <v/>
      </c>
      <c r="B30" s="55">
        <f>IF(_calc!$E$32="","",IF(ISNUMBER(INDEX('Inspections'!$H$4:$H$503,_calc!$E$32)),TEXT(INDEX('Inspections'!$H$4:$H$503,_calc!$E$32),"yyyy-mm-dd"),""))</f>
        <v/>
      </c>
      <c r="C30" s="55">
        <f>IF(_calc!$E$32="","","Inspection")</f>
        <v/>
      </c>
      <c r="D30" s="55">
        <f>IF(_calc!$E$32="","",IF(ISNUMBER(INDEX('Inspections'!$G$4:$G$503,_calc!$E$32)),TEXT(INDEX('Inspections'!$G$4:$G$503,_calc!$E$32),"yyyy-mm-dd"),""))</f>
        <v/>
      </c>
      <c r="F30" s="55">
        <f>IF(_calc!$E$32="","",TRIM(IF(LEN(IF(LEN(INDEX('Inspections'!$B$4:$B$503,_calc!$E$32))=0,"",INDEX('Inspections'!$B$4:$B$503,_calc!$E$32)))=0,"","System: "&amp;IF(LEN(INDEX('Inspections'!$B$4:$B$503,_calc!$E$32))=0,"",INDEX('Inspections'!$B$4:$B$503,_calc!$E$32))&amp;". ")&amp;IF(LEN(IF(LEN(INDEX('Inspections'!$D$4:$D$503,_calc!$E$32))=0,"",INDEX('Inspections'!$D$4:$D$503,_calc!$E$32)))=0,"","Every: "&amp;IF(LEN(INDEX('Inspections'!$D$4:$D$503,_calc!$E$32))=0,"",INDEX('Inspections'!$D$4:$D$503,_calc!$E$32))&amp;". ")&amp;IF(LEN(IF(LEN(INDEX('Inspections'!$E$4:$E$503,_calc!$E$32))=0,"",INDEX('Inspections'!$E$4:$E$503,_calc!$E$32)))=0,"","Unit: "&amp;IF(LEN(INDEX('Inspections'!$E$4:$E$503,_calc!$E$32))=0,"",INDEX('Inspections'!$E$4:$E$503,_calc!$E$32))&amp;". ")&amp;IF(LEN(IF(LEN(INDEX('Inspections'!$F$4:$F$503,_calc!$E$32))=0,"",INDEX('Inspections'!$F$4:$F$503,_calc!$E$32)))=0,"","Done by: "&amp;IF(LEN(INDEX('Inspections'!$F$4:$F$503,_calc!$E$32))=0,"",INDEX('Inspections'!$F$4:$F$503,_calc!$E$32))&amp;". ")&amp;IF(LEN(IF(LEN(INDEX('Inspections'!$M$4:$M$503,_calc!$E$32))=0,"",INDEX('Inspections'!$M$4:$M$503,_calc!$E$32)))=0,"","Source: "&amp;IF(LEN(INDEX('Inspections'!$M$4:$M$503,_calc!$E$32))=0,"",INDEX('Inspections'!$M$4:$M$503,_calc!$E$32))&amp;". ")&amp;IF(LEN(IF(LEN(INDEX('Inspections'!$N$4:$N$503,_calc!$E$32))=0,"",INDEX('Inspections'!$N$4:$N$503,_calc!$E$32)))=0,"","Owner: "&amp;IF(LEN(INDEX('Inspections'!$N$4:$N$503,_calc!$E$32))=0,"",INDEX('Inspections'!$N$4:$N$503,_calc!$E$32))&amp;". ")&amp;IF(LEN(IF(LEN(INDEX('Inspections'!$O$4:$O$503,_calc!$E$32))=0,"",INDEX('Inspections'!$O$4:$O$503,_calc!$E$32)))=0,"","Backup: "&amp;IF(LEN(INDEX('Inspections'!$O$4:$O$503,_calc!$E$32))=0,"",INDEX('Inspections'!$O$4:$O$503,_calc!$E$32))&amp;". ")&amp;IF(LEN(IF(LEN(INDEX('Inspections'!$R$4:$R$503,_calc!$E$32))=0,"",INDEX('Inspections'!$R$4:$R$503,_calc!$E$32)))=0,"",IF(LEN(INDEX('Inspections'!$R$4:$R$503,_calc!$E$32))=0,"",INDEX('Inspections'!$R$4:$R$503,_calc!$E$32)))))</f>
        <v/>
      </c>
      <c r="G30" s="55">
        <f>IF(_calc!$E$32="","",IF(LEN(INDEX('Inspections'!$Q$4:$Q$503,_calc!$E$32))=0,"",INDEX('Inspections'!$Q$4:$Q$503,_calc!$E$32)))</f>
        <v/>
      </c>
      <c r="K30" s="55">
        <f>IF(_calc!$E$32="","",IF(LEN(INDEX('Inspections'!$P$4:$P$503,_calc!$E$32))=0,"",INDEX('Inspections'!$P$4:$P$503,_calc!$E$32)))</f>
        <v/>
      </c>
    </row>
    <row r="31">
      <c r="A31" s="55">
        <f>IF(_calc!$E$33="","",IF(LEN(INDEX('Inspections'!$C$4:$C$503,_calc!$E$33))=0,"",INDEX('Inspections'!$C$4:$C$503,_calc!$E$33))&amp;" – "&amp;IF(LEN(INDEX('Inspections'!$A$4:$A$503,_calc!$E$33))=0,"",INDEX('Inspections'!$A$4:$A$503,_calc!$E$33)))</f>
        <v/>
      </c>
      <c r="B31" s="55">
        <f>IF(_calc!$E$33="","",IF(ISNUMBER(INDEX('Inspections'!$H$4:$H$503,_calc!$E$33)),TEXT(INDEX('Inspections'!$H$4:$H$503,_calc!$E$33),"yyyy-mm-dd"),""))</f>
        <v/>
      </c>
      <c r="C31" s="55">
        <f>IF(_calc!$E$33="","","Inspection")</f>
        <v/>
      </c>
      <c r="D31" s="55">
        <f>IF(_calc!$E$33="","",IF(ISNUMBER(INDEX('Inspections'!$G$4:$G$503,_calc!$E$33)),TEXT(INDEX('Inspections'!$G$4:$G$503,_calc!$E$33),"yyyy-mm-dd"),""))</f>
        <v/>
      </c>
      <c r="F31" s="55">
        <f>IF(_calc!$E$33="","",TRIM(IF(LEN(IF(LEN(INDEX('Inspections'!$B$4:$B$503,_calc!$E$33))=0,"",INDEX('Inspections'!$B$4:$B$503,_calc!$E$33)))=0,"","System: "&amp;IF(LEN(INDEX('Inspections'!$B$4:$B$503,_calc!$E$33))=0,"",INDEX('Inspections'!$B$4:$B$503,_calc!$E$33))&amp;". ")&amp;IF(LEN(IF(LEN(INDEX('Inspections'!$D$4:$D$503,_calc!$E$33))=0,"",INDEX('Inspections'!$D$4:$D$503,_calc!$E$33)))=0,"","Every: "&amp;IF(LEN(INDEX('Inspections'!$D$4:$D$503,_calc!$E$33))=0,"",INDEX('Inspections'!$D$4:$D$503,_calc!$E$33))&amp;". ")&amp;IF(LEN(IF(LEN(INDEX('Inspections'!$E$4:$E$503,_calc!$E$33))=0,"",INDEX('Inspections'!$E$4:$E$503,_calc!$E$33)))=0,"","Unit: "&amp;IF(LEN(INDEX('Inspections'!$E$4:$E$503,_calc!$E$33))=0,"",INDEX('Inspections'!$E$4:$E$503,_calc!$E$33))&amp;". ")&amp;IF(LEN(IF(LEN(INDEX('Inspections'!$F$4:$F$503,_calc!$E$33))=0,"",INDEX('Inspections'!$F$4:$F$503,_calc!$E$33)))=0,"","Done by: "&amp;IF(LEN(INDEX('Inspections'!$F$4:$F$503,_calc!$E$33))=0,"",INDEX('Inspections'!$F$4:$F$503,_calc!$E$33))&amp;". ")&amp;IF(LEN(IF(LEN(INDEX('Inspections'!$M$4:$M$503,_calc!$E$33))=0,"",INDEX('Inspections'!$M$4:$M$503,_calc!$E$33)))=0,"","Source: "&amp;IF(LEN(INDEX('Inspections'!$M$4:$M$503,_calc!$E$33))=0,"",INDEX('Inspections'!$M$4:$M$503,_calc!$E$33))&amp;". ")&amp;IF(LEN(IF(LEN(INDEX('Inspections'!$N$4:$N$503,_calc!$E$33))=0,"",INDEX('Inspections'!$N$4:$N$503,_calc!$E$33)))=0,"","Owner: "&amp;IF(LEN(INDEX('Inspections'!$N$4:$N$503,_calc!$E$33))=0,"",INDEX('Inspections'!$N$4:$N$503,_calc!$E$33))&amp;". ")&amp;IF(LEN(IF(LEN(INDEX('Inspections'!$O$4:$O$503,_calc!$E$33))=0,"",INDEX('Inspections'!$O$4:$O$503,_calc!$E$33)))=0,"","Backup: "&amp;IF(LEN(INDEX('Inspections'!$O$4:$O$503,_calc!$E$33))=0,"",INDEX('Inspections'!$O$4:$O$503,_calc!$E$33))&amp;". ")&amp;IF(LEN(IF(LEN(INDEX('Inspections'!$R$4:$R$503,_calc!$E$33))=0,"",INDEX('Inspections'!$R$4:$R$503,_calc!$E$33)))=0,"",IF(LEN(INDEX('Inspections'!$R$4:$R$503,_calc!$E$33))=0,"",INDEX('Inspections'!$R$4:$R$503,_calc!$E$33)))))</f>
        <v/>
      </c>
      <c r="G31" s="55">
        <f>IF(_calc!$E$33="","",IF(LEN(INDEX('Inspections'!$Q$4:$Q$503,_calc!$E$33))=0,"",INDEX('Inspections'!$Q$4:$Q$503,_calc!$E$33)))</f>
        <v/>
      </c>
      <c r="K31" s="55">
        <f>IF(_calc!$E$33="","",IF(LEN(INDEX('Inspections'!$P$4:$P$503,_calc!$E$33))=0,"",INDEX('Inspections'!$P$4:$P$503,_calc!$E$33)))</f>
        <v/>
      </c>
    </row>
    <row r="32">
      <c r="A32" s="55">
        <f>IF(_calc!$E$34="","",IF(LEN(INDEX('Inspections'!$C$4:$C$503,_calc!$E$34))=0,"",INDEX('Inspections'!$C$4:$C$503,_calc!$E$34))&amp;" – "&amp;IF(LEN(INDEX('Inspections'!$A$4:$A$503,_calc!$E$34))=0,"",INDEX('Inspections'!$A$4:$A$503,_calc!$E$34)))</f>
        <v/>
      </c>
      <c r="B32" s="55">
        <f>IF(_calc!$E$34="","",IF(ISNUMBER(INDEX('Inspections'!$H$4:$H$503,_calc!$E$34)),TEXT(INDEX('Inspections'!$H$4:$H$503,_calc!$E$34),"yyyy-mm-dd"),""))</f>
        <v/>
      </c>
      <c r="C32" s="55">
        <f>IF(_calc!$E$34="","","Inspection")</f>
        <v/>
      </c>
      <c r="D32" s="55">
        <f>IF(_calc!$E$34="","",IF(ISNUMBER(INDEX('Inspections'!$G$4:$G$503,_calc!$E$34)),TEXT(INDEX('Inspections'!$G$4:$G$503,_calc!$E$34),"yyyy-mm-dd"),""))</f>
        <v/>
      </c>
      <c r="F32" s="55">
        <f>IF(_calc!$E$34="","",TRIM(IF(LEN(IF(LEN(INDEX('Inspections'!$B$4:$B$503,_calc!$E$34))=0,"",INDEX('Inspections'!$B$4:$B$503,_calc!$E$34)))=0,"","System: "&amp;IF(LEN(INDEX('Inspections'!$B$4:$B$503,_calc!$E$34))=0,"",INDEX('Inspections'!$B$4:$B$503,_calc!$E$34))&amp;". ")&amp;IF(LEN(IF(LEN(INDEX('Inspections'!$D$4:$D$503,_calc!$E$34))=0,"",INDEX('Inspections'!$D$4:$D$503,_calc!$E$34)))=0,"","Every: "&amp;IF(LEN(INDEX('Inspections'!$D$4:$D$503,_calc!$E$34))=0,"",INDEX('Inspections'!$D$4:$D$503,_calc!$E$34))&amp;". ")&amp;IF(LEN(IF(LEN(INDEX('Inspections'!$E$4:$E$503,_calc!$E$34))=0,"",INDEX('Inspections'!$E$4:$E$503,_calc!$E$34)))=0,"","Unit: "&amp;IF(LEN(INDEX('Inspections'!$E$4:$E$503,_calc!$E$34))=0,"",INDEX('Inspections'!$E$4:$E$503,_calc!$E$34))&amp;". ")&amp;IF(LEN(IF(LEN(INDEX('Inspections'!$F$4:$F$503,_calc!$E$34))=0,"",INDEX('Inspections'!$F$4:$F$503,_calc!$E$34)))=0,"","Done by: "&amp;IF(LEN(INDEX('Inspections'!$F$4:$F$503,_calc!$E$34))=0,"",INDEX('Inspections'!$F$4:$F$503,_calc!$E$34))&amp;". ")&amp;IF(LEN(IF(LEN(INDEX('Inspections'!$M$4:$M$503,_calc!$E$34))=0,"",INDEX('Inspections'!$M$4:$M$503,_calc!$E$34)))=0,"","Source: "&amp;IF(LEN(INDEX('Inspections'!$M$4:$M$503,_calc!$E$34))=0,"",INDEX('Inspections'!$M$4:$M$503,_calc!$E$34))&amp;". ")&amp;IF(LEN(IF(LEN(INDEX('Inspections'!$N$4:$N$503,_calc!$E$34))=0,"",INDEX('Inspections'!$N$4:$N$503,_calc!$E$34)))=0,"","Owner: "&amp;IF(LEN(INDEX('Inspections'!$N$4:$N$503,_calc!$E$34))=0,"",INDEX('Inspections'!$N$4:$N$503,_calc!$E$34))&amp;". ")&amp;IF(LEN(IF(LEN(INDEX('Inspections'!$O$4:$O$503,_calc!$E$34))=0,"",INDEX('Inspections'!$O$4:$O$503,_calc!$E$34)))=0,"","Backup: "&amp;IF(LEN(INDEX('Inspections'!$O$4:$O$503,_calc!$E$34))=0,"",INDEX('Inspections'!$O$4:$O$503,_calc!$E$34))&amp;". ")&amp;IF(LEN(IF(LEN(INDEX('Inspections'!$R$4:$R$503,_calc!$E$34))=0,"",INDEX('Inspections'!$R$4:$R$503,_calc!$E$34)))=0,"",IF(LEN(INDEX('Inspections'!$R$4:$R$503,_calc!$E$34))=0,"",INDEX('Inspections'!$R$4:$R$503,_calc!$E$34)))))</f>
        <v/>
      </c>
      <c r="G32" s="55">
        <f>IF(_calc!$E$34="","",IF(LEN(INDEX('Inspections'!$Q$4:$Q$503,_calc!$E$34))=0,"",INDEX('Inspections'!$Q$4:$Q$503,_calc!$E$34)))</f>
        <v/>
      </c>
      <c r="K32" s="55">
        <f>IF(_calc!$E$34="","",IF(LEN(INDEX('Inspections'!$P$4:$P$503,_calc!$E$34))=0,"",INDEX('Inspections'!$P$4:$P$503,_calc!$E$34)))</f>
        <v/>
      </c>
    </row>
    <row r="33">
      <c r="A33" s="55">
        <f>IF(_calc!$E$35="","",IF(LEN(INDEX('Inspections'!$C$4:$C$503,_calc!$E$35))=0,"",INDEX('Inspections'!$C$4:$C$503,_calc!$E$35))&amp;" – "&amp;IF(LEN(INDEX('Inspections'!$A$4:$A$503,_calc!$E$35))=0,"",INDEX('Inspections'!$A$4:$A$503,_calc!$E$35)))</f>
        <v/>
      </c>
      <c r="B33" s="55">
        <f>IF(_calc!$E$35="","",IF(ISNUMBER(INDEX('Inspections'!$H$4:$H$503,_calc!$E$35)),TEXT(INDEX('Inspections'!$H$4:$H$503,_calc!$E$35),"yyyy-mm-dd"),""))</f>
        <v/>
      </c>
      <c r="C33" s="55">
        <f>IF(_calc!$E$35="","","Inspection")</f>
        <v/>
      </c>
      <c r="D33" s="55">
        <f>IF(_calc!$E$35="","",IF(ISNUMBER(INDEX('Inspections'!$G$4:$G$503,_calc!$E$35)),TEXT(INDEX('Inspections'!$G$4:$G$503,_calc!$E$35),"yyyy-mm-dd"),""))</f>
        <v/>
      </c>
      <c r="F33" s="55">
        <f>IF(_calc!$E$35="","",TRIM(IF(LEN(IF(LEN(INDEX('Inspections'!$B$4:$B$503,_calc!$E$35))=0,"",INDEX('Inspections'!$B$4:$B$503,_calc!$E$35)))=0,"","System: "&amp;IF(LEN(INDEX('Inspections'!$B$4:$B$503,_calc!$E$35))=0,"",INDEX('Inspections'!$B$4:$B$503,_calc!$E$35))&amp;". ")&amp;IF(LEN(IF(LEN(INDEX('Inspections'!$D$4:$D$503,_calc!$E$35))=0,"",INDEX('Inspections'!$D$4:$D$503,_calc!$E$35)))=0,"","Every: "&amp;IF(LEN(INDEX('Inspections'!$D$4:$D$503,_calc!$E$35))=0,"",INDEX('Inspections'!$D$4:$D$503,_calc!$E$35))&amp;". ")&amp;IF(LEN(IF(LEN(INDEX('Inspections'!$E$4:$E$503,_calc!$E$35))=0,"",INDEX('Inspections'!$E$4:$E$503,_calc!$E$35)))=0,"","Unit: "&amp;IF(LEN(INDEX('Inspections'!$E$4:$E$503,_calc!$E$35))=0,"",INDEX('Inspections'!$E$4:$E$503,_calc!$E$35))&amp;". ")&amp;IF(LEN(IF(LEN(INDEX('Inspections'!$F$4:$F$503,_calc!$E$35))=0,"",INDEX('Inspections'!$F$4:$F$503,_calc!$E$35)))=0,"","Done by: "&amp;IF(LEN(INDEX('Inspections'!$F$4:$F$503,_calc!$E$35))=0,"",INDEX('Inspections'!$F$4:$F$503,_calc!$E$35))&amp;". ")&amp;IF(LEN(IF(LEN(INDEX('Inspections'!$M$4:$M$503,_calc!$E$35))=0,"",INDEX('Inspections'!$M$4:$M$503,_calc!$E$35)))=0,"","Source: "&amp;IF(LEN(INDEX('Inspections'!$M$4:$M$503,_calc!$E$35))=0,"",INDEX('Inspections'!$M$4:$M$503,_calc!$E$35))&amp;". ")&amp;IF(LEN(IF(LEN(INDEX('Inspections'!$N$4:$N$503,_calc!$E$35))=0,"",INDEX('Inspections'!$N$4:$N$503,_calc!$E$35)))=0,"","Owner: "&amp;IF(LEN(INDEX('Inspections'!$N$4:$N$503,_calc!$E$35))=0,"",INDEX('Inspections'!$N$4:$N$503,_calc!$E$35))&amp;". ")&amp;IF(LEN(IF(LEN(INDEX('Inspections'!$O$4:$O$503,_calc!$E$35))=0,"",INDEX('Inspections'!$O$4:$O$503,_calc!$E$35)))=0,"","Backup: "&amp;IF(LEN(INDEX('Inspections'!$O$4:$O$503,_calc!$E$35))=0,"",INDEX('Inspections'!$O$4:$O$503,_calc!$E$35))&amp;". ")&amp;IF(LEN(IF(LEN(INDEX('Inspections'!$R$4:$R$503,_calc!$E$35))=0,"",INDEX('Inspections'!$R$4:$R$503,_calc!$E$35)))=0,"",IF(LEN(INDEX('Inspections'!$R$4:$R$503,_calc!$E$35))=0,"",INDEX('Inspections'!$R$4:$R$503,_calc!$E$35)))))</f>
        <v/>
      </c>
      <c r="G33" s="55">
        <f>IF(_calc!$E$35="","",IF(LEN(INDEX('Inspections'!$Q$4:$Q$503,_calc!$E$35))=0,"",INDEX('Inspections'!$Q$4:$Q$503,_calc!$E$35)))</f>
        <v/>
      </c>
      <c r="K33" s="55">
        <f>IF(_calc!$E$35="","",IF(LEN(INDEX('Inspections'!$P$4:$P$503,_calc!$E$35))=0,"",INDEX('Inspections'!$P$4:$P$503,_calc!$E$35)))</f>
        <v/>
      </c>
    </row>
    <row r="34">
      <c r="A34" s="55">
        <f>IF(_calc!$E$36="","",IF(LEN(INDEX('Inspections'!$C$4:$C$503,_calc!$E$36))=0,"",INDEX('Inspections'!$C$4:$C$503,_calc!$E$36))&amp;" – "&amp;IF(LEN(INDEX('Inspections'!$A$4:$A$503,_calc!$E$36))=0,"",INDEX('Inspections'!$A$4:$A$503,_calc!$E$36)))</f>
        <v/>
      </c>
      <c r="B34" s="55">
        <f>IF(_calc!$E$36="","",IF(ISNUMBER(INDEX('Inspections'!$H$4:$H$503,_calc!$E$36)),TEXT(INDEX('Inspections'!$H$4:$H$503,_calc!$E$36),"yyyy-mm-dd"),""))</f>
        <v/>
      </c>
      <c r="C34" s="55">
        <f>IF(_calc!$E$36="","","Inspection")</f>
        <v/>
      </c>
      <c r="D34" s="55">
        <f>IF(_calc!$E$36="","",IF(ISNUMBER(INDEX('Inspections'!$G$4:$G$503,_calc!$E$36)),TEXT(INDEX('Inspections'!$G$4:$G$503,_calc!$E$36),"yyyy-mm-dd"),""))</f>
        <v/>
      </c>
      <c r="F34" s="55">
        <f>IF(_calc!$E$36="","",TRIM(IF(LEN(IF(LEN(INDEX('Inspections'!$B$4:$B$503,_calc!$E$36))=0,"",INDEX('Inspections'!$B$4:$B$503,_calc!$E$36)))=0,"","System: "&amp;IF(LEN(INDEX('Inspections'!$B$4:$B$503,_calc!$E$36))=0,"",INDEX('Inspections'!$B$4:$B$503,_calc!$E$36))&amp;". ")&amp;IF(LEN(IF(LEN(INDEX('Inspections'!$D$4:$D$503,_calc!$E$36))=0,"",INDEX('Inspections'!$D$4:$D$503,_calc!$E$36)))=0,"","Every: "&amp;IF(LEN(INDEX('Inspections'!$D$4:$D$503,_calc!$E$36))=0,"",INDEX('Inspections'!$D$4:$D$503,_calc!$E$36))&amp;". ")&amp;IF(LEN(IF(LEN(INDEX('Inspections'!$E$4:$E$503,_calc!$E$36))=0,"",INDEX('Inspections'!$E$4:$E$503,_calc!$E$36)))=0,"","Unit: "&amp;IF(LEN(INDEX('Inspections'!$E$4:$E$503,_calc!$E$36))=0,"",INDEX('Inspections'!$E$4:$E$503,_calc!$E$36))&amp;". ")&amp;IF(LEN(IF(LEN(INDEX('Inspections'!$F$4:$F$503,_calc!$E$36))=0,"",INDEX('Inspections'!$F$4:$F$503,_calc!$E$36)))=0,"","Done by: "&amp;IF(LEN(INDEX('Inspections'!$F$4:$F$503,_calc!$E$36))=0,"",INDEX('Inspections'!$F$4:$F$503,_calc!$E$36))&amp;". ")&amp;IF(LEN(IF(LEN(INDEX('Inspections'!$M$4:$M$503,_calc!$E$36))=0,"",INDEX('Inspections'!$M$4:$M$503,_calc!$E$36)))=0,"","Source: "&amp;IF(LEN(INDEX('Inspections'!$M$4:$M$503,_calc!$E$36))=0,"",INDEX('Inspections'!$M$4:$M$503,_calc!$E$36))&amp;". ")&amp;IF(LEN(IF(LEN(INDEX('Inspections'!$N$4:$N$503,_calc!$E$36))=0,"",INDEX('Inspections'!$N$4:$N$503,_calc!$E$36)))=0,"","Owner: "&amp;IF(LEN(INDEX('Inspections'!$N$4:$N$503,_calc!$E$36))=0,"",INDEX('Inspections'!$N$4:$N$503,_calc!$E$36))&amp;". ")&amp;IF(LEN(IF(LEN(INDEX('Inspections'!$O$4:$O$503,_calc!$E$36))=0,"",INDEX('Inspections'!$O$4:$O$503,_calc!$E$36)))=0,"","Backup: "&amp;IF(LEN(INDEX('Inspections'!$O$4:$O$503,_calc!$E$36))=0,"",INDEX('Inspections'!$O$4:$O$503,_calc!$E$36))&amp;". ")&amp;IF(LEN(IF(LEN(INDEX('Inspections'!$R$4:$R$503,_calc!$E$36))=0,"",INDEX('Inspections'!$R$4:$R$503,_calc!$E$36)))=0,"",IF(LEN(INDEX('Inspections'!$R$4:$R$503,_calc!$E$36))=0,"",INDEX('Inspections'!$R$4:$R$503,_calc!$E$36)))))</f>
        <v/>
      </c>
      <c r="G34" s="55">
        <f>IF(_calc!$E$36="","",IF(LEN(INDEX('Inspections'!$Q$4:$Q$503,_calc!$E$36))=0,"",INDEX('Inspections'!$Q$4:$Q$503,_calc!$E$36)))</f>
        <v/>
      </c>
      <c r="K34" s="55">
        <f>IF(_calc!$E$36="","",IF(LEN(INDEX('Inspections'!$P$4:$P$503,_calc!$E$36))=0,"",INDEX('Inspections'!$P$4:$P$503,_calc!$E$36)))</f>
        <v/>
      </c>
    </row>
    <row r="35">
      <c r="A35" s="55">
        <f>IF(_calc!$E$37="","",IF(LEN(INDEX('Inspections'!$C$4:$C$503,_calc!$E$37))=0,"",INDEX('Inspections'!$C$4:$C$503,_calc!$E$37))&amp;" – "&amp;IF(LEN(INDEX('Inspections'!$A$4:$A$503,_calc!$E$37))=0,"",INDEX('Inspections'!$A$4:$A$503,_calc!$E$37)))</f>
        <v/>
      </c>
      <c r="B35" s="55">
        <f>IF(_calc!$E$37="","",IF(ISNUMBER(INDEX('Inspections'!$H$4:$H$503,_calc!$E$37)),TEXT(INDEX('Inspections'!$H$4:$H$503,_calc!$E$37),"yyyy-mm-dd"),""))</f>
        <v/>
      </c>
      <c r="C35" s="55">
        <f>IF(_calc!$E$37="","","Inspection")</f>
        <v/>
      </c>
      <c r="D35" s="55">
        <f>IF(_calc!$E$37="","",IF(ISNUMBER(INDEX('Inspections'!$G$4:$G$503,_calc!$E$37)),TEXT(INDEX('Inspections'!$G$4:$G$503,_calc!$E$37),"yyyy-mm-dd"),""))</f>
        <v/>
      </c>
      <c r="F35" s="55">
        <f>IF(_calc!$E$37="","",TRIM(IF(LEN(IF(LEN(INDEX('Inspections'!$B$4:$B$503,_calc!$E$37))=0,"",INDEX('Inspections'!$B$4:$B$503,_calc!$E$37)))=0,"","System: "&amp;IF(LEN(INDEX('Inspections'!$B$4:$B$503,_calc!$E$37))=0,"",INDEX('Inspections'!$B$4:$B$503,_calc!$E$37))&amp;". ")&amp;IF(LEN(IF(LEN(INDEX('Inspections'!$D$4:$D$503,_calc!$E$37))=0,"",INDEX('Inspections'!$D$4:$D$503,_calc!$E$37)))=0,"","Every: "&amp;IF(LEN(INDEX('Inspections'!$D$4:$D$503,_calc!$E$37))=0,"",INDEX('Inspections'!$D$4:$D$503,_calc!$E$37))&amp;". ")&amp;IF(LEN(IF(LEN(INDEX('Inspections'!$E$4:$E$503,_calc!$E$37))=0,"",INDEX('Inspections'!$E$4:$E$503,_calc!$E$37)))=0,"","Unit: "&amp;IF(LEN(INDEX('Inspections'!$E$4:$E$503,_calc!$E$37))=0,"",INDEX('Inspections'!$E$4:$E$503,_calc!$E$37))&amp;". ")&amp;IF(LEN(IF(LEN(INDEX('Inspections'!$F$4:$F$503,_calc!$E$37))=0,"",INDEX('Inspections'!$F$4:$F$503,_calc!$E$37)))=0,"","Done by: "&amp;IF(LEN(INDEX('Inspections'!$F$4:$F$503,_calc!$E$37))=0,"",INDEX('Inspections'!$F$4:$F$503,_calc!$E$37))&amp;". ")&amp;IF(LEN(IF(LEN(INDEX('Inspections'!$M$4:$M$503,_calc!$E$37))=0,"",INDEX('Inspections'!$M$4:$M$503,_calc!$E$37)))=0,"","Source: "&amp;IF(LEN(INDEX('Inspections'!$M$4:$M$503,_calc!$E$37))=0,"",INDEX('Inspections'!$M$4:$M$503,_calc!$E$37))&amp;". ")&amp;IF(LEN(IF(LEN(INDEX('Inspections'!$N$4:$N$503,_calc!$E$37))=0,"",INDEX('Inspections'!$N$4:$N$503,_calc!$E$37)))=0,"","Owner: "&amp;IF(LEN(INDEX('Inspections'!$N$4:$N$503,_calc!$E$37))=0,"",INDEX('Inspections'!$N$4:$N$503,_calc!$E$37))&amp;". ")&amp;IF(LEN(IF(LEN(INDEX('Inspections'!$O$4:$O$503,_calc!$E$37))=0,"",INDEX('Inspections'!$O$4:$O$503,_calc!$E$37)))=0,"","Backup: "&amp;IF(LEN(INDEX('Inspections'!$O$4:$O$503,_calc!$E$37))=0,"",INDEX('Inspections'!$O$4:$O$503,_calc!$E$37))&amp;". ")&amp;IF(LEN(IF(LEN(INDEX('Inspections'!$R$4:$R$503,_calc!$E$37))=0,"",INDEX('Inspections'!$R$4:$R$503,_calc!$E$37)))=0,"",IF(LEN(INDEX('Inspections'!$R$4:$R$503,_calc!$E$37))=0,"",INDEX('Inspections'!$R$4:$R$503,_calc!$E$37)))))</f>
        <v/>
      </c>
      <c r="G35" s="55">
        <f>IF(_calc!$E$37="","",IF(LEN(INDEX('Inspections'!$Q$4:$Q$503,_calc!$E$37))=0,"",INDEX('Inspections'!$Q$4:$Q$503,_calc!$E$37)))</f>
        <v/>
      </c>
      <c r="K35" s="55">
        <f>IF(_calc!$E$37="","",IF(LEN(INDEX('Inspections'!$P$4:$P$503,_calc!$E$37))=0,"",INDEX('Inspections'!$P$4:$P$503,_calc!$E$37)))</f>
        <v/>
      </c>
    </row>
    <row r="36">
      <c r="A36" s="55">
        <f>IF(_calc!$E$38="","",IF(LEN(INDEX('Inspections'!$C$4:$C$503,_calc!$E$38))=0,"",INDEX('Inspections'!$C$4:$C$503,_calc!$E$38))&amp;" – "&amp;IF(LEN(INDEX('Inspections'!$A$4:$A$503,_calc!$E$38))=0,"",INDEX('Inspections'!$A$4:$A$503,_calc!$E$38)))</f>
        <v/>
      </c>
      <c r="B36" s="55">
        <f>IF(_calc!$E$38="","",IF(ISNUMBER(INDEX('Inspections'!$H$4:$H$503,_calc!$E$38)),TEXT(INDEX('Inspections'!$H$4:$H$503,_calc!$E$38),"yyyy-mm-dd"),""))</f>
        <v/>
      </c>
      <c r="C36" s="55">
        <f>IF(_calc!$E$38="","","Inspection")</f>
        <v/>
      </c>
      <c r="D36" s="55">
        <f>IF(_calc!$E$38="","",IF(ISNUMBER(INDEX('Inspections'!$G$4:$G$503,_calc!$E$38)),TEXT(INDEX('Inspections'!$G$4:$G$503,_calc!$E$38),"yyyy-mm-dd"),""))</f>
        <v/>
      </c>
      <c r="F36" s="55">
        <f>IF(_calc!$E$38="","",TRIM(IF(LEN(IF(LEN(INDEX('Inspections'!$B$4:$B$503,_calc!$E$38))=0,"",INDEX('Inspections'!$B$4:$B$503,_calc!$E$38)))=0,"","System: "&amp;IF(LEN(INDEX('Inspections'!$B$4:$B$503,_calc!$E$38))=0,"",INDEX('Inspections'!$B$4:$B$503,_calc!$E$38))&amp;". ")&amp;IF(LEN(IF(LEN(INDEX('Inspections'!$D$4:$D$503,_calc!$E$38))=0,"",INDEX('Inspections'!$D$4:$D$503,_calc!$E$38)))=0,"","Every: "&amp;IF(LEN(INDEX('Inspections'!$D$4:$D$503,_calc!$E$38))=0,"",INDEX('Inspections'!$D$4:$D$503,_calc!$E$38))&amp;". ")&amp;IF(LEN(IF(LEN(INDEX('Inspections'!$E$4:$E$503,_calc!$E$38))=0,"",INDEX('Inspections'!$E$4:$E$503,_calc!$E$38)))=0,"","Unit: "&amp;IF(LEN(INDEX('Inspections'!$E$4:$E$503,_calc!$E$38))=0,"",INDEX('Inspections'!$E$4:$E$503,_calc!$E$38))&amp;". ")&amp;IF(LEN(IF(LEN(INDEX('Inspections'!$F$4:$F$503,_calc!$E$38))=0,"",INDEX('Inspections'!$F$4:$F$503,_calc!$E$38)))=0,"","Done by: "&amp;IF(LEN(INDEX('Inspections'!$F$4:$F$503,_calc!$E$38))=0,"",INDEX('Inspections'!$F$4:$F$503,_calc!$E$38))&amp;". ")&amp;IF(LEN(IF(LEN(INDEX('Inspections'!$M$4:$M$503,_calc!$E$38))=0,"",INDEX('Inspections'!$M$4:$M$503,_calc!$E$38)))=0,"","Source: "&amp;IF(LEN(INDEX('Inspections'!$M$4:$M$503,_calc!$E$38))=0,"",INDEX('Inspections'!$M$4:$M$503,_calc!$E$38))&amp;". ")&amp;IF(LEN(IF(LEN(INDEX('Inspections'!$N$4:$N$503,_calc!$E$38))=0,"",INDEX('Inspections'!$N$4:$N$503,_calc!$E$38)))=0,"","Owner: "&amp;IF(LEN(INDEX('Inspections'!$N$4:$N$503,_calc!$E$38))=0,"",INDEX('Inspections'!$N$4:$N$503,_calc!$E$38))&amp;". ")&amp;IF(LEN(IF(LEN(INDEX('Inspections'!$O$4:$O$503,_calc!$E$38))=0,"",INDEX('Inspections'!$O$4:$O$503,_calc!$E$38)))=0,"","Backup: "&amp;IF(LEN(INDEX('Inspections'!$O$4:$O$503,_calc!$E$38))=0,"",INDEX('Inspections'!$O$4:$O$503,_calc!$E$38))&amp;". ")&amp;IF(LEN(IF(LEN(INDEX('Inspections'!$R$4:$R$503,_calc!$E$38))=0,"",INDEX('Inspections'!$R$4:$R$503,_calc!$E$38)))=0,"",IF(LEN(INDEX('Inspections'!$R$4:$R$503,_calc!$E$38))=0,"",INDEX('Inspections'!$R$4:$R$503,_calc!$E$38)))))</f>
        <v/>
      </c>
      <c r="G36" s="55">
        <f>IF(_calc!$E$38="","",IF(LEN(INDEX('Inspections'!$Q$4:$Q$503,_calc!$E$38))=0,"",INDEX('Inspections'!$Q$4:$Q$503,_calc!$E$38)))</f>
        <v/>
      </c>
      <c r="K36" s="55">
        <f>IF(_calc!$E$38="","",IF(LEN(INDEX('Inspections'!$P$4:$P$503,_calc!$E$38))=0,"",INDEX('Inspections'!$P$4:$P$503,_calc!$E$38)))</f>
        <v/>
      </c>
    </row>
    <row r="37">
      <c r="A37" s="55">
        <f>IF(_calc!$E$39="","",IF(LEN(INDEX('Inspections'!$C$4:$C$503,_calc!$E$39))=0,"",INDEX('Inspections'!$C$4:$C$503,_calc!$E$39))&amp;" – "&amp;IF(LEN(INDEX('Inspections'!$A$4:$A$503,_calc!$E$39))=0,"",INDEX('Inspections'!$A$4:$A$503,_calc!$E$39)))</f>
        <v/>
      </c>
      <c r="B37" s="55">
        <f>IF(_calc!$E$39="","",IF(ISNUMBER(INDEX('Inspections'!$H$4:$H$503,_calc!$E$39)),TEXT(INDEX('Inspections'!$H$4:$H$503,_calc!$E$39),"yyyy-mm-dd"),""))</f>
        <v/>
      </c>
      <c r="C37" s="55">
        <f>IF(_calc!$E$39="","","Inspection")</f>
        <v/>
      </c>
      <c r="D37" s="55">
        <f>IF(_calc!$E$39="","",IF(ISNUMBER(INDEX('Inspections'!$G$4:$G$503,_calc!$E$39)),TEXT(INDEX('Inspections'!$G$4:$G$503,_calc!$E$39),"yyyy-mm-dd"),""))</f>
        <v/>
      </c>
      <c r="F37" s="55">
        <f>IF(_calc!$E$39="","",TRIM(IF(LEN(IF(LEN(INDEX('Inspections'!$B$4:$B$503,_calc!$E$39))=0,"",INDEX('Inspections'!$B$4:$B$503,_calc!$E$39)))=0,"","System: "&amp;IF(LEN(INDEX('Inspections'!$B$4:$B$503,_calc!$E$39))=0,"",INDEX('Inspections'!$B$4:$B$503,_calc!$E$39))&amp;". ")&amp;IF(LEN(IF(LEN(INDEX('Inspections'!$D$4:$D$503,_calc!$E$39))=0,"",INDEX('Inspections'!$D$4:$D$503,_calc!$E$39)))=0,"","Every: "&amp;IF(LEN(INDEX('Inspections'!$D$4:$D$503,_calc!$E$39))=0,"",INDEX('Inspections'!$D$4:$D$503,_calc!$E$39))&amp;". ")&amp;IF(LEN(IF(LEN(INDEX('Inspections'!$E$4:$E$503,_calc!$E$39))=0,"",INDEX('Inspections'!$E$4:$E$503,_calc!$E$39)))=0,"","Unit: "&amp;IF(LEN(INDEX('Inspections'!$E$4:$E$503,_calc!$E$39))=0,"",INDEX('Inspections'!$E$4:$E$503,_calc!$E$39))&amp;". ")&amp;IF(LEN(IF(LEN(INDEX('Inspections'!$F$4:$F$503,_calc!$E$39))=0,"",INDEX('Inspections'!$F$4:$F$503,_calc!$E$39)))=0,"","Done by: "&amp;IF(LEN(INDEX('Inspections'!$F$4:$F$503,_calc!$E$39))=0,"",INDEX('Inspections'!$F$4:$F$503,_calc!$E$39))&amp;". ")&amp;IF(LEN(IF(LEN(INDEX('Inspections'!$M$4:$M$503,_calc!$E$39))=0,"",INDEX('Inspections'!$M$4:$M$503,_calc!$E$39)))=0,"","Source: "&amp;IF(LEN(INDEX('Inspections'!$M$4:$M$503,_calc!$E$39))=0,"",INDEX('Inspections'!$M$4:$M$503,_calc!$E$39))&amp;". ")&amp;IF(LEN(IF(LEN(INDEX('Inspections'!$N$4:$N$503,_calc!$E$39))=0,"",INDEX('Inspections'!$N$4:$N$503,_calc!$E$39)))=0,"","Owner: "&amp;IF(LEN(INDEX('Inspections'!$N$4:$N$503,_calc!$E$39))=0,"",INDEX('Inspections'!$N$4:$N$503,_calc!$E$39))&amp;". ")&amp;IF(LEN(IF(LEN(INDEX('Inspections'!$O$4:$O$503,_calc!$E$39))=0,"",INDEX('Inspections'!$O$4:$O$503,_calc!$E$39)))=0,"","Backup: "&amp;IF(LEN(INDEX('Inspections'!$O$4:$O$503,_calc!$E$39))=0,"",INDEX('Inspections'!$O$4:$O$503,_calc!$E$39))&amp;". ")&amp;IF(LEN(IF(LEN(INDEX('Inspections'!$R$4:$R$503,_calc!$E$39))=0,"",INDEX('Inspections'!$R$4:$R$503,_calc!$E$39)))=0,"",IF(LEN(INDEX('Inspections'!$R$4:$R$503,_calc!$E$39))=0,"",INDEX('Inspections'!$R$4:$R$503,_calc!$E$39)))))</f>
        <v/>
      </c>
      <c r="G37" s="55">
        <f>IF(_calc!$E$39="","",IF(LEN(INDEX('Inspections'!$Q$4:$Q$503,_calc!$E$39))=0,"",INDEX('Inspections'!$Q$4:$Q$503,_calc!$E$39)))</f>
        <v/>
      </c>
      <c r="K37" s="55">
        <f>IF(_calc!$E$39="","",IF(LEN(INDEX('Inspections'!$P$4:$P$503,_calc!$E$39))=0,"",INDEX('Inspections'!$P$4:$P$503,_calc!$E$39)))</f>
        <v/>
      </c>
    </row>
    <row r="38">
      <c r="A38" s="55">
        <f>IF(_calc!$E$40="","",IF(LEN(INDEX('Inspections'!$C$4:$C$503,_calc!$E$40))=0,"",INDEX('Inspections'!$C$4:$C$503,_calc!$E$40))&amp;" – "&amp;IF(LEN(INDEX('Inspections'!$A$4:$A$503,_calc!$E$40))=0,"",INDEX('Inspections'!$A$4:$A$503,_calc!$E$40)))</f>
        <v/>
      </c>
      <c r="B38" s="55">
        <f>IF(_calc!$E$40="","",IF(ISNUMBER(INDEX('Inspections'!$H$4:$H$503,_calc!$E$40)),TEXT(INDEX('Inspections'!$H$4:$H$503,_calc!$E$40),"yyyy-mm-dd"),""))</f>
        <v/>
      </c>
      <c r="C38" s="55">
        <f>IF(_calc!$E$40="","","Inspection")</f>
        <v/>
      </c>
      <c r="D38" s="55">
        <f>IF(_calc!$E$40="","",IF(ISNUMBER(INDEX('Inspections'!$G$4:$G$503,_calc!$E$40)),TEXT(INDEX('Inspections'!$G$4:$G$503,_calc!$E$40),"yyyy-mm-dd"),""))</f>
        <v/>
      </c>
      <c r="F38" s="55">
        <f>IF(_calc!$E$40="","",TRIM(IF(LEN(IF(LEN(INDEX('Inspections'!$B$4:$B$503,_calc!$E$40))=0,"",INDEX('Inspections'!$B$4:$B$503,_calc!$E$40)))=0,"","System: "&amp;IF(LEN(INDEX('Inspections'!$B$4:$B$503,_calc!$E$40))=0,"",INDEX('Inspections'!$B$4:$B$503,_calc!$E$40))&amp;". ")&amp;IF(LEN(IF(LEN(INDEX('Inspections'!$D$4:$D$503,_calc!$E$40))=0,"",INDEX('Inspections'!$D$4:$D$503,_calc!$E$40)))=0,"","Every: "&amp;IF(LEN(INDEX('Inspections'!$D$4:$D$503,_calc!$E$40))=0,"",INDEX('Inspections'!$D$4:$D$503,_calc!$E$40))&amp;". ")&amp;IF(LEN(IF(LEN(INDEX('Inspections'!$E$4:$E$503,_calc!$E$40))=0,"",INDEX('Inspections'!$E$4:$E$503,_calc!$E$40)))=0,"","Unit: "&amp;IF(LEN(INDEX('Inspections'!$E$4:$E$503,_calc!$E$40))=0,"",INDEX('Inspections'!$E$4:$E$503,_calc!$E$40))&amp;". ")&amp;IF(LEN(IF(LEN(INDEX('Inspections'!$F$4:$F$503,_calc!$E$40))=0,"",INDEX('Inspections'!$F$4:$F$503,_calc!$E$40)))=0,"","Done by: "&amp;IF(LEN(INDEX('Inspections'!$F$4:$F$503,_calc!$E$40))=0,"",INDEX('Inspections'!$F$4:$F$503,_calc!$E$40))&amp;". ")&amp;IF(LEN(IF(LEN(INDEX('Inspections'!$M$4:$M$503,_calc!$E$40))=0,"",INDEX('Inspections'!$M$4:$M$503,_calc!$E$40)))=0,"","Source: "&amp;IF(LEN(INDEX('Inspections'!$M$4:$M$503,_calc!$E$40))=0,"",INDEX('Inspections'!$M$4:$M$503,_calc!$E$40))&amp;". ")&amp;IF(LEN(IF(LEN(INDEX('Inspections'!$N$4:$N$503,_calc!$E$40))=0,"",INDEX('Inspections'!$N$4:$N$503,_calc!$E$40)))=0,"","Owner: "&amp;IF(LEN(INDEX('Inspections'!$N$4:$N$503,_calc!$E$40))=0,"",INDEX('Inspections'!$N$4:$N$503,_calc!$E$40))&amp;". ")&amp;IF(LEN(IF(LEN(INDEX('Inspections'!$O$4:$O$503,_calc!$E$40))=0,"",INDEX('Inspections'!$O$4:$O$503,_calc!$E$40)))=0,"","Backup: "&amp;IF(LEN(INDEX('Inspections'!$O$4:$O$503,_calc!$E$40))=0,"",INDEX('Inspections'!$O$4:$O$503,_calc!$E$40))&amp;". ")&amp;IF(LEN(IF(LEN(INDEX('Inspections'!$R$4:$R$503,_calc!$E$40))=0,"",INDEX('Inspections'!$R$4:$R$503,_calc!$E$40)))=0,"",IF(LEN(INDEX('Inspections'!$R$4:$R$503,_calc!$E$40))=0,"",INDEX('Inspections'!$R$4:$R$503,_calc!$E$40)))))</f>
        <v/>
      </c>
      <c r="G38" s="55">
        <f>IF(_calc!$E$40="","",IF(LEN(INDEX('Inspections'!$Q$4:$Q$503,_calc!$E$40))=0,"",INDEX('Inspections'!$Q$4:$Q$503,_calc!$E$40)))</f>
        <v/>
      </c>
      <c r="K38" s="55">
        <f>IF(_calc!$E$40="","",IF(LEN(INDEX('Inspections'!$P$4:$P$503,_calc!$E$40))=0,"",INDEX('Inspections'!$P$4:$P$503,_calc!$E$40)))</f>
        <v/>
      </c>
    </row>
    <row r="39">
      <c r="A39" s="55">
        <f>IF(_calc!$E$41="","",IF(LEN(INDEX('Inspections'!$C$4:$C$503,_calc!$E$41))=0,"",INDEX('Inspections'!$C$4:$C$503,_calc!$E$41))&amp;" – "&amp;IF(LEN(INDEX('Inspections'!$A$4:$A$503,_calc!$E$41))=0,"",INDEX('Inspections'!$A$4:$A$503,_calc!$E$41)))</f>
        <v/>
      </c>
      <c r="B39" s="55">
        <f>IF(_calc!$E$41="","",IF(ISNUMBER(INDEX('Inspections'!$H$4:$H$503,_calc!$E$41)),TEXT(INDEX('Inspections'!$H$4:$H$503,_calc!$E$41),"yyyy-mm-dd"),""))</f>
        <v/>
      </c>
      <c r="C39" s="55">
        <f>IF(_calc!$E$41="","","Inspection")</f>
        <v/>
      </c>
      <c r="D39" s="55">
        <f>IF(_calc!$E$41="","",IF(ISNUMBER(INDEX('Inspections'!$G$4:$G$503,_calc!$E$41)),TEXT(INDEX('Inspections'!$G$4:$G$503,_calc!$E$41),"yyyy-mm-dd"),""))</f>
        <v/>
      </c>
      <c r="F39" s="55">
        <f>IF(_calc!$E$41="","",TRIM(IF(LEN(IF(LEN(INDEX('Inspections'!$B$4:$B$503,_calc!$E$41))=0,"",INDEX('Inspections'!$B$4:$B$503,_calc!$E$41)))=0,"","System: "&amp;IF(LEN(INDEX('Inspections'!$B$4:$B$503,_calc!$E$41))=0,"",INDEX('Inspections'!$B$4:$B$503,_calc!$E$41))&amp;". ")&amp;IF(LEN(IF(LEN(INDEX('Inspections'!$D$4:$D$503,_calc!$E$41))=0,"",INDEX('Inspections'!$D$4:$D$503,_calc!$E$41)))=0,"","Every: "&amp;IF(LEN(INDEX('Inspections'!$D$4:$D$503,_calc!$E$41))=0,"",INDEX('Inspections'!$D$4:$D$503,_calc!$E$41))&amp;". ")&amp;IF(LEN(IF(LEN(INDEX('Inspections'!$E$4:$E$503,_calc!$E$41))=0,"",INDEX('Inspections'!$E$4:$E$503,_calc!$E$41)))=0,"","Unit: "&amp;IF(LEN(INDEX('Inspections'!$E$4:$E$503,_calc!$E$41))=0,"",INDEX('Inspections'!$E$4:$E$503,_calc!$E$41))&amp;". ")&amp;IF(LEN(IF(LEN(INDEX('Inspections'!$F$4:$F$503,_calc!$E$41))=0,"",INDEX('Inspections'!$F$4:$F$503,_calc!$E$41)))=0,"","Done by: "&amp;IF(LEN(INDEX('Inspections'!$F$4:$F$503,_calc!$E$41))=0,"",INDEX('Inspections'!$F$4:$F$503,_calc!$E$41))&amp;". ")&amp;IF(LEN(IF(LEN(INDEX('Inspections'!$M$4:$M$503,_calc!$E$41))=0,"",INDEX('Inspections'!$M$4:$M$503,_calc!$E$41)))=0,"","Source: "&amp;IF(LEN(INDEX('Inspections'!$M$4:$M$503,_calc!$E$41))=0,"",INDEX('Inspections'!$M$4:$M$503,_calc!$E$41))&amp;". ")&amp;IF(LEN(IF(LEN(INDEX('Inspections'!$N$4:$N$503,_calc!$E$41))=0,"",INDEX('Inspections'!$N$4:$N$503,_calc!$E$41)))=0,"","Owner: "&amp;IF(LEN(INDEX('Inspections'!$N$4:$N$503,_calc!$E$41))=0,"",INDEX('Inspections'!$N$4:$N$503,_calc!$E$41))&amp;". ")&amp;IF(LEN(IF(LEN(INDEX('Inspections'!$O$4:$O$503,_calc!$E$41))=0,"",INDEX('Inspections'!$O$4:$O$503,_calc!$E$41)))=0,"","Backup: "&amp;IF(LEN(INDEX('Inspections'!$O$4:$O$503,_calc!$E$41))=0,"",INDEX('Inspections'!$O$4:$O$503,_calc!$E$41))&amp;". ")&amp;IF(LEN(IF(LEN(INDEX('Inspections'!$R$4:$R$503,_calc!$E$41))=0,"",INDEX('Inspections'!$R$4:$R$503,_calc!$E$41)))=0,"",IF(LEN(INDEX('Inspections'!$R$4:$R$503,_calc!$E$41))=0,"",INDEX('Inspections'!$R$4:$R$503,_calc!$E$41)))))</f>
        <v/>
      </c>
      <c r="G39" s="55">
        <f>IF(_calc!$E$41="","",IF(LEN(INDEX('Inspections'!$Q$4:$Q$503,_calc!$E$41))=0,"",INDEX('Inspections'!$Q$4:$Q$503,_calc!$E$41)))</f>
        <v/>
      </c>
      <c r="K39" s="55">
        <f>IF(_calc!$E$41="","",IF(LEN(INDEX('Inspections'!$P$4:$P$503,_calc!$E$41))=0,"",INDEX('Inspections'!$P$4:$P$503,_calc!$E$41)))</f>
        <v/>
      </c>
    </row>
    <row r="40">
      <c r="A40" s="55">
        <f>IF(_calc!$E$42="","",IF(LEN(INDEX('Inspections'!$C$4:$C$503,_calc!$E$42))=0,"",INDEX('Inspections'!$C$4:$C$503,_calc!$E$42))&amp;" – "&amp;IF(LEN(INDEX('Inspections'!$A$4:$A$503,_calc!$E$42))=0,"",INDEX('Inspections'!$A$4:$A$503,_calc!$E$42)))</f>
        <v/>
      </c>
      <c r="B40" s="55">
        <f>IF(_calc!$E$42="","",IF(ISNUMBER(INDEX('Inspections'!$H$4:$H$503,_calc!$E$42)),TEXT(INDEX('Inspections'!$H$4:$H$503,_calc!$E$42),"yyyy-mm-dd"),""))</f>
        <v/>
      </c>
      <c r="C40" s="55">
        <f>IF(_calc!$E$42="","","Inspection")</f>
        <v/>
      </c>
      <c r="D40" s="55">
        <f>IF(_calc!$E$42="","",IF(ISNUMBER(INDEX('Inspections'!$G$4:$G$503,_calc!$E$42)),TEXT(INDEX('Inspections'!$G$4:$G$503,_calc!$E$42),"yyyy-mm-dd"),""))</f>
        <v/>
      </c>
      <c r="F40" s="55">
        <f>IF(_calc!$E$42="","",TRIM(IF(LEN(IF(LEN(INDEX('Inspections'!$B$4:$B$503,_calc!$E$42))=0,"",INDEX('Inspections'!$B$4:$B$503,_calc!$E$42)))=0,"","System: "&amp;IF(LEN(INDEX('Inspections'!$B$4:$B$503,_calc!$E$42))=0,"",INDEX('Inspections'!$B$4:$B$503,_calc!$E$42))&amp;". ")&amp;IF(LEN(IF(LEN(INDEX('Inspections'!$D$4:$D$503,_calc!$E$42))=0,"",INDEX('Inspections'!$D$4:$D$503,_calc!$E$42)))=0,"","Every: "&amp;IF(LEN(INDEX('Inspections'!$D$4:$D$503,_calc!$E$42))=0,"",INDEX('Inspections'!$D$4:$D$503,_calc!$E$42))&amp;". ")&amp;IF(LEN(IF(LEN(INDEX('Inspections'!$E$4:$E$503,_calc!$E$42))=0,"",INDEX('Inspections'!$E$4:$E$503,_calc!$E$42)))=0,"","Unit: "&amp;IF(LEN(INDEX('Inspections'!$E$4:$E$503,_calc!$E$42))=0,"",INDEX('Inspections'!$E$4:$E$503,_calc!$E$42))&amp;". ")&amp;IF(LEN(IF(LEN(INDEX('Inspections'!$F$4:$F$503,_calc!$E$42))=0,"",INDEX('Inspections'!$F$4:$F$503,_calc!$E$42)))=0,"","Done by: "&amp;IF(LEN(INDEX('Inspections'!$F$4:$F$503,_calc!$E$42))=0,"",INDEX('Inspections'!$F$4:$F$503,_calc!$E$42))&amp;". ")&amp;IF(LEN(IF(LEN(INDEX('Inspections'!$M$4:$M$503,_calc!$E$42))=0,"",INDEX('Inspections'!$M$4:$M$503,_calc!$E$42)))=0,"","Source: "&amp;IF(LEN(INDEX('Inspections'!$M$4:$M$503,_calc!$E$42))=0,"",INDEX('Inspections'!$M$4:$M$503,_calc!$E$42))&amp;". ")&amp;IF(LEN(IF(LEN(INDEX('Inspections'!$N$4:$N$503,_calc!$E$42))=0,"",INDEX('Inspections'!$N$4:$N$503,_calc!$E$42)))=0,"","Owner: "&amp;IF(LEN(INDEX('Inspections'!$N$4:$N$503,_calc!$E$42))=0,"",INDEX('Inspections'!$N$4:$N$503,_calc!$E$42))&amp;". ")&amp;IF(LEN(IF(LEN(INDEX('Inspections'!$O$4:$O$503,_calc!$E$42))=0,"",INDEX('Inspections'!$O$4:$O$503,_calc!$E$42)))=0,"","Backup: "&amp;IF(LEN(INDEX('Inspections'!$O$4:$O$503,_calc!$E$42))=0,"",INDEX('Inspections'!$O$4:$O$503,_calc!$E$42))&amp;". ")&amp;IF(LEN(IF(LEN(INDEX('Inspections'!$R$4:$R$503,_calc!$E$42))=0,"",INDEX('Inspections'!$R$4:$R$503,_calc!$E$42)))=0,"",IF(LEN(INDEX('Inspections'!$R$4:$R$503,_calc!$E$42))=0,"",INDEX('Inspections'!$R$4:$R$503,_calc!$E$42)))))</f>
        <v/>
      </c>
      <c r="G40" s="55">
        <f>IF(_calc!$E$42="","",IF(LEN(INDEX('Inspections'!$Q$4:$Q$503,_calc!$E$42))=0,"",INDEX('Inspections'!$Q$4:$Q$503,_calc!$E$42)))</f>
        <v/>
      </c>
      <c r="K40" s="55">
        <f>IF(_calc!$E$42="","",IF(LEN(INDEX('Inspections'!$P$4:$P$503,_calc!$E$42))=0,"",INDEX('Inspections'!$P$4:$P$503,_calc!$E$42)))</f>
        <v/>
      </c>
    </row>
    <row r="41">
      <c r="A41" s="55">
        <f>IF(_calc!$E$43="","",IF(LEN(INDEX('Inspections'!$C$4:$C$503,_calc!$E$43))=0,"",INDEX('Inspections'!$C$4:$C$503,_calc!$E$43))&amp;" – "&amp;IF(LEN(INDEX('Inspections'!$A$4:$A$503,_calc!$E$43))=0,"",INDEX('Inspections'!$A$4:$A$503,_calc!$E$43)))</f>
        <v/>
      </c>
      <c r="B41" s="55">
        <f>IF(_calc!$E$43="","",IF(ISNUMBER(INDEX('Inspections'!$H$4:$H$503,_calc!$E$43)),TEXT(INDEX('Inspections'!$H$4:$H$503,_calc!$E$43),"yyyy-mm-dd"),""))</f>
        <v/>
      </c>
      <c r="C41" s="55">
        <f>IF(_calc!$E$43="","","Inspection")</f>
        <v/>
      </c>
      <c r="D41" s="55">
        <f>IF(_calc!$E$43="","",IF(ISNUMBER(INDEX('Inspections'!$G$4:$G$503,_calc!$E$43)),TEXT(INDEX('Inspections'!$G$4:$G$503,_calc!$E$43),"yyyy-mm-dd"),""))</f>
        <v/>
      </c>
      <c r="F41" s="55">
        <f>IF(_calc!$E$43="","",TRIM(IF(LEN(IF(LEN(INDEX('Inspections'!$B$4:$B$503,_calc!$E$43))=0,"",INDEX('Inspections'!$B$4:$B$503,_calc!$E$43)))=0,"","System: "&amp;IF(LEN(INDEX('Inspections'!$B$4:$B$503,_calc!$E$43))=0,"",INDEX('Inspections'!$B$4:$B$503,_calc!$E$43))&amp;". ")&amp;IF(LEN(IF(LEN(INDEX('Inspections'!$D$4:$D$503,_calc!$E$43))=0,"",INDEX('Inspections'!$D$4:$D$503,_calc!$E$43)))=0,"","Every: "&amp;IF(LEN(INDEX('Inspections'!$D$4:$D$503,_calc!$E$43))=0,"",INDEX('Inspections'!$D$4:$D$503,_calc!$E$43))&amp;". ")&amp;IF(LEN(IF(LEN(INDEX('Inspections'!$E$4:$E$503,_calc!$E$43))=0,"",INDEX('Inspections'!$E$4:$E$503,_calc!$E$43)))=0,"","Unit: "&amp;IF(LEN(INDEX('Inspections'!$E$4:$E$503,_calc!$E$43))=0,"",INDEX('Inspections'!$E$4:$E$503,_calc!$E$43))&amp;". ")&amp;IF(LEN(IF(LEN(INDEX('Inspections'!$F$4:$F$503,_calc!$E$43))=0,"",INDEX('Inspections'!$F$4:$F$503,_calc!$E$43)))=0,"","Done by: "&amp;IF(LEN(INDEX('Inspections'!$F$4:$F$503,_calc!$E$43))=0,"",INDEX('Inspections'!$F$4:$F$503,_calc!$E$43))&amp;". ")&amp;IF(LEN(IF(LEN(INDEX('Inspections'!$M$4:$M$503,_calc!$E$43))=0,"",INDEX('Inspections'!$M$4:$M$503,_calc!$E$43)))=0,"","Source: "&amp;IF(LEN(INDEX('Inspections'!$M$4:$M$503,_calc!$E$43))=0,"",INDEX('Inspections'!$M$4:$M$503,_calc!$E$43))&amp;". ")&amp;IF(LEN(IF(LEN(INDEX('Inspections'!$N$4:$N$503,_calc!$E$43))=0,"",INDEX('Inspections'!$N$4:$N$503,_calc!$E$43)))=0,"","Owner: "&amp;IF(LEN(INDEX('Inspections'!$N$4:$N$503,_calc!$E$43))=0,"",INDEX('Inspections'!$N$4:$N$503,_calc!$E$43))&amp;". ")&amp;IF(LEN(IF(LEN(INDEX('Inspections'!$O$4:$O$503,_calc!$E$43))=0,"",INDEX('Inspections'!$O$4:$O$503,_calc!$E$43)))=0,"","Backup: "&amp;IF(LEN(INDEX('Inspections'!$O$4:$O$503,_calc!$E$43))=0,"",INDEX('Inspections'!$O$4:$O$503,_calc!$E$43))&amp;". ")&amp;IF(LEN(IF(LEN(INDEX('Inspections'!$R$4:$R$503,_calc!$E$43))=0,"",INDEX('Inspections'!$R$4:$R$503,_calc!$E$43)))=0,"",IF(LEN(INDEX('Inspections'!$R$4:$R$503,_calc!$E$43))=0,"",INDEX('Inspections'!$R$4:$R$503,_calc!$E$43)))))</f>
        <v/>
      </c>
      <c r="G41" s="55">
        <f>IF(_calc!$E$43="","",IF(LEN(INDEX('Inspections'!$Q$4:$Q$503,_calc!$E$43))=0,"",INDEX('Inspections'!$Q$4:$Q$503,_calc!$E$43)))</f>
        <v/>
      </c>
      <c r="K41" s="55">
        <f>IF(_calc!$E$43="","",IF(LEN(INDEX('Inspections'!$P$4:$P$503,_calc!$E$43))=0,"",INDEX('Inspections'!$P$4:$P$503,_calc!$E$43)))</f>
        <v/>
      </c>
    </row>
    <row r="42">
      <c r="A42" s="55">
        <f>IF(_calc!$E$44="","",IF(LEN(INDEX('Inspections'!$C$4:$C$503,_calc!$E$44))=0,"",INDEX('Inspections'!$C$4:$C$503,_calc!$E$44))&amp;" – "&amp;IF(LEN(INDEX('Inspections'!$A$4:$A$503,_calc!$E$44))=0,"",INDEX('Inspections'!$A$4:$A$503,_calc!$E$44)))</f>
        <v/>
      </c>
      <c r="B42" s="55">
        <f>IF(_calc!$E$44="","",IF(ISNUMBER(INDEX('Inspections'!$H$4:$H$503,_calc!$E$44)),TEXT(INDEX('Inspections'!$H$4:$H$503,_calc!$E$44),"yyyy-mm-dd"),""))</f>
        <v/>
      </c>
      <c r="C42" s="55">
        <f>IF(_calc!$E$44="","","Inspection")</f>
        <v/>
      </c>
      <c r="D42" s="55">
        <f>IF(_calc!$E$44="","",IF(ISNUMBER(INDEX('Inspections'!$G$4:$G$503,_calc!$E$44)),TEXT(INDEX('Inspections'!$G$4:$G$503,_calc!$E$44),"yyyy-mm-dd"),""))</f>
        <v/>
      </c>
      <c r="F42" s="55">
        <f>IF(_calc!$E$44="","",TRIM(IF(LEN(IF(LEN(INDEX('Inspections'!$B$4:$B$503,_calc!$E$44))=0,"",INDEX('Inspections'!$B$4:$B$503,_calc!$E$44)))=0,"","System: "&amp;IF(LEN(INDEX('Inspections'!$B$4:$B$503,_calc!$E$44))=0,"",INDEX('Inspections'!$B$4:$B$503,_calc!$E$44))&amp;". ")&amp;IF(LEN(IF(LEN(INDEX('Inspections'!$D$4:$D$503,_calc!$E$44))=0,"",INDEX('Inspections'!$D$4:$D$503,_calc!$E$44)))=0,"","Every: "&amp;IF(LEN(INDEX('Inspections'!$D$4:$D$503,_calc!$E$44))=0,"",INDEX('Inspections'!$D$4:$D$503,_calc!$E$44))&amp;". ")&amp;IF(LEN(IF(LEN(INDEX('Inspections'!$E$4:$E$503,_calc!$E$44))=0,"",INDEX('Inspections'!$E$4:$E$503,_calc!$E$44)))=0,"","Unit: "&amp;IF(LEN(INDEX('Inspections'!$E$4:$E$503,_calc!$E$44))=0,"",INDEX('Inspections'!$E$4:$E$503,_calc!$E$44))&amp;". ")&amp;IF(LEN(IF(LEN(INDEX('Inspections'!$F$4:$F$503,_calc!$E$44))=0,"",INDEX('Inspections'!$F$4:$F$503,_calc!$E$44)))=0,"","Done by: "&amp;IF(LEN(INDEX('Inspections'!$F$4:$F$503,_calc!$E$44))=0,"",INDEX('Inspections'!$F$4:$F$503,_calc!$E$44))&amp;". ")&amp;IF(LEN(IF(LEN(INDEX('Inspections'!$M$4:$M$503,_calc!$E$44))=0,"",INDEX('Inspections'!$M$4:$M$503,_calc!$E$44)))=0,"","Source: "&amp;IF(LEN(INDEX('Inspections'!$M$4:$M$503,_calc!$E$44))=0,"",INDEX('Inspections'!$M$4:$M$503,_calc!$E$44))&amp;". ")&amp;IF(LEN(IF(LEN(INDEX('Inspections'!$N$4:$N$503,_calc!$E$44))=0,"",INDEX('Inspections'!$N$4:$N$503,_calc!$E$44)))=0,"","Owner: "&amp;IF(LEN(INDEX('Inspections'!$N$4:$N$503,_calc!$E$44))=0,"",INDEX('Inspections'!$N$4:$N$503,_calc!$E$44))&amp;". ")&amp;IF(LEN(IF(LEN(INDEX('Inspections'!$O$4:$O$503,_calc!$E$44))=0,"",INDEX('Inspections'!$O$4:$O$503,_calc!$E$44)))=0,"","Backup: "&amp;IF(LEN(INDEX('Inspections'!$O$4:$O$503,_calc!$E$44))=0,"",INDEX('Inspections'!$O$4:$O$503,_calc!$E$44))&amp;". ")&amp;IF(LEN(IF(LEN(INDEX('Inspections'!$R$4:$R$503,_calc!$E$44))=0,"",INDEX('Inspections'!$R$4:$R$503,_calc!$E$44)))=0,"",IF(LEN(INDEX('Inspections'!$R$4:$R$503,_calc!$E$44))=0,"",INDEX('Inspections'!$R$4:$R$503,_calc!$E$44)))))</f>
        <v/>
      </c>
      <c r="G42" s="55">
        <f>IF(_calc!$E$44="","",IF(LEN(INDEX('Inspections'!$Q$4:$Q$503,_calc!$E$44))=0,"",INDEX('Inspections'!$Q$4:$Q$503,_calc!$E$44)))</f>
        <v/>
      </c>
      <c r="K42" s="55">
        <f>IF(_calc!$E$44="","",IF(LEN(INDEX('Inspections'!$P$4:$P$503,_calc!$E$44))=0,"",INDEX('Inspections'!$P$4:$P$503,_calc!$E$44)))</f>
        <v/>
      </c>
    </row>
    <row r="43">
      <c r="A43" s="55">
        <f>IF(_calc!$E$45="","",IF(LEN(INDEX('Inspections'!$C$4:$C$503,_calc!$E$45))=0,"",INDEX('Inspections'!$C$4:$C$503,_calc!$E$45))&amp;" – "&amp;IF(LEN(INDEX('Inspections'!$A$4:$A$503,_calc!$E$45))=0,"",INDEX('Inspections'!$A$4:$A$503,_calc!$E$45)))</f>
        <v/>
      </c>
      <c r="B43" s="55">
        <f>IF(_calc!$E$45="","",IF(ISNUMBER(INDEX('Inspections'!$H$4:$H$503,_calc!$E$45)),TEXT(INDEX('Inspections'!$H$4:$H$503,_calc!$E$45),"yyyy-mm-dd"),""))</f>
        <v/>
      </c>
      <c r="C43" s="55">
        <f>IF(_calc!$E$45="","","Inspection")</f>
        <v/>
      </c>
      <c r="D43" s="55">
        <f>IF(_calc!$E$45="","",IF(ISNUMBER(INDEX('Inspections'!$G$4:$G$503,_calc!$E$45)),TEXT(INDEX('Inspections'!$G$4:$G$503,_calc!$E$45),"yyyy-mm-dd"),""))</f>
        <v/>
      </c>
      <c r="F43" s="55">
        <f>IF(_calc!$E$45="","",TRIM(IF(LEN(IF(LEN(INDEX('Inspections'!$B$4:$B$503,_calc!$E$45))=0,"",INDEX('Inspections'!$B$4:$B$503,_calc!$E$45)))=0,"","System: "&amp;IF(LEN(INDEX('Inspections'!$B$4:$B$503,_calc!$E$45))=0,"",INDEX('Inspections'!$B$4:$B$503,_calc!$E$45))&amp;". ")&amp;IF(LEN(IF(LEN(INDEX('Inspections'!$D$4:$D$503,_calc!$E$45))=0,"",INDEX('Inspections'!$D$4:$D$503,_calc!$E$45)))=0,"","Every: "&amp;IF(LEN(INDEX('Inspections'!$D$4:$D$503,_calc!$E$45))=0,"",INDEX('Inspections'!$D$4:$D$503,_calc!$E$45))&amp;". ")&amp;IF(LEN(IF(LEN(INDEX('Inspections'!$E$4:$E$503,_calc!$E$45))=0,"",INDEX('Inspections'!$E$4:$E$503,_calc!$E$45)))=0,"","Unit: "&amp;IF(LEN(INDEX('Inspections'!$E$4:$E$503,_calc!$E$45))=0,"",INDEX('Inspections'!$E$4:$E$503,_calc!$E$45))&amp;". ")&amp;IF(LEN(IF(LEN(INDEX('Inspections'!$F$4:$F$503,_calc!$E$45))=0,"",INDEX('Inspections'!$F$4:$F$503,_calc!$E$45)))=0,"","Done by: "&amp;IF(LEN(INDEX('Inspections'!$F$4:$F$503,_calc!$E$45))=0,"",INDEX('Inspections'!$F$4:$F$503,_calc!$E$45))&amp;". ")&amp;IF(LEN(IF(LEN(INDEX('Inspections'!$M$4:$M$503,_calc!$E$45))=0,"",INDEX('Inspections'!$M$4:$M$503,_calc!$E$45)))=0,"","Source: "&amp;IF(LEN(INDEX('Inspections'!$M$4:$M$503,_calc!$E$45))=0,"",INDEX('Inspections'!$M$4:$M$503,_calc!$E$45))&amp;". ")&amp;IF(LEN(IF(LEN(INDEX('Inspections'!$N$4:$N$503,_calc!$E$45))=0,"",INDEX('Inspections'!$N$4:$N$503,_calc!$E$45)))=0,"","Owner: "&amp;IF(LEN(INDEX('Inspections'!$N$4:$N$503,_calc!$E$45))=0,"",INDEX('Inspections'!$N$4:$N$503,_calc!$E$45))&amp;". ")&amp;IF(LEN(IF(LEN(INDEX('Inspections'!$O$4:$O$503,_calc!$E$45))=0,"",INDEX('Inspections'!$O$4:$O$503,_calc!$E$45)))=0,"","Backup: "&amp;IF(LEN(INDEX('Inspections'!$O$4:$O$503,_calc!$E$45))=0,"",INDEX('Inspections'!$O$4:$O$503,_calc!$E$45))&amp;". ")&amp;IF(LEN(IF(LEN(INDEX('Inspections'!$R$4:$R$503,_calc!$E$45))=0,"",INDEX('Inspections'!$R$4:$R$503,_calc!$E$45)))=0,"",IF(LEN(INDEX('Inspections'!$R$4:$R$503,_calc!$E$45))=0,"",INDEX('Inspections'!$R$4:$R$503,_calc!$E$45)))))</f>
        <v/>
      </c>
      <c r="G43" s="55">
        <f>IF(_calc!$E$45="","",IF(LEN(INDEX('Inspections'!$Q$4:$Q$503,_calc!$E$45))=0,"",INDEX('Inspections'!$Q$4:$Q$503,_calc!$E$45)))</f>
        <v/>
      </c>
      <c r="K43" s="55">
        <f>IF(_calc!$E$45="","",IF(LEN(INDEX('Inspections'!$P$4:$P$503,_calc!$E$45))=0,"",INDEX('Inspections'!$P$4:$P$503,_calc!$E$45)))</f>
        <v/>
      </c>
    </row>
    <row r="44">
      <c r="A44" s="55">
        <f>IF(_calc!$E$46="","",IF(LEN(INDEX('Inspections'!$C$4:$C$503,_calc!$E$46))=0,"",INDEX('Inspections'!$C$4:$C$503,_calc!$E$46))&amp;" – "&amp;IF(LEN(INDEX('Inspections'!$A$4:$A$503,_calc!$E$46))=0,"",INDEX('Inspections'!$A$4:$A$503,_calc!$E$46)))</f>
        <v/>
      </c>
      <c r="B44" s="55">
        <f>IF(_calc!$E$46="","",IF(ISNUMBER(INDEX('Inspections'!$H$4:$H$503,_calc!$E$46)),TEXT(INDEX('Inspections'!$H$4:$H$503,_calc!$E$46),"yyyy-mm-dd"),""))</f>
        <v/>
      </c>
      <c r="C44" s="55">
        <f>IF(_calc!$E$46="","","Inspection")</f>
        <v/>
      </c>
      <c r="D44" s="55">
        <f>IF(_calc!$E$46="","",IF(ISNUMBER(INDEX('Inspections'!$G$4:$G$503,_calc!$E$46)),TEXT(INDEX('Inspections'!$G$4:$G$503,_calc!$E$46),"yyyy-mm-dd"),""))</f>
        <v/>
      </c>
      <c r="F44" s="55">
        <f>IF(_calc!$E$46="","",TRIM(IF(LEN(IF(LEN(INDEX('Inspections'!$B$4:$B$503,_calc!$E$46))=0,"",INDEX('Inspections'!$B$4:$B$503,_calc!$E$46)))=0,"","System: "&amp;IF(LEN(INDEX('Inspections'!$B$4:$B$503,_calc!$E$46))=0,"",INDEX('Inspections'!$B$4:$B$503,_calc!$E$46))&amp;". ")&amp;IF(LEN(IF(LEN(INDEX('Inspections'!$D$4:$D$503,_calc!$E$46))=0,"",INDEX('Inspections'!$D$4:$D$503,_calc!$E$46)))=0,"","Every: "&amp;IF(LEN(INDEX('Inspections'!$D$4:$D$503,_calc!$E$46))=0,"",INDEX('Inspections'!$D$4:$D$503,_calc!$E$46))&amp;". ")&amp;IF(LEN(IF(LEN(INDEX('Inspections'!$E$4:$E$503,_calc!$E$46))=0,"",INDEX('Inspections'!$E$4:$E$503,_calc!$E$46)))=0,"","Unit: "&amp;IF(LEN(INDEX('Inspections'!$E$4:$E$503,_calc!$E$46))=0,"",INDEX('Inspections'!$E$4:$E$503,_calc!$E$46))&amp;". ")&amp;IF(LEN(IF(LEN(INDEX('Inspections'!$F$4:$F$503,_calc!$E$46))=0,"",INDEX('Inspections'!$F$4:$F$503,_calc!$E$46)))=0,"","Done by: "&amp;IF(LEN(INDEX('Inspections'!$F$4:$F$503,_calc!$E$46))=0,"",INDEX('Inspections'!$F$4:$F$503,_calc!$E$46))&amp;". ")&amp;IF(LEN(IF(LEN(INDEX('Inspections'!$M$4:$M$503,_calc!$E$46))=0,"",INDEX('Inspections'!$M$4:$M$503,_calc!$E$46)))=0,"","Source: "&amp;IF(LEN(INDEX('Inspections'!$M$4:$M$503,_calc!$E$46))=0,"",INDEX('Inspections'!$M$4:$M$503,_calc!$E$46))&amp;". ")&amp;IF(LEN(IF(LEN(INDEX('Inspections'!$N$4:$N$503,_calc!$E$46))=0,"",INDEX('Inspections'!$N$4:$N$503,_calc!$E$46)))=0,"","Owner: "&amp;IF(LEN(INDEX('Inspections'!$N$4:$N$503,_calc!$E$46))=0,"",INDEX('Inspections'!$N$4:$N$503,_calc!$E$46))&amp;". ")&amp;IF(LEN(IF(LEN(INDEX('Inspections'!$O$4:$O$503,_calc!$E$46))=0,"",INDEX('Inspections'!$O$4:$O$503,_calc!$E$46)))=0,"","Backup: "&amp;IF(LEN(INDEX('Inspections'!$O$4:$O$503,_calc!$E$46))=0,"",INDEX('Inspections'!$O$4:$O$503,_calc!$E$46))&amp;". ")&amp;IF(LEN(IF(LEN(INDEX('Inspections'!$R$4:$R$503,_calc!$E$46))=0,"",INDEX('Inspections'!$R$4:$R$503,_calc!$E$46)))=0,"",IF(LEN(INDEX('Inspections'!$R$4:$R$503,_calc!$E$46))=0,"",INDEX('Inspections'!$R$4:$R$503,_calc!$E$46)))))</f>
        <v/>
      </c>
      <c r="G44" s="55">
        <f>IF(_calc!$E$46="","",IF(LEN(INDEX('Inspections'!$Q$4:$Q$503,_calc!$E$46))=0,"",INDEX('Inspections'!$Q$4:$Q$503,_calc!$E$46)))</f>
        <v/>
      </c>
      <c r="K44" s="55">
        <f>IF(_calc!$E$46="","",IF(LEN(INDEX('Inspections'!$P$4:$P$503,_calc!$E$46))=0,"",INDEX('Inspections'!$P$4:$P$503,_calc!$E$46)))</f>
        <v/>
      </c>
    </row>
    <row r="45">
      <c r="A45" s="55">
        <f>IF(_calc!$E$47="","",IF(LEN(INDEX('Inspections'!$C$4:$C$503,_calc!$E$47))=0,"",INDEX('Inspections'!$C$4:$C$503,_calc!$E$47))&amp;" – "&amp;IF(LEN(INDEX('Inspections'!$A$4:$A$503,_calc!$E$47))=0,"",INDEX('Inspections'!$A$4:$A$503,_calc!$E$47)))</f>
        <v/>
      </c>
      <c r="B45" s="55">
        <f>IF(_calc!$E$47="","",IF(ISNUMBER(INDEX('Inspections'!$H$4:$H$503,_calc!$E$47)),TEXT(INDEX('Inspections'!$H$4:$H$503,_calc!$E$47),"yyyy-mm-dd"),""))</f>
        <v/>
      </c>
      <c r="C45" s="55">
        <f>IF(_calc!$E$47="","","Inspection")</f>
        <v/>
      </c>
      <c r="D45" s="55">
        <f>IF(_calc!$E$47="","",IF(ISNUMBER(INDEX('Inspections'!$G$4:$G$503,_calc!$E$47)),TEXT(INDEX('Inspections'!$G$4:$G$503,_calc!$E$47),"yyyy-mm-dd"),""))</f>
        <v/>
      </c>
      <c r="F45" s="55">
        <f>IF(_calc!$E$47="","",TRIM(IF(LEN(IF(LEN(INDEX('Inspections'!$B$4:$B$503,_calc!$E$47))=0,"",INDEX('Inspections'!$B$4:$B$503,_calc!$E$47)))=0,"","System: "&amp;IF(LEN(INDEX('Inspections'!$B$4:$B$503,_calc!$E$47))=0,"",INDEX('Inspections'!$B$4:$B$503,_calc!$E$47))&amp;". ")&amp;IF(LEN(IF(LEN(INDEX('Inspections'!$D$4:$D$503,_calc!$E$47))=0,"",INDEX('Inspections'!$D$4:$D$503,_calc!$E$47)))=0,"","Every: "&amp;IF(LEN(INDEX('Inspections'!$D$4:$D$503,_calc!$E$47))=0,"",INDEX('Inspections'!$D$4:$D$503,_calc!$E$47))&amp;". ")&amp;IF(LEN(IF(LEN(INDEX('Inspections'!$E$4:$E$503,_calc!$E$47))=0,"",INDEX('Inspections'!$E$4:$E$503,_calc!$E$47)))=0,"","Unit: "&amp;IF(LEN(INDEX('Inspections'!$E$4:$E$503,_calc!$E$47))=0,"",INDEX('Inspections'!$E$4:$E$503,_calc!$E$47))&amp;". ")&amp;IF(LEN(IF(LEN(INDEX('Inspections'!$F$4:$F$503,_calc!$E$47))=0,"",INDEX('Inspections'!$F$4:$F$503,_calc!$E$47)))=0,"","Done by: "&amp;IF(LEN(INDEX('Inspections'!$F$4:$F$503,_calc!$E$47))=0,"",INDEX('Inspections'!$F$4:$F$503,_calc!$E$47))&amp;". ")&amp;IF(LEN(IF(LEN(INDEX('Inspections'!$M$4:$M$503,_calc!$E$47))=0,"",INDEX('Inspections'!$M$4:$M$503,_calc!$E$47)))=0,"","Source: "&amp;IF(LEN(INDEX('Inspections'!$M$4:$M$503,_calc!$E$47))=0,"",INDEX('Inspections'!$M$4:$M$503,_calc!$E$47))&amp;". ")&amp;IF(LEN(IF(LEN(INDEX('Inspections'!$N$4:$N$503,_calc!$E$47))=0,"",INDEX('Inspections'!$N$4:$N$503,_calc!$E$47)))=0,"","Owner: "&amp;IF(LEN(INDEX('Inspections'!$N$4:$N$503,_calc!$E$47))=0,"",INDEX('Inspections'!$N$4:$N$503,_calc!$E$47))&amp;". ")&amp;IF(LEN(IF(LEN(INDEX('Inspections'!$O$4:$O$503,_calc!$E$47))=0,"",INDEX('Inspections'!$O$4:$O$503,_calc!$E$47)))=0,"","Backup: "&amp;IF(LEN(INDEX('Inspections'!$O$4:$O$503,_calc!$E$47))=0,"",INDEX('Inspections'!$O$4:$O$503,_calc!$E$47))&amp;". ")&amp;IF(LEN(IF(LEN(INDEX('Inspections'!$R$4:$R$503,_calc!$E$47))=0,"",INDEX('Inspections'!$R$4:$R$503,_calc!$E$47)))=0,"",IF(LEN(INDEX('Inspections'!$R$4:$R$503,_calc!$E$47))=0,"",INDEX('Inspections'!$R$4:$R$503,_calc!$E$47)))))</f>
        <v/>
      </c>
      <c r="G45" s="55">
        <f>IF(_calc!$E$47="","",IF(LEN(INDEX('Inspections'!$Q$4:$Q$503,_calc!$E$47))=0,"",INDEX('Inspections'!$Q$4:$Q$503,_calc!$E$47)))</f>
        <v/>
      </c>
      <c r="K45" s="55">
        <f>IF(_calc!$E$47="","",IF(LEN(INDEX('Inspections'!$P$4:$P$503,_calc!$E$47))=0,"",INDEX('Inspections'!$P$4:$P$503,_calc!$E$47)))</f>
        <v/>
      </c>
    </row>
    <row r="46">
      <c r="A46" s="55">
        <f>IF(_calc!$E$48="","",IF(LEN(INDEX('Inspections'!$C$4:$C$503,_calc!$E$48))=0,"",INDEX('Inspections'!$C$4:$C$503,_calc!$E$48))&amp;" – "&amp;IF(LEN(INDEX('Inspections'!$A$4:$A$503,_calc!$E$48))=0,"",INDEX('Inspections'!$A$4:$A$503,_calc!$E$48)))</f>
        <v/>
      </c>
      <c r="B46" s="55">
        <f>IF(_calc!$E$48="","",IF(ISNUMBER(INDEX('Inspections'!$H$4:$H$503,_calc!$E$48)),TEXT(INDEX('Inspections'!$H$4:$H$503,_calc!$E$48),"yyyy-mm-dd"),""))</f>
        <v/>
      </c>
      <c r="C46" s="55">
        <f>IF(_calc!$E$48="","","Inspection")</f>
        <v/>
      </c>
      <c r="D46" s="55">
        <f>IF(_calc!$E$48="","",IF(ISNUMBER(INDEX('Inspections'!$G$4:$G$503,_calc!$E$48)),TEXT(INDEX('Inspections'!$G$4:$G$503,_calc!$E$48),"yyyy-mm-dd"),""))</f>
        <v/>
      </c>
      <c r="F46" s="55">
        <f>IF(_calc!$E$48="","",TRIM(IF(LEN(IF(LEN(INDEX('Inspections'!$B$4:$B$503,_calc!$E$48))=0,"",INDEX('Inspections'!$B$4:$B$503,_calc!$E$48)))=0,"","System: "&amp;IF(LEN(INDEX('Inspections'!$B$4:$B$503,_calc!$E$48))=0,"",INDEX('Inspections'!$B$4:$B$503,_calc!$E$48))&amp;". ")&amp;IF(LEN(IF(LEN(INDEX('Inspections'!$D$4:$D$503,_calc!$E$48))=0,"",INDEX('Inspections'!$D$4:$D$503,_calc!$E$48)))=0,"","Every: "&amp;IF(LEN(INDEX('Inspections'!$D$4:$D$503,_calc!$E$48))=0,"",INDEX('Inspections'!$D$4:$D$503,_calc!$E$48))&amp;". ")&amp;IF(LEN(IF(LEN(INDEX('Inspections'!$E$4:$E$503,_calc!$E$48))=0,"",INDEX('Inspections'!$E$4:$E$503,_calc!$E$48)))=0,"","Unit: "&amp;IF(LEN(INDEX('Inspections'!$E$4:$E$503,_calc!$E$48))=0,"",INDEX('Inspections'!$E$4:$E$503,_calc!$E$48))&amp;". ")&amp;IF(LEN(IF(LEN(INDEX('Inspections'!$F$4:$F$503,_calc!$E$48))=0,"",INDEX('Inspections'!$F$4:$F$503,_calc!$E$48)))=0,"","Done by: "&amp;IF(LEN(INDEX('Inspections'!$F$4:$F$503,_calc!$E$48))=0,"",INDEX('Inspections'!$F$4:$F$503,_calc!$E$48))&amp;". ")&amp;IF(LEN(IF(LEN(INDEX('Inspections'!$M$4:$M$503,_calc!$E$48))=0,"",INDEX('Inspections'!$M$4:$M$503,_calc!$E$48)))=0,"","Source: "&amp;IF(LEN(INDEX('Inspections'!$M$4:$M$503,_calc!$E$48))=0,"",INDEX('Inspections'!$M$4:$M$503,_calc!$E$48))&amp;". ")&amp;IF(LEN(IF(LEN(INDEX('Inspections'!$N$4:$N$503,_calc!$E$48))=0,"",INDEX('Inspections'!$N$4:$N$503,_calc!$E$48)))=0,"","Owner: "&amp;IF(LEN(INDEX('Inspections'!$N$4:$N$503,_calc!$E$48))=0,"",INDEX('Inspections'!$N$4:$N$503,_calc!$E$48))&amp;". ")&amp;IF(LEN(IF(LEN(INDEX('Inspections'!$O$4:$O$503,_calc!$E$48))=0,"",INDEX('Inspections'!$O$4:$O$503,_calc!$E$48)))=0,"","Backup: "&amp;IF(LEN(INDEX('Inspections'!$O$4:$O$503,_calc!$E$48))=0,"",INDEX('Inspections'!$O$4:$O$503,_calc!$E$48))&amp;". ")&amp;IF(LEN(IF(LEN(INDEX('Inspections'!$R$4:$R$503,_calc!$E$48))=0,"",INDEX('Inspections'!$R$4:$R$503,_calc!$E$48)))=0,"",IF(LEN(INDEX('Inspections'!$R$4:$R$503,_calc!$E$48))=0,"",INDEX('Inspections'!$R$4:$R$503,_calc!$E$48)))))</f>
        <v/>
      </c>
      <c r="G46" s="55">
        <f>IF(_calc!$E$48="","",IF(LEN(INDEX('Inspections'!$Q$4:$Q$503,_calc!$E$48))=0,"",INDEX('Inspections'!$Q$4:$Q$503,_calc!$E$48)))</f>
        <v/>
      </c>
      <c r="K46" s="55">
        <f>IF(_calc!$E$48="","",IF(LEN(INDEX('Inspections'!$P$4:$P$503,_calc!$E$48))=0,"",INDEX('Inspections'!$P$4:$P$503,_calc!$E$48)))</f>
        <v/>
      </c>
    </row>
    <row r="47">
      <c r="A47" s="55">
        <f>IF(_calc!$E$49="","",IF(LEN(INDEX('Inspections'!$C$4:$C$503,_calc!$E$49))=0,"",INDEX('Inspections'!$C$4:$C$503,_calc!$E$49))&amp;" – "&amp;IF(LEN(INDEX('Inspections'!$A$4:$A$503,_calc!$E$49))=0,"",INDEX('Inspections'!$A$4:$A$503,_calc!$E$49)))</f>
        <v/>
      </c>
      <c r="B47" s="55">
        <f>IF(_calc!$E$49="","",IF(ISNUMBER(INDEX('Inspections'!$H$4:$H$503,_calc!$E$49)),TEXT(INDEX('Inspections'!$H$4:$H$503,_calc!$E$49),"yyyy-mm-dd"),""))</f>
        <v/>
      </c>
      <c r="C47" s="55">
        <f>IF(_calc!$E$49="","","Inspection")</f>
        <v/>
      </c>
      <c r="D47" s="55">
        <f>IF(_calc!$E$49="","",IF(ISNUMBER(INDEX('Inspections'!$G$4:$G$503,_calc!$E$49)),TEXT(INDEX('Inspections'!$G$4:$G$503,_calc!$E$49),"yyyy-mm-dd"),""))</f>
        <v/>
      </c>
      <c r="F47" s="55">
        <f>IF(_calc!$E$49="","",TRIM(IF(LEN(IF(LEN(INDEX('Inspections'!$B$4:$B$503,_calc!$E$49))=0,"",INDEX('Inspections'!$B$4:$B$503,_calc!$E$49)))=0,"","System: "&amp;IF(LEN(INDEX('Inspections'!$B$4:$B$503,_calc!$E$49))=0,"",INDEX('Inspections'!$B$4:$B$503,_calc!$E$49))&amp;". ")&amp;IF(LEN(IF(LEN(INDEX('Inspections'!$D$4:$D$503,_calc!$E$49))=0,"",INDEX('Inspections'!$D$4:$D$503,_calc!$E$49)))=0,"","Every: "&amp;IF(LEN(INDEX('Inspections'!$D$4:$D$503,_calc!$E$49))=0,"",INDEX('Inspections'!$D$4:$D$503,_calc!$E$49))&amp;". ")&amp;IF(LEN(IF(LEN(INDEX('Inspections'!$E$4:$E$503,_calc!$E$49))=0,"",INDEX('Inspections'!$E$4:$E$503,_calc!$E$49)))=0,"","Unit: "&amp;IF(LEN(INDEX('Inspections'!$E$4:$E$503,_calc!$E$49))=0,"",INDEX('Inspections'!$E$4:$E$503,_calc!$E$49))&amp;". ")&amp;IF(LEN(IF(LEN(INDEX('Inspections'!$F$4:$F$503,_calc!$E$49))=0,"",INDEX('Inspections'!$F$4:$F$503,_calc!$E$49)))=0,"","Done by: "&amp;IF(LEN(INDEX('Inspections'!$F$4:$F$503,_calc!$E$49))=0,"",INDEX('Inspections'!$F$4:$F$503,_calc!$E$49))&amp;". ")&amp;IF(LEN(IF(LEN(INDEX('Inspections'!$M$4:$M$503,_calc!$E$49))=0,"",INDEX('Inspections'!$M$4:$M$503,_calc!$E$49)))=0,"","Source: "&amp;IF(LEN(INDEX('Inspections'!$M$4:$M$503,_calc!$E$49))=0,"",INDEX('Inspections'!$M$4:$M$503,_calc!$E$49))&amp;". ")&amp;IF(LEN(IF(LEN(INDEX('Inspections'!$N$4:$N$503,_calc!$E$49))=0,"",INDEX('Inspections'!$N$4:$N$503,_calc!$E$49)))=0,"","Owner: "&amp;IF(LEN(INDEX('Inspections'!$N$4:$N$503,_calc!$E$49))=0,"",INDEX('Inspections'!$N$4:$N$503,_calc!$E$49))&amp;". ")&amp;IF(LEN(IF(LEN(INDEX('Inspections'!$O$4:$O$503,_calc!$E$49))=0,"",INDEX('Inspections'!$O$4:$O$503,_calc!$E$49)))=0,"","Backup: "&amp;IF(LEN(INDEX('Inspections'!$O$4:$O$503,_calc!$E$49))=0,"",INDEX('Inspections'!$O$4:$O$503,_calc!$E$49))&amp;". ")&amp;IF(LEN(IF(LEN(INDEX('Inspections'!$R$4:$R$503,_calc!$E$49))=0,"",INDEX('Inspections'!$R$4:$R$503,_calc!$E$49)))=0,"",IF(LEN(INDEX('Inspections'!$R$4:$R$503,_calc!$E$49))=0,"",INDEX('Inspections'!$R$4:$R$503,_calc!$E$49)))))</f>
        <v/>
      </c>
      <c r="G47" s="55">
        <f>IF(_calc!$E$49="","",IF(LEN(INDEX('Inspections'!$Q$4:$Q$503,_calc!$E$49))=0,"",INDEX('Inspections'!$Q$4:$Q$503,_calc!$E$49)))</f>
        <v/>
      </c>
      <c r="K47" s="55">
        <f>IF(_calc!$E$49="","",IF(LEN(INDEX('Inspections'!$P$4:$P$503,_calc!$E$49))=0,"",INDEX('Inspections'!$P$4:$P$503,_calc!$E$49)))</f>
        <v/>
      </c>
    </row>
    <row r="48">
      <c r="A48" s="55">
        <f>IF(_calc!$E$50="","",IF(LEN(INDEX('Inspections'!$C$4:$C$503,_calc!$E$50))=0,"",INDEX('Inspections'!$C$4:$C$503,_calc!$E$50))&amp;" – "&amp;IF(LEN(INDEX('Inspections'!$A$4:$A$503,_calc!$E$50))=0,"",INDEX('Inspections'!$A$4:$A$503,_calc!$E$50)))</f>
        <v/>
      </c>
      <c r="B48" s="55">
        <f>IF(_calc!$E$50="","",IF(ISNUMBER(INDEX('Inspections'!$H$4:$H$503,_calc!$E$50)),TEXT(INDEX('Inspections'!$H$4:$H$503,_calc!$E$50),"yyyy-mm-dd"),""))</f>
        <v/>
      </c>
      <c r="C48" s="55">
        <f>IF(_calc!$E$50="","","Inspection")</f>
        <v/>
      </c>
      <c r="D48" s="55">
        <f>IF(_calc!$E$50="","",IF(ISNUMBER(INDEX('Inspections'!$G$4:$G$503,_calc!$E$50)),TEXT(INDEX('Inspections'!$G$4:$G$503,_calc!$E$50),"yyyy-mm-dd"),""))</f>
        <v/>
      </c>
      <c r="F48" s="55">
        <f>IF(_calc!$E$50="","",TRIM(IF(LEN(IF(LEN(INDEX('Inspections'!$B$4:$B$503,_calc!$E$50))=0,"",INDEX('Inspections'!$B$4:$B$503,_calc!$E$50)))=0,"","System: "&amp;IF(LEN(INDEX('Inspections'!$B$4:$B$503,_calc!$E$50))=0,"",INDEX('Inspections'!$B$4:$B$503,_calc!$E$50))&amp;". ")&amp;IF(LEN(IF(LEN(INDEX('Inspections'!$D$4:$D$503,_calc!$E$50))=0,"",INDEX('Inspections'!$D$4:$D$503,_calc!$E$50)))=0,"","Every: "&amp;IF(LEN(INDEX('Inspections'!$D$4:$D$503,_calc!$E$50))=0,"",INDEX('Inspections'!$D$4:$D$503,_calc!$E$50))&amp;". ")&amp;IF(LEN(IF(LEN(INDEX('Inspections'!$E$4:$E$503,_calc!$E$50))=0,"",INDEX('Inspections'!$E$4:$E$503,_calc!$E$50)))=0,"","Unit: "&amp;IF(LEN(INDEX('Inspections'!$E$4:$E$503,_calc!$E$50))=0,"",INDEX('Inspections'!$E$4:$E$503,_calc!$E$50))&amp;". ")&amp;IF(LEN(IF(LEN(INDEX('Inspections'!$F$4:$F$503,_calc!$E$50))=0,"",INDEX('Inspections'!$F$4:$F$503,_calc!$E$50)))=0,"","Done by: "&amp;IF(LEN(INDEX('Inspections'!$F$4:$F$503,_calc!$E$50))=0,"",INDEX('Inspections'!$F$4:$F$503,_calc!$E$50))&amp;". ")&amp;IF(LEN(IF(LEN(INDEX('Inspections'!$M$4:$M$503,_calc!$E$50))=0,"",INDEX('Inspections'!$M$4:$M$503,_calc!$E$50)))=0,"","Source: "&amp;IF(LEN(INDEX('Inspections'!$M$4:$M$503,_calc!$E$50))=0,"",INDEX('Inspections'!$M$4:$M$503,_calc!$E$50))&amp;". ")&amp;IF(LEN(IF(LEN(INDEX('Inspections'!$N$4:$N$503,_calc!$E$50))=0,"",INDEX('Inspections'!$N$4:$N$503,_calc!$E$50)))=0,"","Owner: "&amp;IF(LEN(INDEX('Inspections'!$N$4:$N$503,_calc!$E$50))=0,"",INDEX('Inspections'!$N$4:$N$503,_calc!$E$50))&amp;". ")&amp;IF(LEN(IF(LEN(INDEX('Inspections'!$O$4:$O$503,_calc!$E$50))=0,"",INDEX('Inspections'!$O$4:$O$503,_calc!$E$50)))=0,"","Backup: "&amp;IF(LEN(INDEX('Inspections'!$O$4:$O$503,_calc!$E$50))=0,"",INDEX('Inspections'!$O$4:$O$503,_calc!$E$50))&amp;". ")&amp;IF(LEN(IF(LEN(INDEX('Inspections'!$R$4:$R$503,_calc!$E$50))=0,"",INDEX('Inspections'!$R$4:$R$503,_calc!$E$50)))=0,"",IF(LEN(INDEX('Inspections'!$R$4:$R$503,_calc!$E$50))=0,"",INDEX('Inspections'!$R$4:$R$503,_calc!$E$50)))))</f>
        <v/>
      </c>
      <c r="G48" s="55">
        <f>IF(_calc!$E$50="","",IF(LEN(INDEX('Inspections'!$Q$4:$Q$503,_calc!$E$50))=0,"",INDEX('Inspections'!$Q$4:$Q$503,_calc!$E$50)))</f>
        <v/>
      </c>
      <c r="K48" s="55">
        <f>IF(_calc!$E$50="","",IF(LEN(INDEX('Inspections'!$P$4:$P$503,_calc!$E$50))=0,"",INDEX('Inspections'!$P$4:$P$503,_calc!$E$50)))</f>
        <v/>
      </c>
    </row>
    <row r="49">
      <c r="A49" s="55">
        <f>IF(_calc!$E$51="","",IF(LEN(INDEX('Inspections'!$C$4:$C$503,_calc!$E$51))=0,"",INDEX('Inspections'!$C$4:$C$503,_calc!$E$51))&amp;" – "&amp;IF(LEN(INDEX('Inspections'!$A$4:$A$503,_calc!$E$51))=0,"",INDEX('Inspections'!$A$4:$A$503,_calc!$E$51)))</f>
        <v/>
      </c>
      <c r="B49" s="55">
        <f>IF(_calc!$E$51="","",IF(ISNUMBER(INDEX('Inspections'!$H$4:$H$503,_calc!$E$51)),TEXT(INDEX('Inspections'!$H$4:$H$503,_calc!$E$51),"yyyy-mm-dd"),""))</f>
        <v/>
      </c>
      <c r="C49" s="55">
        <f>IF(_calc!$E$51="","","Inspection")</f>
        <v/>
      </c>
      <c r="D49" s="55">
        <f>IF(_calc!$E$51="","",IF(ISNUMBER(INDEX('Inspections'!$G$4:$G$503,_calc!$E$51)),TEXT(INDEX('Inspections'!$G$4:$G$503,_calc!$E$51),"yyyy-mm-dd"),""))</f>
        <v/>
      </c>
      <c r="F49" s="55">
        <f>IF(_calc!$E$51="","",TRIM(IF(LEN(IF(LEN(INDEX('Inspections'!$B$4:$B$503,_calc!$E$51))=0,"",INDEX('Inspections'!$B$4:$B$503,_calc!$E$51)))=0,"","System: "&amp;IF(LEN(INDEX('Inspections'!$B$4:$B$503,_calc!$E$51))=0,"",INDEX('Inspections'!$B$4:$B$503,_calc!$E$51))&amp;". ")&amp;IF(LEN(IF(LEN(INDEX('Inspections'!$D$4:$D$503,_calc!$E$51))=0,"",INDEX('Inspections'!$D$4:$D$503,_calc!$E$51)))=0,"","Every: "&amp;IF(LEN(INDEX('Inspections'!$D$4:$D$503,_calc!$E$51))=0,"",INDEX('Inspections'!$D$4:$D$503,_calc!$E$51))&amp;". ")&amp;IF(LEN(IF(LEN(INDEX('Inspections'!$E$4:$E$503,_calc!$E$51))=0,"",INDEX('Inspections'!$E$4:$E$503,_calc!$E$51)))=0,"","Unit: "&amp;IF(LEN(INDEX('Inspections'!$E$4:$E$503,_calc!$E$51))=0,"",INDEX('Inspections'!$E$4:$E$503,_calc!$E$51))&amp;". ")&amp;IF(LEN(IF(LEN(INDEX('Inspections'!$F$4:$F$503,_calc!$E$51))=0,"",INDEX('Inspections'!$F$4:$F$503,_calc!$E$51)))=0,"","Done by: "&amp;IF(LEN(INDEX('Inspections'!$F$4:$F$503,_calc!$E$51))=0,"",INDEX('Inspections'!$F$4:$F$503,_calc!$E$51))&amp;". ")&amp;IF(LEN(IF(LEN(INDEX('Inspections'!$M$4:$M$503,_calc!$E$51))=0,"",INDEX('Inspections'!$M$4:$M$503,_calc!$E$51)))=0,"","Source: "&amp;IF(LEN(INDEX('Inspections'!$M$4:$M$503,_calc!$E$51))=0,"",INDEX('Inspections'!$M$4:$M$503,_calc!$E$51))&amp;". ")&amp;IF(LEN(IF(LEN(INDEX('Inspections'!$N$4:$N$503,_calc!$E$51))=0,"",INDEX('Inspections'!$N$4:$N$503,_calc!$E$51)))=0,"","Owner: "&amp;IF(LEN(INDEX('Inspections'!$N$4:$N$503,_calc!$E$51))=0,"",INDEX('Inspections'!$N$4:$N$503,_calc!$E$51))&amp;". ")&amp;IF(LEN(IF(LEN(INDEX('Inspections'!$O$4:$O$503,_calc!$E$51))=0,"",INDEX('Inspections'!$O$4:$O$503,_calc!$E$51)))=0,"","Backup: "&amp;IF(LEN(INDEX('Inspections'!$O$4:$O$503,_calc!$E$51))=0,"",INDEX('Inspections'!$O$4:$O$503,_calc!$E$51))&amp;". ")&amp;IF(LEN(IF(LEN(INDEX('Inspections'!$R$4:$R$503,_calc!$E$51))=0,"",INDEX('Inspections'!$R$4:$R$503,_calc!$E$51)))=0,"",IF(LEN(INDEX('Inspections'!$R$4:$R$503,_calc!$E$51))=0,"",INDEX('Inspections'!$R$4:$R$503,_calc!$E$51)))))</f>
        <v/>
      </c>
      <c r="G49" s="55">
        <f>IF(_calc!$E$51="","",IF(LEN(INDEX('Inspections'!$Q$4:$Q$503,_calc!$E$51))=0,"",INDEX('Inspections'!$Q$4:$Q$503,_calc!$E$51)))</f>
        <v/>
      </c>
      <c r="K49" s="55">
        <f>IF(_calc!$E$51="","",IF(LEN(INDEX('Inspections'!$P$4:$P$503,_calc!$E$51))=0,"",INDEX('Inspections'!$P$4:$P$503,_calc!$E$51)))</f>
        <v/>
      </c>
    </row>
    <row r="50">
      <c r="A50" s="55">
        <f>IF(_calc!$E$52="","",IF(LEN(INDEX('Inspections'!$C$4:$C$503,_calc!$E$52))=0,"",INDEX('Inspections'!$C$4:$C$503,_calc!$E$52))&amp;" – "&amp;IF(LEN(INDEX('Inspections'!$A$4:$A$503,_calc!$E$52))=0,"",INDEX('Inspections'!$A$4:$A$503,_calc!$E$52)))</f>
        <v/>
      </c>
      <c r="B50" s="55">
        <f>IF(_calc!$E$52="","",IF(ISNUMBER(INDEX('Inspections'!$H$4:$H$503,_calc!$E$52)),TEXT(INDEX('Inspections'!$H$4:$H$503,_calc!$E$52),"yyyy-mm-dd"),""))</f>
        <v/>
      </c>
      <c r="C50" s="55">
        <f>IF(_calc!$E$52="","","Inspection")</f>
        <v/>
      </c>
      <c r="D50" s="55">
        <f>IF(_calc!$E$52="","",IF(ISNUMBER(INDEX('Inspections'!$G$4:$G$503,_calc!$E$52)),TEXT(INDEX('Inspections'!$G$4:$G$503,_calc!$E$52),"yyyy-mm-dd"),""))</f>
        <v/>
      </c>
      <c r="F50" s="55">
        <f>IF(_calc!$E$52="","",TRIM(IF(LEN(IF(LEN(INDEX('Inspections'!$B$4:$B$503,_calc!$E$52))=0,"",INDEX('Inspections'!$B$4:$B$503,_calc!$E$52)))=0,"","System: "&amp;IF(LEN(INDEX('Inspections'!$B$4:$B$503,_calc!$E$52))=0,"",INDEX('Inspections'!$B$4:$B$503,_calc!$E$52))&amp;". ")&amp;IF(LEN(IF(LEN(INDEX('Inspections'!$D$4:$D$503,_calc!$E$52))=0,"",INDEX('Inspections'!$D$4:$D$503,_calc!$E$52)))=0,"","Every: "&amp;IF(LEN(INDEX('Inspections'!$D$4:$D$503,_calc!$E$52))=0,"",INDEX('Inspections'!$D$4:$D$503,_calc!$E$52))&amp;". ")&amp;IF(LEN(IF(LEN(INDEX('Inspections'!$E$4:$E$503,_calc!$E$52))=0,"",INDEX('Inspections'!$E$4:$E$503,_calc!$E$52)))=0,"","Unit: "&amp;IF(LEN(INDEX('Inspections'!$E$4:$E$503,_calc!$E$52))=0,"",INDEX('Inspections'!$E$4:$E$503,_calc!$E$52))&amp;". ")&amp;IF(LEN(IF(LEN(INDEX('Inspections'!$F$4:$F$503,_calc!$E$52))=0,"",INDEX('Inspections'!$F$4:$F$503,_calc!$E$52)))=0,"","Done by: "&amp;IF(LEN(INDEX('Inspections'!$F$4:$F$503,_calc!$E$52))=0,"",INDEX('Inspections'!$F$4:$F$503,_calc!$E$52))&amp;". ")&amp;IF(LEN(IF(LEN(INDEX('Inspections'!$M$4:$M$503,_calc!$E$52))=0,"",INDEX('Inspections'!$M$4:$M$503,_calc!$E$52)))=0,"","Source: "&amp;IF(LEN(INDEX('Inspections'!$M$4:$M$503,_calc!$E$52))=0,"",INDEX('Inspections'!$M$4:$M$503,_calc!$E$52))&amp;". ")&amp;IF(LEN(IF(LEN(INDEX('Inspections'!$N$4:$N$503,_calc!$E$52))=0,"",INDEX('Inspections'!$N$4:$N$503,_calc!$E$52)))=0,"","Owner: "&amp;IF(LEN(INDEX('Inspections'!$N$4:$N$503,_calc!$E$52))=0,"",INDEX('Inspections'!$N$4:$N$503,_calc!$E$52))&amp;". ")&amp;IF(LEN(IF(LEN(INDEX('Inspections'!$O$4:$O$503,_calc!$E$52))=0,"",INDEX('Inspections'!$O$4:$O$503,_calc!$E$52)))=0,"","Backup: "&amp;IF(LEN(INDEX('Inspections'!$O$4:$O$503,_calc!$E$52))=0,"",INDEX('Inspections'!$O$4:$O$503,_calc!$E$52))&amp;". ")&amp;IF(LEN(IF(LEN(INDEX('Inspections'!$R$4:$R$503,_calc!$E$52))=0,"",INDEX('Inspections'!$R$4:$R$503,_calc!$E$52)))=0,"",IF(LEN(INDEX('Inspections'!$R$4:$R$503,_calc!$E$52))=0,"",INDEX('Inspections'!$R$4:$R$503,_calc!$E$52)))))</f>
        <v/>
      </c>
      <c r="G50" s="55">
        <f>IF(_calc!$E$52="","",IF(LEN(INDEX('Inspections'!$Q$4:$Q$503,_calc!$E$52))=0,"",INDEX('Inspections'!$Q$4:$Q$503,_calc!$E$52)))</f>
        <v/>
      </c>
      <c r="K50" s="55">
        <f>IF(_calc!$E$52="","",IF(LEN(INDEX('Inspections'!$P$4:$P$503,_calc!$E$52))=0,"",INDEX('Inspections'!$P$4:$P$503,_calc!$E$52)))</f>
        <v/>
      </c>
    </row>
    <row r="51">
      <c r="A51" s="55">
        <f>IF(_calc!$E$53="","",IF(LEN(INDEX('Inspections'!$C$4:$C$503,_calc!$E$53))=0,"",INDEX('Inspections'!$C$4:$C$503,_calc!$E$53))&amp;" – "&amp;IF(LEN(INDEX('Inspections'!$A$4:$A$503,_calc!$E$53))=0,"",INDEX('Inspections'!$A$4:$A$503,_calc!$E$53)))</f>
        <v/>
      </c>
      <c r="B51" s="55">
        <f>IF(_calc!$E$53="","",IF(ISNUMBER(INDEX('Inspections'!$H$4:$H$503,_calc!$E$53)),TEXT(INDEX('Inspections'!$H$4:$H$503,_calc!$E$53),"yyyy-mm-dd"),""))</f>
        <v/>
      </c>
      <c r="C51" s="55">
        <f>IF(_calc!$E$53="","","Inspection")</f>
        <v/>
      </c>
      <c r="D51" s="55">
        <f>IF(_calc!$E$53="","",IF(ISNUMBER(INDEX('Inspections'!$G$4:$G$503,_calc!$E$53)),TEXT(INDEX('Inspections'!$G$4:$G$503,_calc!$E$53),"yyyy-mm-dd"),""))</f>
        <v/>
      </c>
      <c r="F51" s="55">
        <f>IF(_calc!$E$53="","",TRIM(IF(LEN(IF(LEN(INDEX('Inspections'!$B$4:$B$503,_calc!$E$53))=0,"",INDEX('Inspections'!$B$4:$B$503,_calc!$E$53)))=0,"","System: "&amp;IF(LEN(INDEX('Inspections'!$B$4:$B$503,_calc!$E$53))=0,"",INDEX('Inspections'!$B$4:$B$503,_calc!$E$53))&amp;". ")&amp;IF(LEN(IF(LEN(INDEX('Inspections'!$D$4:$D$503,_calc!$E$53))=0,"",INDEX('Inspections'!$D$4:$D$503,_calc!$E$53)))=0,"","Every: "&amp;IF(LEN(INDEX('Inspections'!$D$4:$D$503,_calc!$E$53))=0,"",INDEX('Inspections'!$D$4:$D$503,_calc!$E$53))&amp;". ")&amp;IF(LEN(IF(LEN(INDEX('Inspections'!$E$4:$E$503,_calc!$E$53))=0,"",INDEX('Inspections'!$E$4:$E$503,_calc!$E$53)))=0,"","Unit: "&amp;IF(LEN(INDEX('Inspections'!$E$4:$E$503,_calc!$E$53))=0,"",INDEX('Inspections'!$E$4:$E$503,_calc!$E$53))&amp;". ")&amp;IF(LEN(IF(LEN(INDEX('Inspections'!$F$4:$F$503,_calc!$E$53))=0,"",INDEX('Inspections'!$F$4:$F$503,_calc!$E$53)))=0,"","Done by: "&amp;IF(LEN(INDEX('Inspections'!$F$4:$F$503,_calc!$E$53))=0,"",INDEX('Inspections'!$F$4:$F$503,_calc!$E$53))&amp;". ")&amp;IF(LEN(IF(LEN(INDEX('Inspections'!$M$4:$M$503,_calc!$E$53))=0,"",INDEX('Inspections'!$M$4:$M$503,_calc!$E$53)))=0,"","Source: "&amp;IF(LEN(INDEX('Inspections'!$M$4:$M$503,_calc!$E$53))=0,"",INDEX('Inspections'!$M$4:$M$503,_calc!$E$53))&amp;". ")&amp;IF(LEN(IF(LEN(INDEX('Inspections'!$N$4:$N$503,_calc!$E$53))=0,"",INDEX('Inspections'!$N$4:$N$503,_calc!$E$53)))=0,"","Owner: "&amp;IF(LEN(INDEX('Inspections'!$N$4:$N$503,_calc!$E$53))=0,"",INDEX('Inspections'!$N$4:$N$503,_calc!$E$53))&amp;". ")&amp;IF(LEN(IF(LEN(INDEX('Inspections'!$O$4:$O$503,_calc!$E$53))=0,"",INDEX('Inspections'!$O$4:$O$503,_calc!$E$53)))=0,"","Backup: "&amp;IF(LEN(INDEX('Inspections'!$O$4:$O$503,_calc!$E$53))=0,"",INDEX('Inspections'!$O$4:$O$503,_calc!$E$53))&amp;". ")&amp;IF(LEN(IF(LEN(INDEX('Inspections'!$R$4:$R$503,_calc!$E$53))=0,"",INDEX('Inspections'!$R$4:$R$503,_calc!$E$53)))=0,"",IF(LEN(INDEX('Inspections'!$R$4:$R$503,_calc!$E$53))=0,"",INDEX('Inspections'!$R$4:$R$503,_calc!$E$53)))))</f>
        <v/>
      </c>
      <c r="G51" s="55">
        <f>IF(_calc!$E$53="","",IF(LEN(INDEX('Inspections'!$Q$4:$Q$503,_calc!$E$53))=0,"",INDEX('Inspections'!$Q$4:$Q$503,_calc!$E$53)))</f>
        <v/>
      </c>
      <c r="K51" s="55">
        <f>IF(_calc!$E$53="","",IF(LEN(INDEX('Inspections'!$P$4:$P$503,_calc!$E$53))=0,"",INDEX('Inspections'!$P$4:$P$503,_calc!$E$53)))</f>
        <v/>
      </c>
    </row>
    <row r="52">
      <c r="A52" s="55">
        <f>IF(_calc!$E$54="","",IF(LEN(INDEX('Inspections'!$C$4:$C$503,_calc!$E$54))=0,"",INDEX('Inspections'!$C$4:$C$503,_calc!$E$54))&amp;" – "&amp;IF(LEN(INDEX('Inspections'!$A$4:$A$503,_calc!$E$54))=0,"",INDEX('Inspections'!$A$4:$A$503,_calc!$E$54)))</f>
        <v/>
      </c>
      <c r="B52" s="55">
        <f>IF(_calc!$E$54="","",IF(ISNUMBER(INDEX('Inspections'!$H$4:$H$503,_calc!$E$54)),TEXT(INDEX('Inspections'!$H$4:$H$503,_calc!$E$54),"yyyy-mm-dd"),""))</f>
        <v/>
      </c>
      <c r="C52" s="55">
        <f>IF(_calc!$E$54="","","Inspection")</f>
        <v/>
      </c>
      <c r="D52" s="55">
        <f>IF(_calc!$E$54="","",IF(ISNUMBER(INDEX('Inspections'!$G$4:$G$503,_calc!$E$54)),TEXT(INDEX('Inspections'!$G$4:$G$503,_calc!$E$54),"yyyy-mm-dd"),""))</f>
        <v/>
      </c>
      <c r="F52" s="55">
        <f>IF(_calc!$E$54="","",TRIM(IF(LEN(IF(LEN(INDEX('Inspections'!$B$4:$B$503,_calc!$E$54))=0,"",INDEX('Inspections'!$B$4:$B$503,_calc!$E$54)))=0,"","System: "&amp;IF(LEN(INDEX('Inspections'!$B$4:$B$503,_calc!$E$54))=0,"",INDEX('Inspections'!$B$4:$B$503,_calc!$E$54))&amp;". ")&amp;IF(LEN(IF(LEN(INDEX('Inspections'!$D$4:$D$503,_calc!$E$54))=0,"",INDEX('Inspections'!$D$4:$D$503,_calc!$E$54)))=0,"","Every: "&amp;IF(LEN(INDEX('Inspections'!$D$4:$D$503,_calc!$E$54))=0,"",INDEX('Inspections'!$D$4:$D$503,_calc!$E$54))&amp;". ")&amp;IF(LEN(IF(LEN(INDEX('Inspections'!$E$4:$E$503,_calc!$E$54))=0,"",INDEX('Inspections'!$E$4:$E$503,_calc!$E$54)))=0,"","Unit: "&amp;IF(LEN(INDEX('Inspections'!$E$4:$E$503,_calc!$E$54))=0,"",INDEX('Inspections'!$E$4:$E$503,_calc!$E$54))&amp;". ")&amp;IF(LEN(IF(LEN(INDEX('Inspections'!$F$4:$F$503,_calc!$E$54))=0,"",INDEX('Inspections'!$F$4:$F$503,_calc!$E$54)))=0,"","Done by: "&amp;IF(LEN(INDEX('Inspections'!$F$4:$F$503,_calc!$E$54))=0,"",INDEX('Inspections'!$F$4:$F$503,_calc!$E$54))&amp;". ")&amp;IF(LEN(IF(LEN(INDEX('Inspections'!$M$4:$M$503,_calc!$E$54))=0,"",INDEX('Inspections'!$M$4:$M$503,_calc!$E$54)))=0,"","Source: "&amp;IF(LEN(INDEX('Inspections'!$M$4:$M$503,_calc!$E$54))=0,"",INDEX('Inspections'!$M$4:$M$503,_calc!$E$54))&amp;". ")&amp;IF(LEN(IF(LEN(INDEX('Inspections'!$N$4:$N$503,_calc!$E$54))=0,"",INDEX('Inspections'!$N$4:$N$503,_calc!$E$54)))=0,"","Owner: "&amp;IF(LEN(INDEX('Inspections'!$N$4:$N$503,_calc!$E$54))=0,"",INDEX('Inspections'!$N$4:$N$503,_calc!$E$54))&amp;". ")&amp;IF(LEN(IF(LEN(INDEX('Inspections'!$O$4:$O$503,_calc!$E$54))=0,"",INDEX('Inspections'!$O$4:$O$503,_calc!$E$54)))=0,"","Backup: "&amp;IF(LEN(INDEX('Inspections'!$O$4:$O$503,_calc!$E$54))=0,"",INDEX('Inspections'!$O$4:$O$503,_calc!$E$54))&amp;". ")&amp;IF(LEN(IF(LEN(INDEX('Inspections'!$R$4:$R$503,_calc!$E$54))=0,"",INDEX('Inspections'!$R$4:$R$503,_calc!$E$54)))=0,"",IF(LEN(INDEX('Inspections'!$R$4:$R$503,_calc!$E$54))=0,"",INDEX('Inspections'!$R$4:$R$503,_calc!$E$54)))))</f>
        <v/>
      </c>
      <c r="G52" s="55">
        <f>IF(_calc!$E$54="","",IF(LEN(INDEX('Inspections'!$Q$4:$Q$503,_calc!$E$54))=0,"",INDEX('Inspections'!$Q$4:$Q$503,_calc!$E$54)))</f>
        <v/>
      </c>
      <c r="K52" s="55">
        <f>IF(_calc!$E$54="","",IF(LEN(INDEX('Inspections'!$P$4:$P$503,_calc!$E$54))=0,"",INDEX('Inspections'!$P$4:$P$503,_calc!$E$54)))</f>
        <v/>
      </c>
    </row>
    <row r="53">
      <c r="A53" s="55">
        <f>IF(_calc!$E$55="","",IF(LEN(INDEX('Inspections'!$C$4:$C$503,_calc!$E$55))=0,"",INDEX('Inspections'!$C$4:$C$503,_calc!$E$55))&amp;" – "&amp;IF(LEN(INDEX('Inspections'!$A$4:$A$503,_calc!$E$55))=0,"",INDEX('Inspections'!$A$4:$A$503,_calc!$E$55)))</f>
        <v/>
      </c>
      <c r="B53" s="55">
        <f>IF(_calc!$E$55="","",IF(ISNUMBER(INDEX('Inspections'!$H$4:$H$503,_calc!$E$55)),TEXT(INDEX('Inspections'!$H$4:$H$503,_calc!$E$55),"yyyy-mm-dd"),""))</f>
        <v/>
      </c>
      <c r="C53" s="55">
        <f>IF(_calc!$E$55="","","Inspection")</f>
        <v/>
      </c>
      <c r="D53" s="55">
        <f>IF(_calc!$E$55="","",IF(ISNUMBER(INDEX('Inspections'!$G$4:$G$503,_calc!$E$55)),TEXT(INDEX('Inspections'!$G$4:$G$503,_calc!$E$55),"yyyy-mm-dd"),""))</f>
        <v/>
      </c>
      <c r="F53" s="55">
        <f>IF(_calc!$E$55="","",TRIM(IF(LEN(IF(LEN(INDEX('Inspections'!$B$4:$B$503,_calc!$E$55))=0,"",INDEX('Inspections'!$B$4:$B$503,_calc!$E$55)))=0,"","System: "&amp;IF(LEN(INDEX('Inspections'!$B$4:$B$503,_calc!$E$55))=0,"",INDEX('Inspections'!$B$4:$B$503,_calc!$E$55))&amp;". ")&amp;IF(LEN(IF(LEN(INDEX('Inspections'!$D$4:$D$503,_calc!$E$55))=0,"",INDEX('Inspections'!$D$4:$D$503,_calc!$E$55)))=0,"","Every: "&amp;IF(LEN(INDEX('Inspections'!$D$4:$D$503,_calc!$E$55))=0,"",INDEX('Inspections'!$D$4:$D$503,_calc!$E$55))&amp;". ")&amp;IF(LEN(IF(LEN(INDEX('Inspections'!$E$4:$E$503,_calc!$E$55))=0,"",INDEX('Inspections'!$E$4:$E$503,_calc!$E$55)))=0,"","Unit: "&amp;IF(LEN(INDEX('Inspections'!$E$4:$E$503,_calc!$E$55))=0,"",INDEX('Inspections'!$E$4:$E$503,_calc!$E$55))&amp;". ")&amp;IF(LEN(IF(LEN(INDEX('Inspections'!$F$4:$F$503,_calc!$E$55))=0,"",INDEX('Inspections'!$F$4:$F$503,_calc!$E$55)))=0,"","Done by: "&amp;IF(LEN(INDEX('Inspections'!$F$4:$F$503,_calc!$E$55))=0,"",INDEX('Inspections'!$F$4:$F$503,_calc!$E$55))&amp;". ")&amp;IF(LEN(IF(LEN(INDEX('Inspections'!$M$4:$M$503,_calc!$E$55))=0,"",INDEX('Inspections'!$M$4:$M$503,_calc!$E$55)))=0,"","Source: "&amp;IF(LEN(INDEX('Inspections'!$M$4:$M$503,_calc!$E$55))=0,"",INDEX('Inspections'!$M$4:$M$503,_calc!$E$55))&amp;". ")&amp;IF(LEN(IF(LEN(INDEX('Inspections'!$N$4:$N$503,_calc!$E$55))=0,"",INDEX('Inspections'!$N$4:$N$503,_calc!$E$55)))=0,"","Owner: "&amp;IF(LEN(INDEX('Inspections'!$N$4:$N$503,_calc!$E$55))=0,"",INDEX('Inspections'!$N$4:$N$503,_calc!$E$55))&amp;". ")&amp;IF(LEN(IF(LEN(INDEX('Inspections'!$O$4:$O$503,_calc!$E$55))=0,"",INDEX('Inspections'!$O$4:$O$503,_calc!$E$55)))=0,"","Backup: "&amp;IF(LEN(INDEX('Inspections'!$O$4:$O$503,_calc!$E$55))=0,"",INDEX('Inspections'!$O$4:$O$503,_calc!$E$55))&amp;". ")&amp;IF(LEN(IF(LEN(INDEX('Inspections'!$R$4:$R$503,_calc!$E$55))=0,"",INDEX('Inspections'!$R$4:$R$503,_calc!$E$55)))=0,"",IF(LEN(INDEX('Inspections'!$R$4:$R$503,_calc!$E$55))=0,"",INDEX('Inspections'!$R$4:$R$503,_calc!$E$55)))))</f>
        <v/>
      </c>
      <c r="G53" s="55">
        <f>IF(_calc!$E$55="","",IF(LEN(INDEX('Inspections'!$Q$4:$Q$503,_calc!$E$55))=0,"",INDEX('Inspections'!$Q$4:$Q$503,_calc!$E$55)))</f>
        <v/>
      </c>
      <c r="K53" s="55">
        <f>IF(_calc!$E$55="","",IF(LEN(INDEX('Inspections'!$P$4:$P$503,_calc!$E$55))=0,"",INDEX('Inspections'!$P$4:$P$503,_calc!$E$55)))</f>
        <v/>
      </c>
    </row>
    <row r="54">
      <c r="A54" s="55">
        <f>IF(_calc!$E$56="","",IF(LEN(INDEX('Inspections'!$C$4:$C$503,_calc!$E$56))=0,"",INDEX('Inspections'!$C$4:$C$503,_calc!$E$56))&amp;" – "&amp;IF(LEN(INDEX('Inspections'!$A$4:$A$503,_calc!$E$56))=0,"",INDEX('Inspections'!$A$4:$A$503,_calc!$E$56)))</f>
        <v/>
      </c>
      <c r="B54" s="55">
        <f>IF(_calc!$E$56="","",IF(ISNUMBER(INDEX('Inspections'!$H$4:$H$503,_calc!$E$56)),TEXT(INDEX('Inspections'!$H$4:$H$503,_calc!$E$56),"yyyy-mm-dd"),""))</f>
        <v/>
      </c>
      <c r="C54" s="55">
        <f>IF(_calc!$E$56="","","Inspection")</f>
        <v/>
      </c>
      <c r="D54" s="55">
        <f>IF(_calc!$E$56="","",IF(ISNUMBER(INDEX('Inspections'!$G$4:$G$503,_calc!$E$56)),TEXT(INDEX('Inspections'!$G$4:$G$503,_calc!$E$56),"yyyy-mm-dd"),""))</f>
        <v/>
      </c>
      <c r="F54" s="55">
        <f>IF(_calc!$E$56="","",TRIM(IF(LEN(IF(LEN(INDEX('Inspections'!$B$4:$B$503,_calc!$E$56))=0,"",INDEX('Inspections'!$B$4:$B$503,_calc!$E$56)))=0,"","System: "&amp;IF(LEN(INDEX('Inspections'!$B$4:$B$503,_calc!$E$56))=0,"",INDEX('Inspections'!$B$4:$B$503,_calc!$E$56))&amp;". ")&amp;IF(LEN(IF(LEN(INDEX('Inspections'!$D$4:$D$503,_calc!$E$56))=0,"",INDEX('Inspections'!$D$4:$D$503,_calc!$E$56)))=0,"","Every: "&amp;IF(LEN(INDEX('Inspections'!$D$4:$D$503,_calc!$E$56))=0,"",INDEX('Inspections'!$D$4:$D$503,_calc!$E$56))&amp;". ")&amp;IF(LEN(IF(LEN(INDEX('Inspections'!$E$4:$E$503,_calc!$E$56))=0,"",INDEX('Inspections'!$E$4:$E$503,_calc!$E$56)))=0,"","Unit: "&amp;IF(LEN(INDEX('Inspections'!$E$4:$E$503,_calc!$E$56))=0,"",INDEX('Inspections'!$E$4:$E$503,_calc!$E$56))&amp;". ")&amp;IF(LEN(IF(LEN(INDEX('Inspections'!$F$4:$F$503,_calc!$E$56))=0,"",INDEX('Inspections'!$F$4:$F$503,_calc!$E$56)))=0,"","Done by: "&amp;IF(LEN(INDEX('Inspections'!$F$4:$F$503,_calc!$E$56))=0,"",INDEX('Inspections'!$F$4:$F$503,_calc!$E$56))&amp;". ")&amp;IF(LEN(IF(LEN(INDEX('Inspections'!$M$4:$M$503,_calc!$E$56))=0,"",INDEX('Inspections'!$M$4:$M$503,_calc!$E$56)))=0,"","Source: "&amp;IF(LEN(INDEX('Inspections'!$M$4:$M$503,_calc!$E$56))=0,"",INDEX('Inspections'!$M$4:$M$503,_calc!$E$56))&amp;". ")&amp;IF(LEN(IF(LEN(INDEX('Inspections'!$N$4:$N$503,_calc!$E$56))=0,"",INDEX('Inspections'!$N$4:$N$503,_calc!$E$56)))=0,"","Owner: "&amp;IF(LEN(INDEX('Inspections'!$N$4:$N$503,_calc!$E$56))=0,"",INDEX('Inspections'!$N$4:$N$503,_calc!$E$56))&amp;". ")&amp;IF(LEN(IF(LEN(INDEX('Inspections'!$O$4:$O$503,_calc!$E$56))=0,"",INDEX('Inspections'!$O$4:$O$503,_calc!$E$56)))=0,"","Backup: "&amp;IF(LEN(INDEX('Inspections'!$O$4:$O$503,_calc!$E$56))=0,"",INDEX('Inspections'!$O$4:$O$503,_calc!$E$56))&amp;". ")&amp;IF(LEN(IF(LEN(INDEX('Inspections'!$R$4:$R$503,_calc!$E$56))=0,"",INDEX('Inspections'!$R$4:$R$503,_calc!$E$56)))=0,"",IF(LEN(INDEX('Inspections'!$R$4:$R$503,_calc!$E$56))=0,"",INDEX('Inspections'!$R$4:$R$503,_calc!$E$56)))))</f>
        <v/>
      </c>
      <c r="G54" s="55">
        <f>IF(_calc!$E$56="","",IF(LEN(INDEX('Inspections'!$Q$4:$Q$503,_calc!$E$56))=0,"",INDEX('Inspections'!$Q$4:$Q$503,_calc!$E$56)))</f>
        <v/>
      </c>
      <c r="K54" s="55">
        <f>IF(_calc!$E$56="","",IF(LEN(INDEX('Inspections'!$P$4:$P$503,_calc!$E$56))=0,"",INDEX('Inspections'!$P$4:$P$503,_calc!$E$56)))</f>
        <v/>
      </c>
    </row>
    <row r="55">
      <c r="A55" s="55">
        <f>IF(_calc!$E$57="","",IF(LEN(INDEX('Inspections'!$C$4:$C$503,_calc!$E$57))=0,"",INDEX('Inspections'!$C$4:$C$503,_calc!$E$57))&amp;" – "&amp;IF(LEN(INDEX('Inspections'!$A$4:$A$503,_calc!$E$57))=0,"",INDEX('Inspections'!$A$4:$A$503,_calc!$E$57)))</f>
        <v/>
      </c>
      <c r="B55" s="55">
        <f>IF(_calc!$E$57="","",IF(ISNUMBER(INDEX('Inspections'!$H$4:$H$503,_calc!$E$57)),TEXT(INDEX('Inspections'!$H$4:$H$503,_calc!$E$57),"yyyy-mm-dd"),""))</f>
        <v/>
      </c>
      <c r="C55" s="55">
        <f>IF(_calc!$E$57="","","Inspection")</f>
        <v/>
      </c>
      <c r="D55" s="55">
        <f>IF(_calc!$E$57="","",IF(ISNUMBER(INDEX('Inspections'!$G$4:$G$503,_calc!$E$57)),TEXT(INDEX('Inspections'!$G$4:$G$503,_calc!$E$57),"yyyy-mm-dd"),""))</f>
        <v/>
      </c>
      <c r="F55" s="55">
        <f>IF(_calc!$E$57="","",TRIM(IF(LEN(IF(LEN(INDEX('Inspections'!$B$4:$B$503,_calc!$E$57))=0,"",INDEX('Inspections'!$B$4:$B$503,_calc!$E$57)))=0,"","System: "&amp;IF(LEN(INDEX('Inspections'!$B$4:$B$503,_calc!$E$57))=0,"",INDEX('Inspections'!$B$4:$B$503,_calc!$E$57))&amp;". ")&amp;IF(LEN(IF(LEN(INDEX('Inspections'!$D$4:$D$503,_calc!$E$57))=0,"",INDEX('Inspections'!$D$4:$D$503,_calc!$E$57)))=0,"","Every: "&amp;IF(LEN(INDEX('Inspections'!$D$4:$D$503,_calc!$E$57))=0,"",INDEX('Inspections'!$D$4:$D$503,_calc!$E$57))&amp;". ")&amp;IF(LEN(IF(LEN(INDEX('Inspections'!$E$4:$E$503,_calc!$E$57))=0,"",INDEX('Inspections'!$E$4:$E$503,_calc!$E$57)))=0,"","Unit: "&amp;IF(LEN(INDEX('Inspections'!$E$4:$E$503,_calc!$E$57))=0,"",INDEX('Inspections'!$E$4:$E$503,_calc!$E$57))&amp;". ")&amp;IF(LEN(IF(LEN(INDEX('Inspections'!$F$4:$F$503,_calc!$E$57))=0,"",INDEX('Inspections'!$F$4:$F$503,_calc!$E$57)))=0,"","Done by: "&amp;IF(LEN(INDEX('Inspections'!$F$4:$F$503,_calc!$E$57))=0,"",INDEX('Inspections'!$F$4:$F$503,_calc!$E$57))&amp;". ")&amp;IF(LEN(IF(LEN(INDEX('Inspections'!$M$4:$M$503,_calc!$E$57))=0,"",INDEX('Inspections'!$M$4:$M$503,_calc!$E$57)))=0,"","Source: "&amp;IF(LEN(INDEX('Inspections'!$M$4:$M$503,_calc!$E$57))=0,"",INDEX('Inspections'!$M$4:$M$503,_calc!$E$57))&amp;". ")&amp;IF(LEN(IF(LEN(INDEX('Inspections'!$N$4:$N$503,_calc!$E$57))=0,"",INDEX('Inspections'!$N$4:$N$503,_calc!$E$57)))=0,"","Owner: "&amp;IF(LEN(INDEX('Inspections'!$N$4:$N$503,_calc!$E$57))=0,"",INDEX('Inspections'!$N$4:$N$503,_calc!$E$57))&amp;". ")&amp;IF(LEN(IF(LEN(INDEX('Inspections'!$O$4:$O$503,_calc!$E$57))=0,"",INDEX('Inspections'!$O$4:$O$503,_calc!$E$57)))=0,"","Backup: "&amp;IF(LEN(INDEX('Inspections'!$O$4:$O$503,_calc!$E$57))=0,"",INDEX('Inspections'!$O$4:$O$503,_calc!$E$57))&amp;". ")&amp;IF(LEN(IF(LEN(INDEX('Inspections'!$R$4:$R$503,_calc!$E$57))=0,"",INDEX('Inspections'!$R$4:$R$503,_calc!$E$57)))=0,"",IF(LEN(INDEX('Inspections'!$R$4:$R$503,_calc!$E$57))=0,"",INDEX('Inspections'!$R$4:$R$503,_calc!$E$57)))))</f>
        <v/>
      </c>
      <c r="G55" s="55">
        <f>IF(_calc!$E$57="","",IF(LEN(INDEX('Inspections'!$Q$4:$Q$503,_calc!$E$57))=0,"",INDEX('Inspections'!$Q$4:$Q$503,_calc!$E$57)))</f>
        <v/>
      </c>
      <c r="K55" s="55">
        <f>IF(_calc!$E$57="","",IF(LEN(INDEX('Inspections'!$P$4:$P$503,_calc!$E$57))=0,"",INDEX('Inspections'!$P$4:$P$503,_calc!$E$57)))</f>
        <v/>
      </c>
    </row>
    <row r="56">
      <c r="A56" s="55">
        <f>IF(_calc!$E$58="","",IF(LEN(INDEX('Inspections'!$C$4:$C$503,_calc!$E$58))=0,"",INDEX('Inspections'!$C$4:$C$503,_calc!$E$58))&amp;" – "&amp;IF(LEN(INDEX('Inspections'!$A$4:$A$503,_calc!$E$58))=0,"",INDEX('Inspections'!$A$4:$A$503,_calc!$E$58)))</f>
        <v/>
      </c>
      <c r="B56" s="55">
        <f>IF(_calc!$E$58="","",IF(ISNUMBER(INDEX('Inspections'!$H$4:$H$503,_calc!$E$58)),TEXT(INDEX('Inspections'!$H$4:$H$503,_calc!$E$58),"yyyy-mm-dd"),""))</f>
        <v/>
      </c>
      <c r="C56" s="55">
        <f>IF(_calc!$E$58="","","Inspection")</f>
        <v/>
      </c>
      <c r="D56" s="55">
        <f>IF(_calc!$E$58="","",IF(ISNUMBER(INDEX('Inspections'!$G$4:$G$503,_calc!$E$58)),TEXT(INDEX('Inspections'!$G$4:$G$503,_calc!$E$58),"yyyy-mm-dd"),""))</f>
        <v/>
      </c>
      <c r="F56" s="55">
        <f>IF(_calc!$E$58="","",TRIM(IF(LEN(IF(LEN(INDEX('Inspections'!$B$4:$B$503,_calc!$E$58))=0,"",INDEX('Inspections'!$B$4:$B$503,_calc!$E$58)))=0,"","System: "&amp;IF(LEN(INDEX('Inspections'!$B$4:$B$503,_calc!$E$58))=0,"",INDEX('Inspections'!$B$4:$B$503,_calc!$E$58))&amp;". ")&amp;IF(LEN(IF(LEN(INDEX('Inspections'!$D$4:$D$503,_calc!$E$58))=0,"",INDEX('Inspections'!$D$4:$D$503,_calc!$E$58)))=0,"","Every: "&amp;IF(LEN(INDEX('Inspections'!$D$4:$D$503,_calc!$E$58))=0,"",INDEX('Inspections'!$D$4:$D$503,_calc!$E$58))&amp;". ")&amp;IF(LEN(IF(LEN(INDEX('Inspections'!$E$4:$E$503,_calc!$E$58))=0,"",INDEX('Inspections'!$E$4:$E$503,_calc!$E$58)))=0,"","Unit: "&amp;IF(LEN(INDEX('Inspections'!$E$4:$E$503,_calc!$E$58))=0,"",INDEX('Inspections'!$E$4:$E$503,_calc!$E$58))&amp;". ")&amp;IF(LEN(IF(LEN(INDEX('Inspections'!$F$4:$F$503,_calc!$E$58))=0,"",INDEX('Inspections'!$F$4:$F$503,_calc!$E$58)))=0,"","Done by: "&amp;IF(LEN(INDEX('Inspections'!$F$4:$F$503,_calc!$E$58))=0,"",INDEX('Inspections'!$F$4:$F$503,_calc!$E$58))&amp;". ")&amp;IF(LEN(IF(LEN(INDEX('Inspections'!$M$4:$M$503,_calc!$E$58))=0,"",INDEX('Inspections'!$M$4:$M$503,_calc!$E$58)))=0,"","Source: "&amp;IF(LEN(INDEX('Inspections'!$M$4:$M$503,_calc!$E$58))=0,"",INDEX('Inspections'!$M$4:$M$503,_calc!$E$58))&amp;". ")&amp;IF(LEN(IF(LEN(INDEX('Inspections'!$N$4:$N$503,_calc!$E$58))=0,"",INDEX('Inspections'!$N$4:$N$503,_calc!$E$58)))=0,"","Owner: "&amp;IF(LEN(INDEX('Inspections'!$N$4:$N$503,_calc!$E$58))=0,"",INDEX('Inspections'!$N$4:$N$503,_calc!$E$58))&amp;". ")&amp;IF(LEN(IF(LEN(INDEX('Inspections'!$O$4:$O$503,_calc!$E$58))=0,"",INDEX('Inspections'!$O$4:$O$503,_calc!$E$58)))=0,"","Backup: "&amp;IF(LEN(INDEX('Inspections'!$O$4:$O$503,_calc!$E$58))=0,"",INDEX('Inspections'!$O$4:$O$503,_calc!$E$58))&amp;". ")&amp;IF(LEN(IF(LEN(INDEX('Inspections'!$R$4:$R$503,_calc!$E$58))=0,"",INDEX('Inspections'!$R$4:$R$503,_calc!$E$58)))=0,"",IF(LEN(INDEX('Inspections'!$R$4:$R$503,_calc!$E$58))=0,"",INDEX('Inspections'!$R$4:$R$503,_calc!$E$58)))))</f>
        <v/>
      </c>
      <c r="G56" s="55">
        <f>IF(_calc!$E$58="","",IF(LEN(INDEX('Inspections'!$Q$4:$Q$503,_calc!$E$58))=0,"",INDEX('Inspections'!$Q$4:$Q$503,_calc!$E$58)))</f>
        <v/>
      </c>
      <c r="K56" s="55">
        <f>IF(_calc!$E$58="","",IF(LEN(INDEX('Inspections'!$P$4:$P$503,_calc!$E$58))=0,"",INDEX('Inspections'!$P$4:$P$503,_calc!$E$58)))</f>
        <v/>
      </c>
    </row>
    <row r="57">
      <c r="A57" s="55">
        <f>IF(_calc!$E$59="","",IF(LEN(INDEX('Inspections'!$C$4:$C$503,_calc!$E$59))=0,"",INDEX('Inspections'!$C$4:$C$503,_calc!$E$59))&amp;" – "&amp;IF(LEN(INDEX('Inspections'!$A$4:$A$503,_calc!$E$59))=0,"",INDEX('Inspections'!$A$4:$A$503,_calc!$E$59)))</f>
        <v/>
      </c>
      <c r="B57" s="55">
        <f>IF(_calc!$E$59="","",IF(ISNUMBER(INDEX('Inspections'!$H$4:$H$503,_calc!$E$59)),TEXT(INDEX('Inspections'!$H$4:$H$503,_calc!$E$59),"yyyy-mm-dd"),""))</f>
        <v/>
      </c>
      <c r="C57" s="55">
        <f>IF(_calc!$E$59="","","Inspection")</f>
        <v/>
      </c>
      <c r="D57" s="55">
        <f>IF(_calc!$E$59="","",IF(ISNUMBER(INDEX('Inspections'!$G$4:$G$503,_calc!$E$59)),TEXT(INDEX('Inspections'!$G$4:$G$503,_calc!$E$59),"yyyy-mm-dd"),""))</f>
        <v/>
      </c>
      <c r="F57" s="55">
        <f>IF(_calc!$E$59="","",TRIM(IF(LEN(IF(LEN(INDEX('Inspections'!$B$4:$B$503,_calc!$E$59))=0,"",INDEX('Inspections'!$B$4:$B$503,_calc!$E$59)))=0,"","System: "&amp;IF(LEN(INDEX('Inspections'!$B$4:$B$503,_calc!$E$59))=0,"",INDEX('Inspections'!$B$4:$B$503,_calc!$E$59))&amp;". ")&amp;IF(LEN(IF(LEN(INDEX('Inspections'!$D$4:$D$503,_calc!$E$59))=0,"",INDEX('Inspections'!$D$4:$D$503,_calc!$E$59)))=0,"","Every: "&amp;IF(LEN(INDEX('Inspections'!$D$4:$D$503,_calc!$E$59))=0,"",INDEX('Inspections'!$D$4:$D$503,_calc!$E$59))&amp;". ")&amp;IF(LEN(IF(LEN(INDEX('Inspections'!$E$4:$E$503,_calc!$E$59))=0,"",INDEX('Inspections'!$E$4:$E$503,_calc!$E$59)))=0,"","Unit: "&amp;IF(LEN(INDEX('Inspections'!$E$4:$E$503,_calc!$E$59))=0,"",INDEX('Inspections'!$E$4:$E$503,_calc!$E$59))&amp;". ")&amp;IF(LEN(IF(LEN(INDEX('Inspections'!$F$4:$F$503,_calc!$E$59))=0,"",INDEX('Inspections'!$F$4:$F$503,_calc!$E$59)))=0,"","Done by: "&amp;IF(LEN(INDEX('Inspections'!$F$4:$F$503,_calc!$E$59))=0,"",INDEX('Inspections'!$F$4:$F$503,_calc!$E$59))&amp;". ")&amp;IF(LEN(IF(LEN(INDEX('Inspections'!$M$4:$M$503,_calc!$E$59))=0,"",INDEX('Inspections'!$M$4:$M$503,_calc!$E$59)))=0,"","Source: "&amp;IF(LEN(INDEX('Inspections'!$M$4:$M$503,_calc!$E$59))=0,"",INDEX('Inspections'!$M$4:$M$503,_calc!$E$59))&amp;". ")&amp;IF(LEN(IF(LEN(INDEX('Inspections'!$N$4:$N$503,_calc!$E$59))=0,"",INDEX('Inspections'!$N$4:$N$503,_calc!$E$59)))=0,"","Owner: "&amp;IF(LEN(INDEX('Inspections'!$N$4:$N$503,_calc!$E$59))=0,"",INDEX('Inspections'!$N$4:$N$503,_calc!$E$59))&amp;". ")&amp;IF(LEN(IF(LEN(INDEX('Inspections'!$O$4:$O$503,_calc!$E$59))=0,"",INDEX('Inspections'!$O$4:$O$503,_calc!$E$59)))=0,"","Backup: "&amp;IF(LEN(INDEX('Inspections'!$O$4:$O$503,_calc!$E$59))=0,"",INDEX('Inspections'!$O$4:$O$503,_calc!$E$59))&amp;". ")&amp;IF(LEN(IF(LEN(INDEX('Inspections'!$R$4:$R$503,_calc!$E$59))=0,"",INDEX('Inspections'!$R$4:$R$503,_calc!$E$59)))=0,"",IF(LEN(INDEX('Inspections'!$R$4:$R$503,_calc!$E$59))=0,"",INDEX('Inspections'!$R$4:$R$503,_calc!$E$59)))))</f>
        <v/>
      </c>
      <c r="G57" s="55">
        <f>IF(_calc!$E$59="","",IF(LEN(INDEX('Inspections'!$Q$4:$Q$503,_calc!$E$59))=0,"",INDEX('Inspections'!$Q$4:$Q$503,_calc!$E$59)))</f>
        <v/>
      </c>
      <c r="K57" s="55">
        <f>IF(_calc!$E$59="","",IF(LEN(INDEX('Inspections'!$P$4:$P$503,_calc!$E$59))=0,"",INDEX('Inspections'!$P$4:$P$503,_calc!$E$59)))</f>
        <v/>
      </c>
    </row>
    <row r="58">
      <c r="A58" s="55">
        <f>IF(_calc!$E$60="","",IF(LEN(INDEX('Inspections'!$C$4:$C$503,_calc!$E$60))=0,"",INDEX('Inspections'!$C$4:$C$503,_calc!$E$60))&amp;" – "&amp;IF(LEN(INDEX('Inspections'!$A$4:$A$503,_calc!$E$60))=0,"",INDEX('Inspections'!$A$4:$A$503,_calc!$E$60)))</f>
        <v/>
      </c>
      <c r="B58" s="55">
        <f>IF(_calc!$E$60="","",IF(ISNUMBER(INDEX('Inspections'!$H$4:$H$503,_calc!$E$60)),TEXT(INDEX('Inspections'!$H$4:$H$503,_calc!$E$60),"yyyy-mm-dd"),""))</f>
        <v/>
      </c>
      <c r="C58" s="55">
        <f>IF(_calc!$E$60="","","Inspection")</f>
        <v/>
      </c>
      <c r="D58" s="55">
        <f>IF(_calc!$E$60="","",IF(ISNUMBER(INDEX('Inspections'!$G$4:$G$503,_calc!$E$60)),TEXT(INDEX('Inspections'!$G$4:$G$503,_calc!$E$60),"yyyy-mm-dd"),""))</f>
        <v/>
      </c>
      <c r="F58" s="55">
        <f>IF(_calc!$E$60="","",TRIM(IF(LEN(IF(LEN(INDEX('Inspections'!$B$4:$B$503,_calc!$E$60))=0,"",INDEX('Inspections'!$B$4:$B$503,_calc!$E$60)))=0,"","System: "&amp;IF(LEN(INDEX('Inspections'!$B$4:$B$503,_calc!$E$60))=0,"",INDEX('Inspections'!$B$4:$B$503,_calc!$E$60))&amp;". ")&amp;IF(LEN(IF(LEN(INDEX('Inspections'!$D$4:$D$503,_calc!$E$60))=0,"",INDEX('Inspections'!$D$4:$D$503,_calc!$E$60)))=0,"","Every: "&amp;IF(LEN(INDEX('Inspections'!$D$4:$D$503,_calc!$E$60))=0,"",INDEX('Inspections'!$D$4:$D$503,_calc!$E$60))&amp;". ")&amp;IF(LEN(IF(LEN(INDEX('Inspections'!$E$4:$E$503,_calc!$E$60))=0,"",INDEX('Inspections'!$E$4:$E$503,_calc!$E$60)))=0,"","Unit: "&amp;IF(LEN(INDEX('Inspections'!$E$4:$E$503,_calc!$E$60))=0,"",INDEX('Inspections'!$E$4:$E$503,_calc!$E$60))&amp;". ")&amp;IF(LEN(IF(LEN(INDEX('Inspections'!$F$4:$F$503,_calc!$E$60))=0,"",INDEX('Inspections'!$F$4:$F$503,_calc!$E$60)))=0,"","Done by: "&amp;IF(LEN(INDEX('Inspections'!$F$4:$F$503,_calc!$E$60))=0,"",INDEX('Inspections'!$F$4:$F$503,_calc!$E$60))&amp;". ")&amp;IF(LEN(IF(LEN(INDEX('Inspections'!$M$4:$M$503,_calc!$E$60))=0,"",INDEX('Inspections'!$M$4:$M$503,_calc!$E$60)))=0,"","Source: "&amp;IF(LEN(INDEX('Inspections'!$M$4:$M$503,_calc!$E$60))=0,"",INDEX('Inspections'!$M$4:$M$503,_calc!$E$60))&amp;". ")&amp;IF(LEN(IF(LEN(INDEX('Inspections'!$N$4:$N$503,_calc!$E$60))=0,"",INDEX('Inspections'!$N$4:$N$503,_calc!$E$60)))=0,"","Owner: "&amp;IF(LEN(INDEX('Inspections'!$N$4:$N$503,_calc!$E$60))=0,"",INDEX('Inspections'!$N$4:$N$503,_calc!$E$60))&amp;". ")&amp;IF(LEN(IF(LEN(INDEX('Inspections'!$O$4:$O$503,_calc!$E$60))=0,"",INDEX('Inspections'!$O$4:$O$503,_calc!$E$60)))=0,"","Backup: "&amp;IF(LEN(INDEX('Inspections'!$O$4:$O$503,_calc!$E$60))=0,"",INDEX('Inspections'!$O$4:$O$503,_calc!$E$60))&amp;". ")&amp;IF(LEN(IF(LEN(INDEX('Inspections'!$R$4:$R$503,_calc!$E$60))=0,"",INDEX('Inspections'!$R$4:$R$503,_calc!$E$60)))=0,"",IF(LEN(INDEX('Inspections'!$R$4:$R$503,_calc!$E$60))=0,"",INDEX('Inspections'!$R$4:$R$503,_calc!$E$60)))))</f>
        <v/>
      </c>
      <c r="G58" s="55">
        <f>IF(_calc!$E$60="","",IF(LEN(INDEX('Inspections'!$Q$4:$Q$503,_calc!$E$60))=0,"",INDEX('Inspections'!$Q$4:$Q$503,_calc!$E$60)))</f>
        <v/>
      </c>
      <c r="K58" s="55">
        <f>IF(_calc!$E$60="","",IF(LEN(INDEX('Inspections'!$P$4:$P$503,_calc!$E$60))=0,"",INDEX('Inspections'!$P$4:$P$503,_calc!$E$60)))</f>
        <v/>
      </c>
    </row>
    <row r="59">
      <c r="A59" s="55">
        <f>IF(_calc!$E$61="","",IF(LEN(INDEX('Inspections'!$C$4:$C$503,_calc!$E$61))=0,"",INDEX('Inspections'!$C$4:$C$503,_calc!$E$61))&amp;" – "&amp;IF(LEN(INDEX('Inspections'!$A$4:$A$503,_calc!$E$61))=0,"",INDEX('Inspections'!$A$4:$A$503,_calc!$E$61)))</f>
        <v/>
      </c>
      <c r="B59" s="55">
        <f>IF(_calc!$E$61="","",IF(ISNUMBER(INDEX('Inspections'!$H$4:$H$503,_calc!$E$61)),TEXT(INDEX('Inspections'!$H$4:$H$503,_calc!$E$61),"yyyy-mm-dd"),""))</f>
        <v/>
      </c>
      <c r="C59" s="55">
        <f>IF(_calc!$E$61="","","Inspection")</f>
        <v/>
      </c>
      <c r="D59" s="55">
        <f>IF(_calc!$E$61="","",IF(ISNUMBER(INDEX('Inspections'!$G$4:$G$503,_calc!$E$61)),TEXT(INDEX('Inspections'!$G$4:$G$503,_calc!$E$61),"yyyy-mm-dd"),""))</f>
        <v/>
      </c>
      <c r="F59" s="55">
        <f>IF(_calc!$E$61="","",TRIM(IF(LEN(IF(LEN(INDEX('Inspections'!$B$4:$B$503,_calc!$E$61))=0,"",INDEX('Inspections'!$B$4:$B$503,_calc!$E$61)))=0,"","System: "&amp;IF(LEN(INDEX('Inspections'!$B$4:$B$503,_calc!$E$61))=0,"",INDEX('Inspections'!$B$4:$B$503,_calc!$E$61))&amp;". ")&amp;IF(LEN(IF(LEN(INDEX('Inspections'!$D$4:$D$503,_calc!$E$61))=0,"",INDEX('Inspections'!$D$4:$D$503,_calc!$E$61)))=0,"","Every: "&amp;IF(LEN(INDEX('Inspections'!$D$4:$D$503,_calc!$E$61))=0,"",INDEX('Inspections'!$D$4:$D$503,_calc!$E$61))&amp;". ")&amp;IF(LEN(IF(LEN(INDEX('Inspections'!$E$4:$E$503,_calc!$E$61))=0,"",INDEX('Inspections'!$E$4:$E$503,_calc!$E$61)))=0,"","Unit: "&amp;IF(LEN(INDEX('Inspections'!$E$4:$E$503,_calc!$E$61))=0,"",INDEX('Inspections'!$E$4:$E$503,_calc!$E$61))&amp;". ")&amp;IF(LEN(IF(LEN(INDEX('Inspections'!$F$4:$F$503,_calc!$E$61))=0,"",INDEX('Inspections'!$F$4:$F$503,_calc!$E$61)))=0,"","Done by: "&amp;IF(LEN(INDEX('Inspections'!$F$4:$F$503,_calc!$E$61))=0,"",INDEX('Inspections'!$F$4:$F$503,_calc!$E$61))&amp;". ")&amp;IF(LEN(IF(LEN(INDEX('Inspections'!$M$4:$M$503,_calc!$E$61))=0,"",INDEX('Inspections'!$M$4:$M$503,_calc!$E$61)))=0,"","Source: "&amp;IF(LEN(INDEX('Inspections'!$M$4:$M$503,_calc!$E$61))=0,"",INDEX('Inspections'!$M$4:$M$503,_calc!$E$61))&amp;". ")&amp;IF(LEN(IF(LEN(INDEX('Inspections'!$N$4:$N$503,_calc!$E$61))=0,"",INDEX('Inspections'!$N$4:$N$503,_calc!$E$61)))=0,"","Owner: "&amp;IF(LEN(INDEX('Inspections'!$N$4:$N$503,_calc!$E$61))=0,"",INDEX('Inspections'!$N$4:$N$503,_calc!$E$61))&amp;". ")&amp;IF(LEN(IF(LEN(INDEX('Inspections'!$O$4:$O$503,_calc!$E$61))=0,"",INDEX('Inspections'!$O$4:$O$503,_calc!$E$61)))=0,"","Backup: "&amp;IF(LEN(INDEX('Inspections'!$O$4:$O$503,_calc!$E$61))=0,"",INDEX('Inspections'!$O$4:$O$503,_calc!$E$61))&amp;". ")&amp;IF(LEN(IF(LEN(INDEX('Inspections'!$R$4:$R$503,_calc!$E$61))=0,"",INDEX('Inspections'!$R$4:$R$503,_calc!$E$61)))=0,"",IF(LEN(INDEX('Inspections'!$R$4:$R$503,_calc!$E$61))=0,"",INDEX('Inspections'!$R$4:$R$503,_calc!$E$61)))))</f>
        <v/>
      </c>
      <c r="G59" s="55">
        <f>IF(_calc!$E$61="","",IF(LEN(INDEX('Inspections'!$Q$4:$Q$503,_calc!$E$61))=0,"",INDEX('Inspections'!$Q$4:$Q$503,_calc!$E$61)))</f>
        <v/>
      </c>
      <c r="K59" s="55">
        <f>IF(_calc!$E$61="","",IF(LEN(INDEX('Inspections'!$P$4:$P$503,_calc!$E$61))=0,"",INDEX('Inspections'!$P$4:$P$503,_calc!$E$61)))</f>
        <v/>
      </c>
    </row>
    <row r="60">
      <c r="A60" s="55">
        <f>IF(_calc!$E$62="","",IF(LEN(INDEX('Inspections'!$C$4:$C$503,_calc!$E$62))=0,"",INDEX('Inspections'!$C$4:$C$503,_calc!$E$62))&amp;" – "&amp;IF(LEN(INDEX('Inspections'!$A$4:$A$503,_calc!$E$62))=0,"",INDEX('Inspections'!$A$4:$A$503,_calc!$E$62)))</f>
        <v/>
      </c>
      <c r="B60" s="55">
        <f>IF(_calc!$E$62="","",IF(ISNUMBER(INDEX('Inspections'!$H$4:$H$503,_calc!$E$62)),TEXT(INDEX('Inspections'!$H$4:$H$503,_calc!$E$62),"yyyy-mm-dd"),""))</f>
        <v/>
      </c>
      <c r="C60" s="55">
        <f>IF(_calc!$E$62="","","Inspection")</f>
        <v/>
      </c>
      <c r="D60" s="55">
        <f>IF(_calc!$E$62="","",IF(ISNUMBER(INDEX('Inspections'!$G$4:$G$503,_calc!$E$62)),TEXT(INDEX('Inspections'!$G$4:$G$503,_calc!$E$62),"yyyy-mm-dd"),""))</f>
        <v/>
      </c>
      <c r="F60" s="55">
        <f>IF(_calc!$E$62="","",TRIM(IF(LEN(IF(LEN(INDEX('Inspections'!$B$4:$B$503,_calc!$E$62))=0,"",INDEX('Inspections'!$B$4:$B$503,_calc!$E$62)))=0,"","System: "&amp;IF(LEN(INDEX('Inspections'!$B$4:$B$503,_calc!$E$62))=0,"",INDEX('Inspections'!$B$4:$B$503,_calc!$E$62))&amp;". ")&amp;IF(LEN(IF(LEN(INDEX('Inspections'!$D$4:$D$503,_calc!$E$62))=0,"",INDEX('Inspections'!$D$4:$D$503,_calc!$E$62)))=0,"","Every: "&amp;IF(LEN(INDEX('Inspections'!$D$4:$D$503,_calc!$E$62))=0,"",INDEX('Inspections'!$D$4:$D$503,_calc!$E$62))&amp;". ")&amp;IF(LEN(IF(LEN(INDEX('Inspections'!$E$4:$E$503,_calc!$E$62))=0,"",INDEX('Inspections'!$E$4:$E$503,_calc!$E$62)))=0,"","Unit: "&amp;IF(LEN(INDEX('Inspections'!$E$4:$E$503,_calc!$E$62))=0,"",INDEX('Inspections'!$E$4:$E$503,_calc!$E$62))&amp;". ")&amp;IF(LEN(IF(LEN(INDEX('Inspections'!$F$4:$F$503,_calc!$E$62))=0,"",INDEX('Inspections'!$F$4:$F$503,_calc!$E$62)))=0,"","Done by: "&amp;IF(LEN(INDEX('Inspections'!$F$4:$F$503,_calc!$E$62))=0,"",INDEX('Inspections'!$F$4:$F$503,_calc!$E$62))&amp;". ")&amp;IF(LEN(IF(LEN(INDEX('Inspections'!$M$4:$M$503,_calc!$E$62))=0,"",INDEX('Inspections'!$M$4:$M$503,_calc!$E$62)))=0,"","Source: "&amp;IF(LEN(INDEX('Inspections'!$M$4:$M$503,_calc!$E$62))=0,"",INDEX('Inspections'!$M$4:$M$503,_calc!$E$62))&amp;". ")&amp;IF(LEN(IF(LEN(INDEX('Inspections'!$N$4:$N$503,_calc!$E$62))=0,"",INDEX('Inspections'!$N$4:$N$503,_calc!$E$62)))=0,"","Owner: "&amp;IF(LEN(INDEX('Inspections'!$N$4:$N$503,_calc!$E$62))=0,"",INDEX('Inspections'!$N$4:$N$503,_calc!$E$62))&amp;". ")&amp;IF(LEN(IF(LEN(INDEX('Inspections'!$O$4:$O$503,_calc!$E$62))=0,"",INDEX('Inspections'!$O$4:$O$503,_calc!$E$62)))=0,"","Backup: "&amp;IF(LEN(INDEX('Inspections'!$O$4:$O$503,_calc!$E$62))=0,"",INDEX('Inspections'!$O$4:$O$503,_calc!$E$62))&amp;". ")&amp;IF(LEN(IF(LEN(INDEX('Inspections'!$R$4:$R$503,_calc!$E$62))=0,"",INDEX('Inspections'!$R$4:$R$503,_calc!$E$62)))=0,"",IF(LEN(INDEX('Inspections'!$R$4:$R$503,_calc!$E$62))=0,"",INDEX('Inspections'!$R$4:$R$503,_calc!$E$62)))))</f>
        <v/>
      </c>
      <c r="G60" s="55">
        <f>IF(_calc!$E$62="","",IF(LEN(INDEX('Inspections'!$Q$4:$Q$503,_calc!$E$62))=0,"",INDEX('Inspections'!$Q$4:$Q$503,_calc!$E$62)))</f>
        <v/>
      </c>
      <c r="K60" s="55">
        <f>IF(_calc!$E$62="","",IF(LEN(INDEX('Inspections'!$P$4:$P$503,_calc!$E$62))=0,"",INDEX('Inspections'!$P$4:$P$503,_calc!$E$62)))</f>
        <v/>
      </c>
    </row>
    <row r="61">
      <c r="A61" s="55">
        <f>IF(_calc!$E$63="","",IF(LEN(INDEX('Inspections'!$C$4:$C$503,_calc!$E$63))=0,"",INDEX('Inspections'!$C$4:$C$503,_calc!$E$63))&amp;" – "&amp;IF(LEN(INDEX('Inspections'!$A$4:$A$503,_calc!$E$63))=0,"",INDEX('Inspections'!$A$4:$A$503,_calc!$E$63)))</f>
        <v/>
      </c>
      <c r="B61" s="55">
        <f>IF(_calc!$E$63="","",IF(ISNUMBER(INDEX('Inspections'!$H$4:$H$503,_calc!$E$63)),TEXT(INDEX('Inspections'!$H$4:$H$503,_calc!$E$63),"yyyy-mm-dd"),""))</f>
        <v/>
      </c>
      <c r="C61" s="55">
        <f>IF(_calc!$E$63="","","Inspection")</f>
        <v/>
      </c>
      <c r="D61" s="55">
        <f>IF(_calc!$E$63="","",IF(ISNUMBER(INDEX('Inspections'!$G$4:$G$503,_calc!$E$63)),TEXT(INDEX('Inspections'!$G$4:$G$503,_calc!$E$63),"yyyy-mm-dd"),""))</f>
        <v/>
      </c>
      <c r="F61" s="55">
        <f>IF(_calc!$E$63="","",TRIM(IF(LEN(IF(LEN(INDEX('Inspections'!$B$4:$B$503,_calc!$E$63))=0,"",INDEX('Inspections'!$B$4:$B$503,_calc!$E$63)))=0,"","System: "&amp;IF(LEN(INDEX('Inspections'!$B$4:$B$503,_calc!$E$63))=0,"",INDEX('Inspections'!$B$4:$B$503,_calc!$E$63))&amp;". ")&amp;IF(LEN(IF(LEN(INDEX('Inspections'!$D$4:$D$503,_calc!$E$63))=0,"",INDEX('Inspections'!$D$4:$D$503,_calc!$E$63)))=0,"","Every: "&amp;IF(LEN(INDEX('Inspections'!$D$4:$D$503,_calc!$E$63))=0,"",INDEX('Inspections'!$D$4:$D$503,_calc!$E$63))&amp;". ")&amp;IF(LEN(IF(LEN(INDEX('Inspections'!$E$4:$E$503,_calc!$E$63))=0,"",INDEX('Inspections'!$E$4:$E$503,_calc!$E$63)))=0,"","Unit: "&amp;IF(LEN(INDEX('Inspections'!$E$4:$E$503,_calc!$E$63))=0,"",INDEX('Inspections'!$E$4:$E$503,_calc!$E$63))&amp;". ")&amp;IF(LEN(IF(LEN(INDEX('Inspections'!$F$4:$F$503,_calc!$E$63))=0,"",INDEX('Inspections'!$F$4:$F$503,_calc!$E$63)))=0,"","Done by: "&amp;IF(LEN(INDEX('Inspections'!$F$4:$F$503,_calc!$E$63))=0,"",INDEX('Inspections'!$F$4:$F$503,_calc!$E$63))&amp;". ")&amp;IF(LEN(IF(LEN(INDEX('Inspections'!$M$4:$M$503,_calc!$E$63))=0,"",INDEX('Inspections'!$M$4:$M$503,_calc!$E$63)))=0,"","Source: "&amp;IF(LEN(INDEX('Inspections'!$M$4:$M$503,_calc!$E$63))=0,"",INDEX('Inspections'!$M$4:$M$503,_calc!$E$63))&amp;". ")&amp;IF(LEN(IF(LEN(INDEX('Inspections'!$N$4:$N$503,_calc!$E$63))=0,"",INDEX('Inspections'!$N$4:$N$503,_calc!$E$63)))=0,"","Owner: "&amp;IF(LEN(INDEX('Inspections'!$N$4:$N$503,_calc!$E$63))=0,"",INDEX('Inspections'!$N$4:$N$503,_calc!$E$63))&amp;". ")&amp;IF(LEN(IF(LEN(INDEX('Inspections'!$O$4:$O$503,_calc!$E$63))=0,"",INDEX('Inspections'!$O$4:$O$503,_calc!$E$63)))=0,"","Backup: "&amp;IF(LEN(INDEX('Inspections'!$O$4:$O$503,_calc!$E$63))=0,"",INDEX('Inspections'!$O$4:$O$503,_calc!$E$63))&amp;". ")&amp;IF(LEN(IF(LEN(INDEX('Inspections'!$R$4:$R$503,_calc!$E$63))=0,"",INDEX('Inspections'!$R$4:$R$503,_calc!$E$63)))=0,"",IF(LEN(INDEX('Inspections'!$R$4:$R$503,_calc!$E$63))=0,"",INDEX('Inspections'!$R$4:$R$503,_calc!$E$63)))))</f>
        <v/>
      </c>
      <c r="G61" s="55">
        <f>IF(_calc!$E$63="","",IF(LEN(INDEX('Inspections'!$Q$4:$Q$503,_calc!$E$63))=0,"",INDEX('Inspections'!$Q$4:$Q$503,_calc!$E$63)))</f>
        <v/>
      </c>
      <c r="K61" s="55">
        <f>IF(_calc!$E$63="","",IF(LEN(INDEX('Inspections'!$P$4:$P$503,_calc!$E$63))=0,"",INDEX('Inspections'!$P$4:$P$503,_calc!$E$63)))</f>
        <v/>
      </c>
    </row>
    <row r="62">
      <c r="A62" s="55">
        <f>IF(_calc!$E$64="","",IF(LEN(INDEX('Inspections'!$C$4:$C$503,_calc!$E$64))=0,"",INDEX('Inspections'!$C$4:$C$503,_calc!$E$64))&amp;" – "&amp;IF(LEN(INDEX('Inspections'!$A$4:$A$503,_calc!$E$64))=0,"",INDEX('Inspections'!$A$4:$A$503,_calc!$E$64)))</f>
        <v/>
      </c>
      <c r="B62" s="55">
        <f>IF(_calc!$E$64="","",IF(ISNUMBER(INDEX('Inspections'!$H$4:$H$503,_calc!$E$64)),TEXT(INDEX('Inspections'!$H$4:$H$503,_calc!$E$64),"yyyy-mm-dd"),""))</f>
        <v/>
      </c>
      <c r="C62" s="55">
        <f>IF(_calc!$E$64="","","Inspection")</f>
        <v/>
      </c>
      <c r="D62" s="55">
        <f>IF(_calc!$E$64="","",IF(ISNUMBER(INDEX('Inspections'!$G$4:$G$503,_calc!$E$64)),TEXT(INDEX('Inspections'!$G$4:$G$503,_calc!$E$64),"yyyy-mm-dd"),""))</f>
        <v/>
      </c>
      <c r="F62" s="55">
        <f>IF(_calc!$E$64="","",TRIM(IF(LEN(IF(LEN(INDEX('Inspections'!$B$4:$B$503,_calc!$E$64))=0,"",INDEX('Inspections'!$B$4:$B$503,_calc!$E$64)))=0,"","System: "&amp;IF(LEN(INDEX('Inspections'!$B$4:$B$503,_calc!$E$64))=0,"",INDEX('Inspections'!$B$4:$B$503,_calc!$E$64))&amp;". ")&amp;IF(LEN(IF(LEN(INDEX('Inspections'!$D$4:$D$503,_calc!$E$64))=0,"",INDEX('Inspections'!$D$4:$D$503,_calc!$E$64)))=0,"","Every: "&amp;IF(LEN(INDEX('Inspections'!$D$4:$D$503,_calc!$E$64))=0,"",INDEX('Inspections'!$D$4:$D$503,_calc!$E$64))&amp;". ")&amp;IF(LEN(IF(LEN(INDEX('Inspections'!$E$4:$E$503,_calc!$E$64))=0,"",INDEX('Inspections'!$E$4:$E$503,_calc!$E$64)))=0,"","Unit: "&amp;IF(LEN(INDEX('Inspections'!$E$4:$E$503,_calc!$E$64))=0,"",INDEX('Inspections'!$E$4:$E$503,_calc!$E$64))&amp;". ")&amp;IF(LEN(IF(LEN(INDEX('Inspections'!$F$4:$F$503,_calc!$E$64))=0,"",INDEX('Inspections'!$F$4:$F$503,_calc!$E$64)))=0,"","Done by: "&amp;IF(LEN(INDEX('Inspections'!$F$4:$F$503,_calc!$E$64))=0,"",INDEX('Inspections'!$F$4:$F$503,_calc!$E$64))&amp;". ")&amp;IF(LEN(IF(LEN(INDEX('Inspections'!$M$4:$M$503,_calc!$E$64))=0,"",INDEX('Inspections'!$M$4:$M$503,_calc!$E$64)))=0,"","Source: "&amp;IF(LEN(INDEX('Inspections'!$M$4:$M$503,_calc!$E$64))=0,"",INDEX('Inspections'!$M$4:$M$503,_calc!$E$64))&amp;". ")&amp;IF(LEN(IF(LEN(INDEX('Inspections'!$N$4:$N$503,_calc!$E$64))=0,"",INDEX('Inspections'!$N$4:$N$503,_calc!$E$64)))=0,"","Owner: "&amp;IF(LEN(INDEX('Inspections'!$N$4:$N$503,_calc!$E$64))=0,"",INDEX('Inspections'!$N$4:$N$503,_calc!$E$64))&amp;". ")&amp;IF(LEN(IF(LEN(INDEX('Inspections'!$O$4:$O$503,_calc!$E$64))=0,"",INDEX('Inspections'!$O$4:$O$503,_calc!$E$64)))=0,"","Backup: "&amp;IF(LEN(INDEX('Inspections'!$O$4:$O$503,_calc!$E$64))=0,"",INDEX('Inspections'!$O$4:$O$503,_calc!$E$64))&amp;". ")&amp;IF(LEN(IF(LEN(INDEX('Inspections'!$R$4:$R$503,_calc!$E$64))=0,"",INDEX('Inspections'!$R$4:$R$503,_calc!$E$64)))=0,"",IF(LEN(INDEX('Inspections'!$R$4:$R$503,_calc!$E$64))=0,"",INDEX('Inspections'!$R$4:$R$503,_calc!$E$64)))))</f>
        <v/>
      </c>
      <c r="G62" s="55">
        <f>IF(_calc!$E$64="","",IF(LEN(INDEX('Inspections'!$Q$4:$Q$503,_calc!$E$64))=0,"",INDEX('Inspections'!$Q$4:$Q$503,_calc!$E$64)))</f>
        <v/>
      </c>
      <c r="K62" s="55">
        <f>IF(_calc!$E$64="","",IF(LEN(INDEX('Inspections'!$P$4:$P$503,_calc!$E$64))=0,"",INDEX('Inspections'!$P$4:$P$503,_calc!$E$64)))</f>
        <v/>
      </c>
    </row>
    <row r="63">
      <c r="A63" s="55">
        <f>IF(_calc!$E$65="","",IF(LEN(INDEX('Inspections'!$C$4:$C$503,_calc!$E$65))=0,"",INDEX('Inspections'!$C$4:$C$503,_calc!$E$65))&amp;" – "&amp;IF(LEN(INDEX('Inspections'!$A$4:$A$503,_calc!$E$65))=0,"",INDEX('Inspections'!$A$4:$A$503,_calc!$E$65)))</f>
        <v/>
      </c>
      <c r="B63" s="55">
        <f>IF(_calc!$E$65="","",IF(ISNUMBER(INDEX('Inspections'!$H$4:$H$503,_calc!$E$65)),TEXT(INDEX('Inspections'!$H$4:$H$503,_calc!$E$65),"yyyy-mm-dd"),""))</f>
        <v/>
      </c>
      <c r="C63" s="55">
        <f>IF(_calc!$E$65="","","Inspection")</f>
        <v/>
      </c>
      <c r="D63" s="55">
        <f>IF(_calc!$E$65="","",IF(ISNUMBER(INDEX('Inspections'!$G$4:$G$503,_calc!$E$65)),TEXT(INDEX('Inspections'!$G$4:$G$503,_calc!$E$65),"yyyy-mm-dd"),""))</f>
        <v/>
      </c>
      <c r="F63" s="55">
        <f>IF(_calc!$E$65="","",TRIM(IF(LEN(IF(LEN(INDEX('Inspections'!$B$4:$B$503,_calc!$E$65))=0,"",INDEX('Inspections'!$B$4:$B$503,_calc!$E$65)))=0,"","System: "&amp;IF(LEN(INDEX('Inspections'!$B$4:$B$503,_calc!$E$65))=0,"",INDEX('Inspections'!$B$4:$B$503,_calc!$E$65))&amp;". ")&amp;IF(LEN(IF(LEN(INDEX('Inspections'!$D$4:$D$503,_calc!$E$65))=0,"",INDEX('Inspections'!$D$4:$D$503,_calc!$E$65)))=0,"","Every: "&amp;IF(LEN(INDEX('Inspections'!$D$4:$D$503,_calc!$E$65))=0,"",INDEX('Inspections'!$D$4:$D$503,_calc!$E$65))&amp;". ")&amp;IF(LEN(IF(LEN(INDEX('Inspections'!$E$4:$E$503,_calc!$E$65))=0,"",INDEX('Inspections'!$E$4:$E$503,_calc!$E$65)))=0,"","Unit: "&amp;IF(LEN(INDEX('Inspections'!$E$4:$E$503,_calc!$E$65))=0,"",INDEX('Inspections'!$E$4:$E$503,_calc!$E$65))&amp;". ")&amp;IF(LEN(IF(LEN(INDEX('Inspections'!$F$4:$F$503,_calc!$E$65))=0,"",INDEX('Inspections'!$F$4:$F$503,_calc!$E$65)))=0,"","Done by: "&amp;IF(LEN(INDEX('Inspections'!$F$4:$F$503,_calc!$E$65))=0,"",INDEX('Inspections'!$F$4:$F$503,_calc!$E$65))&amp;". ")&amp;IF(LEN(IF(LEN(INDEX('Inspections'!$M$4:$M$503,_calc!$E$65))=0,"",INDEX('Inspections'!$M$4:$M$503,_calc!$E$65)))=0,"","Source: "&amp;IF(LEN(INDEX('Inspections'!$M$4:$M$503,_calc!$E$65))=0,"",INDEX('Inspections'!$M$4:$M$503,_calc!$E$65))&amp;". ")&amp;IF(LEN(IF(LEN(INDEX('Inspections'!$N$4:$N$503,_calc!$E$65))=0,"",INDEX('Inspections'!$N$4:$N$503,_calc!$E$65)))=0,"","Owner: "&amp;IF(LEN(INDEX('Inspections'!$N$4:$N$503,_calc!$E$65))=0,"",INDEX('Inspections'!$N$4:$N$503,_calc!$E$65))&amp;". ")&amp;IF(LEN(IF(LEN(INDEX('Inspections'!$O$4:$O$503,_calc!$E$65))=0,"",INDEX('Inspections'!$O$4:$O$503,_calc!$E$65)))=0,"","Backup: "&amp;IF(LEN(INDEX('Inspections'!$O$4:$O$503,_calc!$E$65))=0,"",INDEX('Inspections'!$O$4:$O$503,_calc!$E$65))&amp;". ")&amp;IF(LEN(IF(LEN(INDEX('Inspections'!$R$4:$R$503,_calc!$E$65))=0,"",INDEX('Inspections'!$R$4:$R$503,_calc!$E$65)))=0,"",IF(LEN(INDEX('Inspections'!$R$4:$R$503,_calc!$E$65))=0,"",INDEX('Inspections'!$R$4:$R$503,_calc!$E$65)))))</f>
        <v/>
      </c>
      <c r="G63" s="55">
        <f>IF(_calc!$E$65="","",IF(LEN(INDEX('Inspections'!$Q$4:$Q$503,_calc!$E$65))=0,"",INDEX('Inspections'!$Q$4:$Q$503,_calc!$E$65)))</f>
        <v/>
      </c>
      <c r="K63" s="55">
        <f>IF(_calc!$E$65="","",IF(LEN(INDEX('Inspections'!$P$4:$P$503,_calc!$E$65))=0,"",INDEX('Inspections'!$P$4:$P$503,_calc!$E$65)))</f>
        <v/>
      </c>
    </row>
    <row r="64">
      <c r="A64" s="55">
        <f>IF(_calc!$E$66="","",IF(LEN(INDEX('Inspections'!$C$4:$C$503,_calc!$E$66))=0,"",INDEX('Inspections'!$C$4:$C$503,_calc!$E$66))&amp;" – "&amp;IF(LEN(INDEX('Inspections'!$A$4:$A$503,_calc!$E$66))=0,"",INDEX('Inspections'!$A$4:$A$503,_calc!$E$66)))</f>
        <v/>
      </c>
      <c r="B64" s="55">
        <f>IF(_calc!$E$66="","",IF(ISNUMBER(INDEX('Inspections'!$H$4:$H$503,_calc!$E$66)),TEXT(INDEX('Inspections'!$H$4:$H$503,_calc!$E$66),"yyyy-mm-dd"),""))</f>
        <v/>
      </c>
      <c r="C64" s="55">
        <f>IF(_calc!$E$66="","","Inspection")</f>
        <v/>
      </c>
      <c r="D64" s="55">
        <f>IF(_calc!$E$66="","",IF(ISNUMBER(INDEX('Inspections'!$G$4:$G$503,_calc!$E$66)),TEXT(INDEX('Inspections'!$G$4:$G$503,_calc!$E$66),"yyyy-mm-dd"),""))</f>
        <v/>
      </c>
      <c r="F64" s="55">
        <f>IF(_calc!$E$66="","",TRIM(IF(LEN(IF(LEN(INDEX('Inspections'!$B$4:$B$503,_calc!$E$66))=0,"",INDEX('Inspections'!$B$4:$B$503,_calc!$E$66)))=0,"","System: "&amp;IF(LEN(INDEX('Inspections'!$B$4:$B$503,_calc!$E$66))=0,"",INDEX('Inspections'!$B$4:$B$503,_calc!$E$66))&amp;". ")&amp;IF(LEN(IF(LEN(INDEX('Inspections'!$D$4:$D$503,_calc!$E$66))=0,"",INDEX('Inspections'!$D$4:$D$503,_calc!$E$66)))=0,"","Every: "&amp;IF(LEN(INDEX('Inspections'!$D$4:$D$503,_calc!$E$66))=0,"",INDEX('Inspections'!$D$4:$D$503,_calc!$E$66))&amp;". ")&amp;IF(LEN(IF(LEN(INDEX('Inspections'!$E$4:$E$503,_calc!$E$66))=0,"",INDEX('Inspections'!$E$4:$E$503,_calc!$E$66)))=0,"","Unit: "&amp;IF(LEN(INDEX('Inspections'!$E$4:$E$503,_calc!$E$66))=0,"",INDEX('Inspections'!$E$4:$E$503,_calc!$E$66))&amp;". ")&amp;IF(LEN(IF(LEN(INDEX('Inspections'!$F$4:$F$503,_calc!$E$66))=0,"",INDEX('Inspections'!$F$4:$F$503,_calc!$E$66)))=0,"","Done by: "&amp;IF(LEN(INDEX('Inspections'!$F$4:$F$503,_calc!$E$66))=0,"",INDEX('Inspections'!$F$4:$F$503,_calc!$E$66))&amp;". ")&amp;IF(LEN(IF(LEN(INDEX('Inspections'!$M$4:$M$503,_calc!$E$66))=0,"",INDEX('Inspections'!$M$4:$M$503,_calc!$E$66)))=0,"","Source: "&amp;IF(LEN(INDEX('Inspections'!$M$4:$M$503,_calc!$E$66))=0,"",INDEX('Inspections'!$M$4:$M$503,_calc!$E$66))&amp;". ")&amp;IF(LEN(IF(LEN(INDEX('Inspections'!$N$4:$N$503,_calc!$E$66))=0,"",INDEX('Inspections'!$N$4:$N$503,_calc!$E$66)))=0,"","Owner: "&amp;IF(LEN(INDEX('Inspections'!$N$4:$N$503,_calc!$E$66))=0,"",INDEX('Inspections'!$N$4:$N$503,_calc!$E$66))&amp;". ")&amp;IF(LEN(IF(LEN(INDEX('Inspections'!$O$4:$O$503,_calc!$E$66))=0,"",INDEX('Inspections'!$O$4:$O$503,_calc!$E$66)))=0,"","Backup: "&amp;IF(LEN(INDEX('Inspections'!$O$4:$O$503,_calc!$E$66))=0,"",INDEX('Inspections'!$O$4:$O$503,_calc!$E$66))&amp;". ")&amp;IF(LEN(IF(LEN(INDEX('Inspections'!$R$4:$R$503,_calc!$E$66))=0,"",INDEX('Inspections'!$R$4:$R$503,_calc!$E$66)))=0,"",IF(LEN(INDEX('Inspections'!$R$4:$R$503,_calc!$E$66))=0,"",INDEX('Inspections'!$R$4:$R$503,_calc!$E$66)))))</f>
        <v/>
      </c>
      <c r="G64" s="55">
        <f>IF(_calc!$E$66="","",IF(LEN(INDEX('Inspections'!$Q$4:$Q$503,_calc!$E$66))=0,"",INDEX('Inspections'!$Q$4:$Q$503,_calc!$E$66)))</f>
        <v/>
      </c>
      <c r="K64" s="55">
        <f>IF(_calc!$E$66="","",IF(LEN(INDEX('Inspections'!$P$4:$P$503,_calc!$E$66))=0,"",INDEX('Inspections'!$P$4:$P$503,_calc!$E$66)))</f>
        <v/>
      </c>
    </row>
    <row r="65">
      <c r="A65" s="55">
        <f>IF(_calc!$E$67="","",IF(LEN(INDEX('Inspections'!$C$4:$C$503,_calc!$E$67))=0,"",INDEX('Inspections'!$C$4:$C$503,_calc!$E$67))&amp;" – "&amp;IF(LEN(INDEX('Inspections'!$A$4:$A$503,_calc!$E$67))=0,"",INDEX('Inspections'!$A$4:$A$503,_calc!$E$67)))</f>
        <v/>
      </c>
      <c r="B65" s="55">
        <f>IF(_calc!$E$67="","",IF(ISNUMBER(INDEX('Inspections'!$H$4:$H$503,_calc!$E$67)),TEXT(INDEX('Inspections'!$H$4:$H$503,_calc!$E$67),"yyyy-mm-dd"),""))</f>
        <v/>
      </c>
      <c r="C65" s="55">
        <f>IF(_calc!$E$67="","","Inspection")</f>
        <v/>
      </c>
      <c r="D65" s="55">
        <f>IF(_calc!$E$67="","",IF(ISNUMBER(INDEX('Inspections'!$G$4:$G$503,_calc!$E$67)),TEXT(INDEX('Inspections'!$G$4:$G$503,_calc!$E$67),"yyyy-mm-dd"),""))</f>
        <v/>
      </c>
      <c r="F65" s="55">
        <f>IF(_calc!$E$67="","",TRIM(IF(LEN(IF(LEN(INDEX('Inspections'!$B$4:$B$503,_calc!$E$67))=0,"",INDEX('Inspections'!$B$4:$B$503,_calc!$E$67)))=0,"","System: "&amp;IF(LEN(INDEX('Inspections'!$B$4:$B$503,_calc!$E$67))=0,"",INDEX('Inspections'!$B$4:$B$503,_calc!$E$67))&amp;". ")&amp;IF(LEN(IF(LEN(INDEX('Inspections'!$D$4:$D$503,_calc!$E$67))=0,"",INDEX('Inspections'!$D$4:$D$503,_calc!$E$67)))=0,"","Every: "&amp;IF(LEN(INDEX('Inspections'!$D$4:$D$503,_calc!$E$67))=0,"",INDEX('Inspections'!$D$4:$D$503,_calc!$E$67))&amp;". ")&amp;IF(LEN(IF(LEN(INDEX('Inspections'!$E$4:$E$503,_calc!$E$67))=0,"",INDEX('Inspections'!$E$4:$E$503,_calc!$E$67)))=0,"","Unit: "&amp;IF(LEN(INDEX('Inspections'!$E$4:$E$503,_calc!$E$67))=0,"",INDEX('Inspections'!$E$4:$E$503,_calc!$E$67))&amp;". ")&amp;IF(LEN(IF(LEN(INDEX('Inspections'!$F$4:$F$503,_calc!$E$67))=0,"",INDEX('Inspections'!$F$4:$F$503,_calc!$E$67)))=0,"","Done by: "&amp;IF(LEN(INDEX('Inspections'!$F$4:$F$503,_calc!$E$67))=0,"",INDEX('Inspections'!$F$4:$F$503,_calc!$E$67))&amp;". ")&amp;IF(LEN(IF(LEN(INDEX('Inspections'!$M$4:$M$503,_calc!$E$67))=0,"",INDEX('Inspections'!$M$4:$M$503,_calc!$E$67)))=0,"","Source: "&amp;IF(LEN(INDEX('Inspections'!$M$4:$M$503,_calc!$E$67))=0,"",INDEX('Inspections'!$M$4:$M$503,_calc!$E$67))&amp;". ")&amp;IF(LEN(IF(LEN(INDEX('Inspections'!$N$4:$N$503,_calc!$E$67))=0,"",INDEX('Inspections'!$N$4:$N$503,_calc!$E$67)))=0,"","Owner: "&amp;IF(LEN(INDEX('Inspections'!$N$4:$N$503,_calc!$E$67))=0,"",INDEX('Inspections'!$N$4:$N$503,_calc!$E$67))&amp;". ")&amp;IF(LEN(IF(LEN(INDEX('Inspections'!$O$4:$O$503,_calc!$E$67))=0,"",INDEX('Inspections'!$O$4:$O$503,_calc!$E$67)))=0,"","Backup: "&amp;IF(LEN(INDEX('Inspections'!$O$4:$O$503,_calc!$E$67))=0,"",INDEX('Inspections'!$O$4:$O$503,_calc!$E$67))&amp;". ")&amp;IF(LEN(IF(LEN(INDEX('Inspections'!$R$4:$R$503,_calc!$E$67))=0,"",INDEX('Inspections'!$R$4:$R$503,_calc!$E$67)))=0,"",IF(LEN(INDEX('Inspections'!$R$4:$R$503,_calc!$E$67))=0,"",INDEX('Inspections'!$R$4:$R$503,_calc!$E$67)))))</f>
        <v/>
      </c>
      <c r="G65" s="55">
        <f>IF(_calc!$E$67="","",IF(LEN(INDEX('Inspections'!$Q$4:$Q$503,_calc!$E$67))=0,"",INDEX('Inspections'!$Q$4:$Q$503,_calc!$E$67)))</f>
        <v/>
      </c>
      <c r="K65" s="55">
        <f>IF(_calc!$E$67="","",IF(LEN(INDEX('Inspections'!$P$4:$P$503,_calc!$E$67))=0,"",INDEX('Inspections'!$P$4:$P$503,_calc!$E$67)))</f>
        <v/>
      </c>
    </row>
    <row r="66">
      <c r="A66" s="55">
        <f>IF(_calc!$E$68="","",IF(LEN(INDEX('Inspections'!$C$4:$C$503,_calc!$E$68))=0,"",INDEX('Inspections'!$C$4:$C$503,_calc!$E$68))&amp;" – "&amp;IF(LEN(INDEX('Inspections'!$A$4:$A$503,_calc!$E$68))=0,"",INDEX('Inspections'!$A$4:$A$503,_calc!$E$68)))</f>
        <v/>
      </c>
      <c r="B66" s="55">
        <f>IF(_calc!$E$68="","",IF(ISNUMBER(INDEX('Inspections'!$H$4:$H$503,_calc!$E$68)),TEXT(INDEX('Inspections'!$H$4:$H$503,_calc!$E$68),"yyyy-mm-dd"),""))</f>
        <v/>
      </c>
      <c r="C66" s="55">
        <f>IF(_calc!$E$68="","","Inspection")</f>
        <v/>
      </c>
      <c r="D66" s="55">
        <f>IF(_calc!$E$68="","",IF(ISNUMBER(INDEX('Inspections'!$G$4:$G$503,_calc!$E$68)),TEXT(INDEX('Inspections'!$G$4:$G$503,_calc!$E$68),"yyyy-mm-dd"),""))</f>
        <v/>
      </c>
      <c r="F66" s="55">
        <f>IF(_calc!$E$68="","",TRIM(IF(LEN(IF(LEN(INDEX('Inspections'!$B$4:$B$503,_calc!$E$68))=0,"",INDEX('Inspections'!$B$4:$B$503,_calc!$E$68)))=0,"","System: "&amp;IF(LEN(INDEX('Inspections'!$B$4:$B$503,_calc!$E$68))=0,"",INDEX('Inspections'!$B$4:$B$503,_calc!$E$68))&amp;". ")&amp;IF(LEN(IF(LEN(INDEX('Inspections'!$D$4:$D$503,_calc!$E$68))=0,"",INDEX('Inspections'!$D$4:$D$503,_calc!$E$68)))=0,"","Every: "&amp;IF(LEN(INDEX('Inspections'!$D$4:$D$503,_calc!$E$68))=0,"",INDEX('Inspections'!$D$4:$D$503,_calc!$E$68))&amp;". ")&amp;IF(LEN(IF(LEN(INDEX('Inspections'!$E$4:$E$503,_calc!$E$68))=0,"",INDEX('Inspections'!$E$4:$E$503,_calc!$E$68)))=0,"","Unit: "&amp;IF(LEN(INDEX('Inspections'!$E$4:$E$503,_calc!$E$68))=0,"",INDEX('Inspections'!$E$4:$E$503,_calc!$E$68))&amp;". ")&amp;IF(LEN(IF(LEN(INDEX('Inspections'!$F$4:$F$503,_calc!$E$68))=0,"",INDEX('Inspections'!$F$4:$F$503,_calc!$E$68)))=0,"","Done by: "&amp;IF(LEN(INDEX('Inspections'!$F$4:$F$503,_calc!$E$68))=0,"",INDEX('Inspections'!$F$4:$F$503,_calc!$E$68))&amp;". ")&amp;IF(LEN(IF(LEN(INDEX('Inspections'!$M$4:$M$503,_calc!$E$68))=0,"",INDEX('Inspections'!$M$4:$M$503,_calc!$E$68)))=0,"","Source: "&amp;IF(LEN(INDEX('Inspections'!$M$4:$M$503,_calc!$E$68))=0,"",INDEX('Inspections'!$M$4:$M$503,_calc!$E$68))&amp;". ")&amp;IF(LEN(IF(LEN(INDEX('Inspections'!$N$4:$N$503,_calc!$E$68))=0,"",INDEX('Inspections'!$N$4:$N$503,_calc!$E$68)))=0,"","Owner: "&amp;IF(LEN(INDEX('Inspections'!$N$4:$N$503,_calc!$E$68))=0,"",INDEX('Inspections'!$N$4:$N$503,_calc!$E$68))&amp;". ")&amp;IF(LEN(IF(LEN(INDEX('Inspections'!$O$4:$O$503,_calc!$E$68))=0,"",INDEX('Inspections'!$O$4:$O$503,_calc!$E$68)))=0,"","Backup: "&amp;IF(LEN(INDEX('Inspections'!$O$4:$O$503,_calc!$E$68))=0,"",INDEX('Inspections'!$O$4:$O$503,_calc!$E$68))&amp;". ")&amp;IF(LEN(IF(LEN(INDEX('Inspections'!$R$4:$R$503,_calc!$E$68))=0,"",INDEX('Inspections'!$R$4:$R$503,_calc!$E$68)))=0,"",IF(LEN(INDEX('Inspections'!$R$4:$R$503,_calc!$E$68))=0,"",INDEX('Inspections'!$R$4:$R$503,_calc!$E$68)))))</f>
        <v/>
      </c>
      <c r="G66" s="55">
        <f>IF(_calc!$E$68="","",IF(LEN(INDEX('Inspections'!$Q$4:$Q$503,_calc!$E$68))=0,"",INDEX('Inspections'!$Q$4:$Q$503,_calc!$E$68)))</f>
        <v/>
      </c>
      <c r="K66" s="55">
        <f>IF(_calc!$E$68="","",IF(LEN(INDEX('Inspections'!$P$4:$P$503,_calc!$E$68))=0,"",INDEX('Inspections'!$P$4:$P$503,_calc!$E$68)))</f>
        <v/>
      </c>
    </row>
    <row r="67">
      <c r="A67" s="55">
        <f>IF(_calc!$E$69="","",IF(LEN(INDEX('Inspections'!$C$4:$C$503,_calc!$E$69))=0,"",INDEX('Inspections'!$C$4:$C$503,_calc!$E$69))&amp;" – "&amp;IF(LEN(INDEX('Inspections'!$A$4:$A$503,_calc!$E$69))=0,"",INDEX('Inspections'!$A$4:$A$503,_calc!$E$69)))</f>
        <v/>
      </c>
      <c r="B67" s="55">
        <f>IF(_calc!$E$69="","",IF(ISNUMBER(INDEX('Inspections'!$H$4:$H$503,_calc!$E$69)),TEXT(INDEX('Inspections'!$H$4:$H$503,_calc!$E$69),"yyyy-mm-dd"),""))</f>
        <v/>
      </c>
      <c r="C67" s="55">
        <f>IF(_calc!$E$69="","","Inspection")</f>
        <v/>
      </c>
      <c r="D67" s="55">
        <f>IF(_calc!$E$69="","",IF(ISNUMBER(INDEX('Inspections'!$G$4:$G$503,_calc!$E$69)),TEXT(INDEX('Inspections'!$G$4:$G$503,_calc!$E$69),"yyyy-mm-dd"),""))</f>
        <v/>
      </c>
      <c r="F67" s="55">
        <f>IF(_calc!$E$69="","",TRIM(IF(LEN(IF(LEN(INDEX('Inspections'!$B$4:$B$503,_calc!$E$69))=0,"",INDEX('Inspections'!$B$4:$B$503,_calc!$E$69)))=0,"","System: "&amp;IF(LEN(INDEX('Inspections'!$B$4:$B$503,_calc!$E$69))=0,"",INDEX('Inspections'!$B$4:$B$503,_calc!$E$69))&amp;". ")&amp;IF(LEN(IF(LEN(INDEX('Inspections'!$D$4:$D$503,_calc!$E$69))=0,"",INDEX('Inspections'!$D$4:$D$503,_calc!$E$69)))=0,"","Every: "&amp;IF(LEN(INDEX('Inspections'!$D$4:$D$503,_calc!$E$69))=0,"",INDEX('Inspections'!$D$4:$D$503,_calc!$E$69))&amp;". ")&amp;IF(LEN(IF(LEN(INDEX('Inspections'!$E$4:$E$503,_calc!$E$69))=0,"",INDEX('Inspections'!$E$4:$E$503,_calc!$E$69)))=0,"","Unit: "&amp;IF(LEN(INDEX('Inspections'!$E$4:$E$503,_calc!$E$69))=0,"",INDEX('Inspections'!$E$4:$E$503,_calc!$E$69))&amp;". ")&amp;IF(LEN(IF(LEN(INDEX('Inspections'!$F$4:$F$503,_calc!$E$69))=0,"",INDEX('Inspections'!$F$4:$F$503,_calc!$E$69)))=0,"","Done by: "&amp;IF(LEN(INDEX('Inspections'!$F$4:$F$503,_calc!$E$69))=0,"",INDEX('Inspections'!$F$4:$F$503,_calc!$E$69))&amp;". ")&amp;IF(LEN(IF(LEN(INDEX('Inspections'!$M$4:$M$503,_calc!$E$69))=0,"",INDEX('Inspections'!$M$4:$M$503,_calc!$E$69)))=0,"","Source: "&amp;IF(LEN(INDEX('Inspections'!$M$4:$M$503,_calc!$E$69))=0,"",INDEX('Inspections'!$M$4:$M$503,_calc!$E$69))&amp;". ")&amp;IF(LEN(IF(LEN(INDEX('Inspections'!$N$4:$N$503,_calc!$E$69))=0,"",INDEX('Inspections'!$N$4:$N$503,_calc!$E$69)))=0,"","Owner: "&amp;IF(LEN(INDEX('Inspections'!$N$4:$N$503,_calc!$E$69))=0,"",INDEX('Inspections'!$N$4:$N$503,_calc!$E$69))&amp;". ")&amp;IF(LEN(IF(LEN(INDEX('Inspections'!$O$4:$O$503,_calc!$E$69))=0,"",INDEX('Inspections'!$O$4:$O$503,_calc!$E$69)))=0,"","Backup: "&amp;IF(LEN(INDEX('Inspections'!$O$4:$O$503,_calc!$E$69))=0,"",INDEX('Inspections'!$O$4:$O$503,_calc!$E$69))&amp;". ")&amp;IF(LEN(IF(LEN(INDEX('Inspections'!$R$4:$R$503,_calc!$E$69))=0,"",INDEX('Inspections'!$R$4:$R$503,_calc!$E$69)))=0,"",IF(LEN(INDEX('Inspections'!$R$4:$R$503,_calc!$E$69))=0,"",INDEX('Inspections'!$R$4:$R$503,_calc!$E$69)))))</f>
        <v/>
      </c>
      <c r="G67" s="55">
        <f>IF(_calc!$E$69="","",IF(LEN(INDEX('Inspections'!$Q$4:$Q$503,_calc!$E$69))=0,"",INDEX('Inspections'!$Q$4:$Q$503,_calc!$E$69)))</f>
        <v/>
      </c>
      <c r="K67" s="55">
        <f>IF(_calc!$E$69="","",IF(LEN(INDEX('Inspections'!$P$4:$P$503,_calc!$E$69))=0,"",INDEX('Inspections'!$P$4:$P$503,_calc!$E$69)))</f>
        <v/>
      </c>
    </row>
    <row r="68">
      <c r="A68" s="55">
        <f>IF(_calc!$E$70="","",IF(LEN(INDEX('Inspections'!$C$4:$C$503,_calc!$E$70))=0,"",INDEX('Inspections'!$C$4:$C$503,_calc!$E$70))&amp;" – "&amp;IF(LEN(INDEX('Inspections'!$A$4:$A$503,_calc!$E$70))=0,"",INDEX('Inspections'!$A$4:$A$503,_calc!$E$70)))</f>
        <v/>
      </c>
      <c r="B68" s="55">
        <f>IF(_calc!$E$70="","",IF(ISNUMBER(INDEX('Inspections'!$H$4:$H$503,_calc!$E$70)),TEXT(INDEX('Inspections'!$H$4:$H$503,_calc!$E$70),"yyyy-mm-dd"),""))</f>
        <v/>
      </c>
      <c r="C68" s="55">
        <f>IF(_calc!$E$70="","","Inspection")</f>
        <v/>
      </c>
      <c r="D68" s="55">
        <f>IF(_calc!$E$70="","",IF(ISNUMBER(INDEX('Inspections'!$G$4:$G$503,_calc!$E$70)),TEXT(INDEX('Inspections'!$G$4:$G$503,_calc!$E$70),"yyyy-mm-dd"),""))</f>
        <v/>
      </c>
      <c r="F68" s="55">
        <f>IF(_calc!$E$70="","",TRIM(IF(LEN(IF(LEN(INDEX('Inspections'!$B$4:$B$503,_calc!$E$70))=0,"",INDEX('Inspections'!$B$4:$B$503,_calc!$E$70)))=0,"","System: "&amp;IF(LEN(INDEX('Inspections'!$B$4:$B$503,_calc!$E$70))=0,"",INDEX('Inspections'!$B$4:$B$503,_calc!$E$70))&amp;". ")&amp;IF(LEN(IF(LEN(INDEX('Inspections'!$D$4:$D$503,_calc!$E$70))=0,"",INDEX('Inspections'!$D$4:$D$503,_calc!$E$70)))=0,"","Every: "&amp;IF(LEN(INDEX('Inspections'!$D$4:$D$503,_calc!$E$70))=0,"",INDEX('Inspections'!$D$4:$D$503,_calc!$E$70))&amp;". ")&amp;IF(LEN(IF(LEN(INDEX('Inspections'!$E$4:$E$503,_calc!$E$70))=0,"",INDEX('Inspections'!$E$4:$E$503,_calc!$E$70)))=0,"","Unit: "&amp;IF(LEN(INDEX('Inspections'!$E$4:$E$503,_calc!$E$70))=0,"",INDEX('Inspections'!$E$4:$E$503,_calc!$E$70))&amp;". ")&amp;IF(LEN(IF(LEN(INDEX('Inspections'!$F$4:$F$503,_calc!$E$70))=0,"",INDEX('Inspections'!$F$4:$F$503,_calc!$E$70)))=0,"","Done by: "&amp;IF(LEN(INDEX('Inspections'!$F$4:$F$503,_calc!$E$70))=0,"",INDEX('Inspections'!$F$4:$F$503,_calc!$E$70))&amp;". ")&amp;IF(LEN(IF(LEN(INDEX('Inspections'!$M$4:$M$503,_calc!$E$70))=0,"",INDEX('Inspections'!$M$4:$M$503,_calc!$E$70)))=0,"","Source: "&amp;IF(LEN(INDEX('Inspections'!$M$4:$M$503,_calc!$E$70))=0,"",INDEX('Inspections'!$M$4:$M$503,_calc!$E$70))&amp;". ")&amp;IF(LEN(IF(LEN(INDEX('Inspections'!$N$4:$N$503,_calc!$E$70))=0,"",INDEX('Inspections'!$N$4:$N$503,_calc!$E$70)))=0,"","Owner: "&amp;IF(LEN(INDEX('Inspections'!$N$4:$N$503,_calc!$E$70))=0,"",INDEX('Inspections'!$N$4:$N$503,_calc!$E$70))&amp;". ")&amp;IF(LEN(IF(LEN(INDEX('Inspections'!$O$4:$O$503,_calc!$E$70))=0,"",INDEX('Inspections'!$O$4:$O$503,_calc!$E$70)))=0,"","Backup: "&amp;IF(LEN(INDEX('Inspections'!$O$4:$O$503,_calc!$E$70))=0,"",INDEX('Inspections'!$O$4:$O$503,_calc!$E$70))&amp;". ")&amp;IF(LEN(IF(LEN(INDEX('Inspections'!$R$4:$R$503,_calc!$E$70))=0,"",INDEX('Inspections'!$R$4:$R$503,_calc!$E$70)))=0,"",IF(LEN(INDEX('Inspections'!$R$4:$R$503,_calc!$E$70))=0,"",INDEX('Inspections'!$R$4:$R$503,_calc!$E$70)))))</f>
        <v/>
      </c>
      <c r="G68" s="55">
        <f>IF(_calc!$E$70="","",IF(LEN(INDEX('Inspections'!$Q$4:$Q$503,_calc!$E$70))=0,"",INDEX('Inspections'!$Q$4:$Q$503,_calc!$E$70)))</f>
        <v/>
      </c>
      <c r="K68" s="55">
        <f>IF(_calc!$E$70="","",IF(LEN(INDEX('Inspections'!$P$4:$P$503,_calc!$E$70))=0,"",INDEX('Inspections'!$P$4:$P$503,_calc!$E$70)))</f>
        <v/>
      </c>
    </row>
    <row r="69">
      <c r="A69" s="55">
        <f>IF(_calc!$E$71="","",IF(LEN(INDEX('Inspections'!$C$4:$C$503,_calc!$E$71))=0,"",INDEX('Inspections'!$C$4:$C$503,_calc!$E$71))&amp;" – "&amp;IF(LEN(INDEX('Inspections'!$A$4:$A$503,_calc!$E$71))=0,"",INDEX('Inspections'!$A$4:$A$503,_calc!$E$71)))</f>
        <v/>
      </c>
      <c r="B69" s="55">
        <f>IF(_calc!$E$71="","",IF(ISNUMBER(INDEX('Inspections'!$H$4:$H$503,_calc!$E$71)),TEXT(INDEX('Inspections'!$H$4:$H$503,_calc!$E$71),"yyyy-mm-dd"),""))</f>
        <v/>
      </c>
      <c r="C69" s="55">
        <f>IF(_calc!$E$71="","","Inspection")</f>
        <v/>
      </c>
      <c r="D69" s="55">
        <f>IF(_calc!$E$71="","",IF(ISNUMBER(INDEX('Inspections'!$G$4:$G$503,_calc!$E$71)),TEXT(INDEX('Inspections'!$G$4:$G$503,_calc!$E$71),"yyyy-mm-dd"),""))</f>
        <v/>
      </c>
      <c r="F69" s="55">
        <f>IF(_calc!$E$71="","",TRIM(IF(LEN(IF(LEN(INDEX('Inspections'!$B$4:$B$503,_calc!$E$71))=0,"",INDEX('Inspections'!$B$4:$B$503,_calc!$E$71)))=0,"","System: "&amp;IF(LEN(INDEX('Inspections'!$B$4:$B$503,_calc!$E$71))=0,"",INDEX('Inspections'!$B$4:$B$503,_calc!$E$71))&amp;". ")&amp;IF(LEN(IF(LEN(INDEX('Inspections'!$D$4:$D$503,_calc!$E$71))=0,"",INDEX('Inspections'!$D$4:$D$503,_calc!$E$71)))=0,"","Every: "&amp;IF(LEN(INDEX('Inspections'!$D$4:$D$503,_calc!$E$71))=0,"",INDEX('Inspections'!$D$4:$D$503,_calc!$E$71))&amp;". ")&amp;IF(LEN(IF(LEN(INDEX('Inspections'!$E$4:$E$503,_calc!$E$71))=0,"",INDEX('Inspections'!$E$4:$E$503,_calc!$E$71)))=0,"","Unit: "&amp;IF(LEN(INDEX('Inspections'!$E$4:$E$503,_calc!$E$71))=0,"",INDEX('Inspections'!$E$4:$E$503,_calc!$E$71))&amp;". ")&amp;IF(LEN(IF(LEN(INDEX('Inspections'!$F$4:$F$503,_calc!$E$71))=0,"",INDEX('Inspections'!$F$4:$F$503,_calc!$E$71)))=0,"","Done by: "&amp;IF(LEN(INDEX('Inspections'!$F$4:$F$503,_calc!$E$71))=0,"",INDEX('Inspections'!$F$4:$F$503,_calc!$E$71))&amp;". ")&amp;IF(LEN(IF(LEN(INDEX('Inspections'!$M$4:$M$503,_calc!$E$71))=0,"",INDEX('Inspections'!$M$4:$M$503,_calc!$E$71)))=0,"","Source: "&amp;IF(LEN(INDEX('Inspections'!$M$4:$M$503,_calc!$E$71))=0,"",INDEX('Inspections'!$M$4:$M$503,_calc!$E$71))&amp;". ")&amp;IF(LEN(IF(LEN(INDEX('Inspections'!$N$4:$N$503,_calc!$E$71))=0,"",INDEX('Inspections'!$N$4:$N$503,_calc!$E$71)))=0,"","Owner: "&amp;IF(LEN(INDEX('Inspections'!$N$4:$N$503,_calc!$E$71))=0,"",INDEX('Inspections'!$N$4:$N$503,_calc!$E$71))&amp;". ")&amp;IF(LEN(IF(LEN(INDEX('Inspections'!$O$4:$O$503,_calc!$E$71))=0,"",INDEX('Inspections'!$O$4:$O$503,_calc!$E$71)))=0,"","Backup: "&amp;IF(LEN(INDEX('Inspections'!$O$4:$O$503,_calc!$E$71))=0,"",INDEX('Inspections'!$O$4:$O$503,_calc!$E$71))&amp;". ")&amp;IF(LEN(IF(LEN(INDEX('Inspections'!$R$4:$R$503,_calc!$E$71))=0,"",INDEX('Inspections'!$R$4:$R$503,_calc!$E$71)))=0,"",IF(LEN(INDEX('Inspections'!$R$4:$R$503,_calc!$E$71))=0,"",INDEX('Inspections'!$R$4:$R$503,_calc!$E$71)))))</f>
        <v/>
      </c>
      <c r="G69" s="55">
        <f>IF(_calc!$E$71="","",IF(LEN(INDEX('Inspections'!$Q$4:$Q$503,_calc!$E$71))=0,"",INDEX('Inspections'!$Q$4:$Q$503,_calc!$E$71)))</f>
        <v/>
      </c>
      <c r="K69" s="55">
        <f>IF(_calc!$E$71="","",IF(LEN(INDEX('Inspections'!$P$4:$P$503,_calc!$E$71))=0,"",INDEX('Inspections'!$P$4:$P$503,_calc!$E$71)))</f>
        <v/>
      </c>
    </row>
    <row r="70">
      <c r="A70" s="55">
        <f>IF(_calc!$E$72="","",IF(LEN(INDEX('Inspections'!$C$4:$C$503,_calc!$E$72))=0,"",INDEX('Inspections'!$C$4:$C$503,_calc!$E$72))&amp;" – "&amp;IF(LEN(INDEX('Inspections'!$A$4:$A$503,_calc!$E$72))=0,"",INDEX('Inspections'!$A$4:$A$503,_calc!$E$72)))</f>
        <v/>
      </c>
      <c r="B70" s="55">
        <f>IF(_calc!$E$72="","",IF(ISNUMBER(INDEX('Inspections'!$H$4:$H$503,_calc!$E$72)),TEXT(INDEX('Inspections'!$H$4:$H$503,_calc!$E$72),"yyyy-mm-dd"),""))</f>
        <v/>
      </c>
      <c r="C70" s="55">
        <f>IF(_calc!$E$72="","","Inspection")</f>
        <v/>
      </c>
      <c r="D70" s="55">
        <f>IF(_calc!$E$72="","",IF(ISNUMBER(INDEX('Inspections'!$G$4:$G$503,_calc!$E$72)),TEXT(INDEX('Inspections'!$G$4:$G$503,_calc!$E$72),"yyyy-mm-dd"),""))</f>
        <v/>
      </c>
      <c r="F70" s="55">
        <f>IF(_calc!$E$72="","",TRIM(IF(LEN(IF(LEN(INDEX('Inspections'!$B$4:$B$503,_calc!$E$72))=0,"",INDEX('Inspections'!$B$4:$B$503,_calc!$E$72)))=0,"","System: "&amp;IF(LEN(INDEX('Inspections'!$B$4:$B$503,_calc!$E$72))=0,"",INDEX('Inspections'!$B$4:$B$503,_calc!$E$72))&amp;". ")&amp;IF(LEN(IF(LEN(INDEX('Inspections'!$D$4:$D$503,_calc!$E$72))=0,"",INDEX('Inspections'!$D$4:$D$503,_calc!$E$72)))=0,"","Every: "&amp;IF(LEN(INDEX('Inspections'!$D$4:$D$503,_calc!$E$72))=0,"",INDEX('Inspections'!$D$4:$D$503,_calc!$E$72))&amp;". ")&amp;IF(LEN(IF(LEN(INDEX('Inspections'!$E$4:$E$503,_calc!$E$72))=0,"",INDEX('Inspections'!$E$4:$E$503,_calc!$E$72)))=0,"","Unit: "&amp;IF(LEN(INDEX('Inspections'!$E$4:$E$503,_calc!$E$72))=0,"",INDEX('Inspections'!$E$4:$E$503,_calc!$E$72))&amp;". ")&amp;IF(LEN(IF(LEN(INDEX('Inspections'!$F$4:$F$503,_calc!$E$72))=0,"",INDEX('Inspections'!$F$4:$F$503,_calc!$E$72)))=0,"","Done by: "&amp;IF(LEN(INDEX('Inspections'!$F$4:$F$503,_calc!$E$72))=0,"",INDEX('Inspections'!$F$4:$F$503,_calc!$E$72))&amp;". ")&amp;IF(LEN(IF(LEN(INDEX('Inspections'!$M$4:$M$503,_calc!$E$72))=0,"",INDEX('Inspections'!$M$4:$M$503,_calc!$E$72)))=0,"","Source: "&amp;IF(LEN(INDEX('Inspections'!$M$4:$M$503,_calc!$E$72))=0,"",INDEX('Inspections'!$M$4:$M$503,_calc!$E$72))&amp;". ")&amp;IF(LEN(IF(LEN(INDEX('Inspections'!$N$4:$N$503,_calc!$E$72))=0,"",INDEX('Inspections'!$N$4:$N$503,_calc!$E$72)))=0,"","Owner: "&amp;IF(LEN(INDEX('Inspections'!$N$4:$N$503,_calc!$E$72))=0,"",INDEX('Inspections'!$N$4:$N$503,_calc!$E$72))&amp;". ")&amp;IF(LEN(IF(LEN(INDEX('Inspections'!$O$4:$O$503,_calc!$E$72))=0,"",INDEX('Inspections'!$O$4:$O$503,_calc!$E$72)))=0,"","Backup: "&amp;IF(LEN(INDEX('Inspections'!$O$4:$O$503,_calc!$E$72))=0,"",INDEX('Inspections'!$O$4:$O$503,_calc!$E$72))&amp;". ")&amp;IF(LEN(IF(LEN(INDEX('Inspections'!$R$4:$R$503,_calc!$E$72))=0,"",INDEX('Inspections'!$R$4:$R$503,_calc!$E$72)))=0,"",IF(LEN(INDEX('Inspections'!$R$4:$R$503,_calc!$E$72))=0,"",INDEX('Inspections'!$R$4:$R$503,_calc!$E$72)))))</f>
        <v/>
      </c>
      <c r="G70" s="55">
        <f>IF(_calc!$E$72="","",IF(LEN(INDEX('Inspections'!$Q$4:$Q$503,_calc!$E$72))=0,"",INDEX('Inspections'!$Q$4:$Q$503,_calc!$E$72)))</f>
        <v/>
      </c>
      <c r="K70" s="55">
        <f>IF(_calc!$E$72="","",IF(LEN(INDEX('Inspections'!$P$4:$P$503,_calc!$E$72))=0,"",INDEX('Inspections'!$P$4:$P$503,_calc!$E$72)))</f>
        <v/>
      </c>
    </row>
    <row r="71">
      <c r="A71" s="55">
        <f>IF(_calc!$E$73="","",IF(LEN(INDEX('Inspections'!$C$4:$C$503,_calc!$E$73))=0,"",INDEX('Inspections'!$C$4:$C$503,_calc!$E$73))&amp;" – "&amp;IF(LEN(INDEX('Inspections'!$A$4:$A$503,_calc!$E$73))=0,"",INDEX('Inspections'!$A$4:$A$503,_calc!$E$73)))</f>
        <v/>
      </c>
      <c r="B71" s="55">
        <f>IF(_calc!$E$73="","",IF(ISNUMBER(INDEX('Inspections'!$H$4:$H$503,_calc!$E$73)),TEXT(INDEX('Inspections'!$H$4:$H$503,_calc!$E$73),"yyyy-mm-dd"),""))</f>
        <v/>
      </c>
      <c r="C71" s="55">
        <f>IF(_calc!$E$73="","","Inspection")</f>
        <v/>
      </c>
      <c r="D71" s="55">
        <f>IF(_calc!$E$73="","",IF(ISNUMBER(INDEX('Inspections'!$G$4:$G$503,_calc!$E$73)),TEXT(INDEX('Inspections'!$G$4:$G$503,_calc!$E$73),"yyyy-mm-dd"),""))</f>
        <v/>
      </c>
      <c r="F71" s="55">
        <f>IF(_calc!$E$73="","",TRIM(IF(LEN(IF(LEN(INDEX('Inspections'!$B$4:$B$503,_calc!$E$73))=0,"",INDEX('Inspections'!$B$4:$B$503,_calc!$E$73)))=0,"","System: "&amp;IF(LEN(INDEX('Inspections'!$B$4:$B$503,_calc!$E$73))=0,"",INDEX('Inspections'!$B$4:$B$503,_calc!$E$73))&amp;". ")&amp;IF(LEN(IF(LEN(INDEX('Inspections'!$D$4:$D$503,_calc!$E$73))=0,"",INDEX('Inspections'!$D$4:$D$503,_calc!$E$73)))=0,"","Every: "&amp;IF(LEN(INDEX('Inspections'!$D$4:$D$503,_calc!$E$73))=0,"",INDEX('Inspections'!$D$4:$D$503,_calc!$E$73))&amp;". ")&amp;IF(LEN(IF(LEN(INDEX('Inspections'!$E$4:$E$503,_calc!$E$73))=0,"",INDEX('Inspections'!$E$4:$E$503,_calc!$E$73)))=0,"","Unit: "&amp;IF(LEN(INDEX('Inspections'!$E$4:$E$503,_calc!$E$73))=0,"",INDEX('Inspections'!$E$4:$E$503,_calc!$E$73))&amp;". ")&amp;IF(LEN(IF(LEN(INDEX('Inspections'!$F$4:$F$503,_calc!$E$73))=0,"",INDEX('Inspections'!$F$4:$F$503,_calc!$E$73)))=0,"","Done by: "&amp;IF(LEN(INDEX('Inspections'!$F$4:$F$503,_calc!$E$73))=0,"",INDEX('Inspections'!$F$4:$F$503,_calc!$E$73))&amp;". ")&amp;IF(LEN(IF(LEN(INDEX('Inspections'!$M$4:$M$503,_calc!$E$73))=0,"",INDEX('Inspections'!$M$4:$M$503,_calc!$E$73)))=0,"","Source: "&amp;IF(LEN(INDEX('Inspections'!$M$4:$M$503,_calc!$E$73))=0,"",INDEX('Inspections'!$M$4:$M$503,_calc!$E$73))&amp;". ")&amp;IF(LEN(IF(LEN(INDEX('Inspections'!$N$4:$N$503,_calc!$E$73))=0,"",INDEX('Inspections'!$N$4:$N$503,_calc!$E$73)))=0,"","Owner: "&amp;IF(LEN(INDEX('Inspections'!$N$4:$N$503,_calc!$E$73))=0,"",INDEX('Inspections'!$N$4:$N$503,_calc!$E$73))&amp;". ")&amp;IF(LEN(IF(LEN(INDEX('Inspections'!$O$4:$O$503,_calc!$E$73))=0,"",INDEX('Inspections'!$O$4:$O$503,_calc!$E$73)))=0,"","Backup: "&amp;IF(LEN(INDEX('Inspections'!$O$4:$O$503,_calc!$E$73))=0,"",INDEX('Inspections'!$O$4:$O$503,_calc!$E$73))&amp;". ")&amp;IF(LEN(IF(LEN(INDEX('Inspections'!$R$4:$R$503,_calc!$E$73))=0,"",INDEX('Inspections'!$R$4:$R$503,_calc!$E$73)))=0,"",IF(LEN(INDEX('Inspections'!$R$4:$R$503,_calc!$E$73))=0,"",INDEX('Inspections'!$R$4:$R$503,_calc!$E$73)))))</f>
        <v/>
      </c>
      <c r="G71" s="55">
        <f>IF(_calc!$E$73="","",IF(LEN(INDEX('Inspections'!$Q$4:$Q$503,_calc!$E$73))=0,"",INDEX('Inspections'!$Q$4:$Q$503,_calc!$E$73)))</f>
        <v/>
      </c>
      <c r="K71" s="55">
        <f>IF(_calc!$E$73="","",IF(LEN(INDEX('Inspections'!$P$4:$P$503,_calc!$E$73))=0,"",INDEX('Inspections'!$P$4:$P$503,_calc!$E$73)))</f>
        <v/>
      </c>
    </row>
    <row r="72">
      <c r="A72" s="55">
        <f>IF(_calc!$E$74="","",IF(LEN(INDEX('Inspections'!$C$4:$C$503,_calc!$E$74))=0,"",INDEX('Inspections'!$C$4:$C$503,_calc!$E$74))&amp;" – "&amp;IF(LEN(INDEX('Inspections'!$A$4:$A$503,_calc!$E$74))=0,"",INDEX('Inspections'!$A$4:$A$503,_calc!$E$74)))</f>
        <v/>
      </c>
      <c r="B72" s="55">
        <f>IF(_calc!$E$74="","",IF(ISNUMBER(INDEX('Inspections'!$H$4:$H$503,_calc!$E$74)),TEXT(INDEX('Inspections'!$H$4:$H$503,_calc!$E$74),"yyyy-mm-dd"),""))</f>
        <v/>
      </c>
      <c r="C72" s="55">
        <f>IF(_calc!$E$74="","","Inspection")</f>
        <v/>
      </c>
      <c r="D72" s="55">
        <f>IF(_calc!$E$74="","",IF(ISNUMBER(INDEX('Inspections'!$G$4:$G$503,_calc!$E$74)),TEXT(INDEX('Inspections'!$G$4:$G$503,_calc!$E$74),"yyyy-mm-dd"),""))</f>
        <v/>
      </c>
      <c r="F72" s="55">
        <f>IF(_calc!$E$74="","",TRIM(IF(LEN(IF(LEN(INDEX('Inspections'!$B$4:$B$503,_calc!$E$74))=0,"",INDEX('Inspections'!$B$4:$B$503,_calc!$E$74)))=0,"","System: "&amp;IF(LEN(INDEX('Inspections'!$B$4:$B$503,_calc!$E$74))=0,"",INDEX('Inspections'!$B$4:$B$503,_calc!$E$74))&amp;". ")&amp;IF(LEN(IF(LEN(INDEX('Inspections'!$D$4:$D$503,_calc!$E$74))=0,"",INDEX('Inspections'!$D$4:$D$503,_calc!$E$74)))=0,"","Every: "&amp;IF(LEN(INDEX('Inspections'!$D$4:$D$503,_calc!$E$74))=0,"",INDEX('Inspections'!$D$4:$D$503,_calc!$E$74))&amp;". ")&amp;IF(LEN(IF(LEN(INDEX('Inspections'!$E$4:$E$503,_calc!$E$74))=0,"",INDEX('Inspections'!$E$4:$E$503,_calc!$E$74)))=0,"","Unit: "&amp;IF(LEN(INDEX('Inspections'!$E$4:$E$503,_calc!$E$74))=0,"",INDEX('Inspections'!$E$4:$E$503,_calc!$E$74))&amp;". ")&amp;IF(LEN(IF(LEN(INDEX('Inspections'!$F$4:$F$503,_calc!$E$74))=0,"",INDEX('Inspections'!$F$4:$F$503,_calc!$E$74)))=0,"","Done by: "&amp;IF(LEN(INDEX('Inspections'!$F$4:$F$503,_calc!$E$74))=0,"",INDEX('Inspections'!$F$4:$F$503,_calc!$E$74))&amp;". ")&amp;IF(LEN(IF(LEN(INDEX('Inspections'!$M$4:$M$503,_calc!$E$74))=0,"",INDEX('Inspections'!$M$4:$M$503,_calc!$E$74)))=0,"","Source: "&amp;IF(LEN(INDEX('Inspections'!$M$4:$M$503,_calc!$E$74))=0,"",INDEX('Inspections'!$M$4:$M$503,_calc!$E$74))&amp;". ")&amp;IF(LEN(IF(LEN(INDEX('Inspections'!$N$4:$N$503,_calc!$E$74))=0,"",INDEX('Inspections'!$N$4:$N$503,_calc!$E$74)))=0,"","Owner: "&amp;IF(LEN(INDEX('Inspections'!$N$4:$N$503,_calc!$E$74))=0,"",INDEX('Inspections'!$N$4:$N$503,_calc!$E$74))&amp;". ")&amp;IF(LEN(IF(LEN(INDEX('Inspections'!$O$4:$O$503,_calc!$E$74))=0,"",INDEX('Inspections'!$O$4:$O$503,_calc!$E$74)))=0,"","Backup: "&amp;IF(LEN(INDEX('Inspections'!$O$4:$O$503,_calc!$E$74))=0,"",INDEX('Inspections'!$O$4:$O$503,_calc!$E$74))&amp;". ")&amp;IF(LEN(IF(LEN(INDEX('Inspections'!$R$4:$R$503,_calc!$E$74))=0,"",INDEX('Inspections'!$R$4:$R$503,_calc!$E$74)))=0,"",IF(LEN(INDEX('Inspections'!$R$4:$R$503,_calc!$E$74))=0,"",INDEX('Inspections'!$R$4:$R$503,_calc!$E$74)))))</f>
        <v/>
      </c>
      <c r="G72" s="55">
        <f>IF(_calc!$E$74="","",IF(LEN(INDEX('Inspections'!$Q$4:$Q$503,_calc!$E$74))=0,"",INDEX('Inspections'!$Q$4:$Q$503,_calc!$E$74)))</f>
        <v/>
      </c>
      <c r="K72" s="55">
        <f>IF(_calc!$E$74="","",IF(LEN(INDEX('Inspections'!$P$4:$P$503,_calc!$E$74))=0,"",INDEX('Inspections'!$P$4:$P$503,_calc!$E$74)))</f>
        <v/>
      </c>
    </row>
    <row r="73">
      <c r="A73" s="55">
        <f>IF(_calc!$E$75="","",IF(LEN(INDEX('Inspections'!$C$4:$C$503,_calc!$E$75))=0,"",INDEX('Inspections'!$C$4:$C$503,_calc!$E$75))&amp;" – "&amp;IF(LEN(INDEX('Inspections'!$A$4:$A$503,_calc!$E$75))=0,"",INDEX('Inspections'!$A$4:$A$503,_calc!$E$75)))</f>
        <v/>
      </c>
      <c r="B73" s="55">
        <f>IF(_calc!$E$75="","",IF(ISNUMBER(INDEX('Inspections'!$H$4:$H$503,_calc!$E$75)),TEXT(INDEX('Inspections'!$H$4:$H$503,_calc!$E$75),"yyyy-mm-dd"),""))</f>
        <v/>
      </c>
      <c r="C73" s="55">
        <f>IF(_calc!$E$75="","","Inspection")</f>
        <v/>
      </c>
      <c r="D73" s="55">
        <f>IF(_calc!$E$75="","",IF(ISNUMBER(INDEX('Inspections'!$G$4:$G$503,_calc!$E$75)),TEXT(INDEX('Inspections'!$G$4:$G$503,_calc!$E$75),"yyyy-mm-dd"),""))</f>
        <v/>
      </c>
      <c r="F73" s="55">
        <f>IF(_calc!$E$75="","",TRIM(IF(LEN(IF(LEN(INDEX('Inspections'!$B$4:$B$503,_calc!$E$75))=0,"",INDEX('Inspections'!$B$4:$B$503,_calc!$E$75)))=0,"","System: "&amp;IF(LEN(INDEX('Inspections'!$B$4:$B$503,_calc!$E$75))=0,"",INDEX('Inspections'!$B$4:$B$503,_calc!$E$75))&amp;". ")&amp;IF(LEN(IF(LEN(INDEX('Inspections'!$D$4:$D$503,_calc!$E$75))=0,"",INDEX('Inspections'!$D$4:$D$503,_calc!$E$75)))=0,"","Every: "&amp;IF(LEN(INDEX('Inspections'!$D$4:$D$503,_calc!$E$75))=0,"",INDEX('Inspections'!$D$4:$D$503,_calc!$E$75))&amp;". ")&amp;IF(LEN(IF(LEN(INDEX('Inspections'!$E$4:$E$503,_calc!$E$75))=0,"",INDEX('Inspections'!$E$4:$E$503,_calc!$E$75)))=0,"","Unit: "&amp;IF(LEN(INDEX('Inspections'!$E$4:$E$503,_calc!$E$75))=0,"",INDEX('Inspections'!$E$4:$E$503,_calc!$E$75))&amp;". ")&amp;IF(LEN(IF(LEN(INDEX('Inspections'!$F$4:$F$503,_calc!$E$75))=0,"",INDEX('Inspections'!$F$4:$F$503,_calc!$E$75)))=0,"","Done by: "&amp;IF(LEN(INDEX('Inspections'!$F$4:$F$503,_calc!$E$75))=0,"",INDEX('Inspections'!$F$4:$F$503,_calc!$E$75))&amp;". ")&amp;IF(LEN(IF(LEN(INDEX('Inspections'!$M$4:$M$503,_calc!$E$75))=0,"",INDEX('Inspections'!$M$4:$M$503,_calc!$E$75)))=0,"","Source: "&amp;IF(LEN(INDEX('Inspections'!$M$4:$M$503,_calc!$E$75))=0,"",INDEX('Inspections'!$M$4:$M$503,_calc!$E$75))&amp;". ")&amp;IF(LEN(IF(LEN(INDEX('Inspections'!$N$4:$N$503,_calc!$E$75))=0,"",INDEX('Inspections'!$N$4:$N$503,_calc!$E$75)))=0,"","Owner: "&amp;IF(LEN(INDEX('Inspections'!$N$4:$N$503,_calc!$E$75))=0,"",INDEX('Inspections'!$N$4:$N$503,_calc!$E$75))&amp;". ")&amp;IF(LEN(IF(LEN(INDEX('Inspections'!$O$4:$O$503,_calc!$E$75))=0,"",INDEX('Inspections'!$O$4:$O$503,_calc!$E$75)))=0,"","Backup: "&amp;IF(LEN(INDEX('Inspections'!$O$4:$O$503,_calc!$E$75))=0,"",INDEX('Inspections'!$O$4:$O$503,_calc!$E$75))&amp;". ")&amp;IF(LEN(IF(LEN(INDEX('Inspections'!$R$4:$R$503,_calc!$E$75))=0,"",INDEX('Inspections'!$R$4:$R$503,_calc!$E$75)))=0,"",IF(LEN(INDEX('Inspections'!$R$4:$R$503,_calc!$E$75))=0,"",INDEX('Inspections'!$R$4:$R$503,_calc!$E$75)))))</f>
        <v/>
      </c>
      <c r="G73" s="55">
        <f>IF(_calc!$E$75="","",IF(LEN(INDEX('Inspections'!$Q$4:$Q$503,_calc!$E$75))=0,"",INDEX('Inspections'!$Q$4:$Q$503,_calc!$E$75)))</f>
        <v/>
      </c>
      <c r="K73" s="55">
        <f>IF(_calc!$E$75="","",IF(LEN(INDEX('Inspections'!$P$4:$P$503,_calc!$E$75))=0,"",INDEX('Inspections'!$P$4:$P$503,_calc!$E$75)))</f>
        <v/>
      </c>
    </row>
    <row r="74">
      <c r="A74" s="55">
        <f>IF(_calc!$E$76="","",IF(LEN(INDEX('Inspections'!$C$4:$C$503,_calc!$E$76))=0,"",INDEX('Inspections'!$C$4:$C$503,_calc!$E$76))&amp;" – "&amp;IF(LEN(INDEX('Inspections'!$A$4:$A$503,_calc!$E$76))=0,"",INDEX('Inspections'!$A$4:$A$503,_calc!$E$76)))</f>
        <v/>
      </c>
      <c r="B74" s="55">
        <f>IF(_calc!$E$76="","",IF(ISNUMBER(INDEX('Inspections'!$H$4:$H$503,_calc!$E$76)),TEXT(INDEX('Inspections'!$H$4:$H$503,_calc!$E$76),"yyyy-mm-dd"),""))</f>
        <v/>
      </c>
      <c r="C74" s="55">
        <f>IF(_calc!$E$76="","","Inspection")</f>
        <v/>
      </c>
      <c r="D74" s="55">
        <f>IF(_calc!$E$76="","",IF(ISNUMBER(INDEX('Inspections'!$G$4:$G$503,_calc!$E$76)),TEXT(INDEX('Inspections'!$G$4:$G$503,_calc!$E$76),"yyyy-mm-dd"),""))</f>
        <v/>
      </c>
      <c r="F74" s="55">
        <f>IF(_calc!$E$76="","",TRIM(IF(LEN(IF(LEN(INDEX('Inspections'!$B$4:$B$503,_calc!$E$76))=0,"",INDEX('Inspections'!$B$4:$B$503,_calc!$E$76)))=0,"","System: "&amp;IF(LEN(INDEX('Inspections'!$B$4:$B$503,_calc!$E$76))=0,"",INDEX('Inspections'!$B$4:$B$503,_calc!$E$76))&amp;". ")&amp;IF(LEN(IF(LEN(INDEX('Inspections'!$D$4:$D$503,_calc!$E$76))=0,"",INDEX('Inspections'!$D$4:$D$503,_calc!$E$76)))=0,"","Every: "&amp;IF(LEN(INDEX('Inspections'!$D$4:$D$503,_calc!$E$76))=0,"",INDEX('Inspections'!$D$4:$D$503,_calc!$E$76))&amp;". ")&amp;IF(LEN(IF(LEN(INDEX('Inspections'!$E$4:$E$503,_calc!$E$76))=0,"",INDEX('Inspections'!$E$4:$E$503,_calc!$E$76)))=0,"","Unit: "&amp;IF(LEN(INDEX('Inspections'!$E$4:$E$503,_calc!$E$76))=0,"",INDEX('Inspections'!$E$4:$E$503,_calc!$E$76))&amp;". ")&amp;IF(LEN(IF(LEN(INDEX('Inspections'!$F$4:$F$503,_calc!$E$76))=0,"",INDEX('Inspections'!$F$4:$F$503,_calc!$E$76)))=0,"","Done by: "&amp;IF(LEN(INDEX('Inspections'!$F$4:$F$503,_calc!$E$76))=0,"",INDEX('Inspections'!$F$4:$F$503,_calc!$E$76))&amp;". ")&amp;IF(LEN(IF(LEN(INDEX('Inspections'!$M$4:$M$503,_calc!$E$76))=0,"",INDEX('Inspections'!$M$4:$M$503,_calc!$E$76)))=0,"","Source: "&amp;IF(LEN(INDEX('Inspections'!$M$4:$M$503,_calc!$E$76))=0,"",INDEX('Inspections'!$M$4:$M$503,_calc!$E$76))&amp;". ")&amp;IF(LEN(IF(LEN(INDEX('Inspections'!$N$4:$N$503,_calc!$E$76))=0,"",INDEX('Inspections'!$N$4:$N$503,_calc!$E$76)))=0,"","Owner: "&amp;IF(LEN(INDEX('Inspections'!$N$4:$N$503,_calc!$E$76))=0,"",INDEX('Inspections'!$N$4:$N$503,_calc!$E$76))&amp;". ")&amp;IF(LEN(IF(LEN(INDEX('Inspections'!$O$4:$O$503,_calc!$E$76))=0,"",INDEX('Inspections'!$O$4:$O$503,_calc!$E$76)))=0,"","Backup: "&amp;IF(LEN(INDEX('Inspections'!$O$4:$O$503,_calc!$E$76))=0,"",INDEX('Inspections'!$O$4:$O$503,_calc!$E$76))&amp;". ")&amp;IF(LEN(IF(LEN(INDEX('Inspections'!$R$4:$R$503,_calc!$E$76))=0,"",INDEX('Inspections'!$R$4:$R$503,_calc!$E$76)))=0,"",IF(LEN(INDEX('Inspections'!$R$4:$R$503,_calc!$E$76))=0,"",INDEX('Inspections'!$R$4:$R$503,_calc!$E$76)))))</f>
        <v/>
      </c>
      <c r="G74" s="55">
        <f>IF(_calc!$E$76="","",IF(LEN(INDEX('Inspections'!$Q$4:$Q$503,_calc!$E$76))=0,"",INDEX('Inspections'!$Q$4:$Q$503,_calc!$E$76)))</f>
        <v/>
      </c>
      <c r="K74" s="55">
        <f>IF(_calc!$E$76="","",IF(LEN(INDEX('Inspections'!$P$4:$P$503,_calc!$E$76))=0,"",INDEX('Inspections'!$P$4:$P$503,_calc!$E$76)))</f>
        <v/>
      </c>
    </row>
    <row r="75">
      <c r="A75" s="55">
        <f>IF(_calc!$E$77="","",IF(LEN(INDEX('Inspections'!$C$4:$C$503,_calc!$E$77))=0,"",INDEX('Inspections'!$C$4:$C$503,_calc!$E$77))&amp;" – "&amp;IF(LEN(INDEX('Inspections'!$A$4:$A$503,_calc!$E$77))=0,"",INDEX('Inspections'!$A$4:$A$503,_calc!$E$77)))</f>
        <v/>
      </c>
      <c r="B75" s="55">
        <f>IF(_calc!$E$77="","",IF(ISNUMBER(INDEX('Inspections'!$H$4:$H$503,_calc!$E$77)),TEXT(INDEX('Inspections'!$H$4:$H$503,_calc!$E$77),"yyyy-mm-dd"),""))</f>
        <v/>
      </c>
      <c r="C75" s="55">
        <f>IF(_calc!$E$77="","","Inspection")</f>
        <v/>
      </c>
      <c r="D75" s="55">
        <f>IF(_calc!$E$77="","",IF(ISNUMBER(INDEX('Inspections'!$G$4:$G$503,_calc!$E$77)),TEXT(INDEX('Inspections'!$G$4:$G$503,_calc!$E$77),"yyyy-mm-dd"),""))</f>
        <v/>
      </c>
      <c r="F75" s="55">
        <f>IF(_calc!$E$77="","",TRIM(IF(LEN(IF(LEN(INDEX('Inspections'!$B$4:$B$503,_calc!$E$77))=0,"",INDEX('Inspections'!$B$4:$B$503,_calc!$E$77)))=0,"","System: "&amp;IF(LEN(INDEX('Inspections'!$B$4:$B$503,_calc!$E$77))=0,"",INDEX('Inspections'!$B$4:$B$503,_calc!$E$77))&amp;". ")&amp;IF(LEN(IF(LEN(INDEX('Inspections'!$D$4:$D$503,_calc!$E$77))=0,"",INDEX('Inspections'!$D$4:$D$503,_calc!$E$77)))=0,"","Every: "&amp;IF(LEN(INDEX('Inspections'!$D$4:$D$503,_calc!$E$77))=0,"",INDEX('Inspections'!$D$4:$D$503,_calc!$E$77))&amp;". ")&amp;IF(LEN(IF(LEN(INDEX('Inspections'!$E$4:$E$503,_calc!$E$77))=0,"",INDEX('Inspections'!$E$4:$E$503,_calc!$E$77)))=0,"","Unit: "&amp;IF(LEN(INDEX('Inspections'!$E$4:$E$503,_calc!$E$77))=0,"",INDEX('Inspections'!$E$4:$E$503,_calc!$E$77))&amp;". ")&amp;IF(LEN(IF(LEN(INDEX('Inspections'!$F$4:$F$503,_calc!$E$77))=0,"",INDEX('Inspections'!$F$4:$F$503,_calc!$E$77)))=0,"","Done by: "&amp;IF(LEN(INDEX('Inspections'!$F$4:$F$503,_calc!$E$77))=0,"",INDEX('Inspections'!$F$4:$F$503,_calc!$E$77))&amp;". ")&amp;IF(LEN(IF(LEN(INDEX('Inspections'!$M$4:$M$503,_calc!$E$77))=0,"",INDEX('Inspections'!$M$4:$M$503,_calc!$E$77)))=0,"","Source: "&amp;IF(LEN(INDEX('Inspections'!$M$4:$M$503,_calc!$E$77))=0,"",INDEX('Inspections'!$M$4:$M$503,_calc!$E$77))&amp;". ")&amp;IF(LEN(IF(LEN(INDEX('Inspections'!$N$4:$N$503,_calc!$E$77))=0,"",INDEX('Inspections'!$N$4:$N$503,_calc!$E$77)))=0,"","Owner: "&amp;IF(LEN(INDEX('Inspections'!$N$4:$N$503,_calc!$E$77))=0,"",INDEX('Inspections'!$N$4:$N$503,_calc!$E$77))&amp;". ")&amp;IF(LEN(IF(LEN(INDEX('Inspections'!$O$4:$O$503,_calc!$E$77))=0,"",INDEX('Inspections'!$O$4:$O$503,_calc!$E$77)))=0,"","Backup: "&amp;IF(LEN(INDEX('Inspections'!$O$4:$O$503,_calc!$E$77))=0,"",INDEX('Inspections'!$O$4:$O$503,_calc!$E$77))&amp;". ")&amp;IF(LEN(IF(LEN(INDEX('Inspections'!$R$4:$R$503,_calc!$E$77))=0,"",INDEX('Inspections'!$R$4:$R$503,_calc!$E$77)))=0,"",IF(LEN(INDEX('Inspections'!$R$4:$R$503,_calc!$E$77))=0,"",INDEX('Inspections'!$R$4:$R$503,_calc!$E$77)))))</f>
        <v/>
      </c>
      <c r="G75" s="55">
        <f>IF(_calc!$E$77="","",IF(LEN(INDEX('Inspections'!$Q$4:$Q$503,_calc!$E$77))=0,"",INDEX('Inspections'!$Q$4:$Q$503,_calc!$E$77)))</f>
        <v/>
      </c>
      <c r="K75" s="55">
        <f>IF(_calc!$E$77="","",IF(LEN(INDEX('Inspections'!$P$4:$P$503,_calc!$E$77))=0,"",INDEX('Inspections'!$P$4:$P$503,_calc!$E$77)))</f>
        <v/>
      </c>
    </row>
    <row r="76">
      <c r="A76" s="55">
        <f>IF(_calc!$E$78="","",IF(LEN(INDEX('Inspections'!$C$4:$C$503,_calc!$E$78))=0,"",INDEX('Inspections'!$C$4:$C$503,_calc!$E$78))&amp;" – "&amp;IF(LEN(INDEX('Inspections'!$A$4:$A$503,_calc!$E$78))=0,"",INDEX('Inspections'!$A$4:$A$503,_calc!$E$78)))</f>
        <v/>
      </c>
      <c r="B76" s="55">
        <f>IF(_calc!$E$78="","",IF(ISNUMBER(INDEX('Inspections'!$H$4:$H$503,_calc!$E$78)),TEXT(INDEX('Inspections'!$H$4:$H$503,_calc!$E$78),"yyyy-mm-dd"),""))</f>
        <v/>
      </c>
      <c r="C76" s="55">
        <f>IF(_calc!$E$78="","","Inspection")</f>
        <v/>
      </c>
      <c r="D76" s="55">
        <f>IF(_calc!$E$78="","",IF(ISNUMBER(INDEX('Inspections'!$G$4:$G$503,_calc!$E$78)),TEXT(INDEX('Inspections'!$G$4:$G$503,_calc!$E$78),"yyyy-mm-dd"),""))</f>
        <v/>
      </c>
      <c r="F76" s="55">
        <f>IF(_calc!$E$78="","",TRIM(IF(LEN(IF(LEN(INDEX('Inspections'!$B$4:$B$503,_calc!$E$78))=0,"",INDEX('Inspections'!$B$4:$B$503,_calc!$E$78)))=0,"","System: "&amp;IF(LEN(INDEX('Inspections'!$B$4:$B$503,_calc!$E$78))=0,"",INDEX('Inspections'!$B$4:$B$503,_calc!$E$78))&amp;". ")&amp;IF(LEN(IF(LEN(INDEX('Inspections'!$D$4:$D$503,_calc!$E$78))=0,"",INDEX('Inspections'!$D$4:$D$503,_calc!$E$78)))=0,"","Every: "&amp;IF(LEN(INDEX('Inspections'!$D$4:$D$503,_calc!$E$78))=0,"",INDEX('Inspections'!$D$4:$D$503,_calc!$E$78))&amp;". ")&amp;IF(LEN(IF(LEN(INDEX('Inspections'!$E$4:$E$503,_calc!$E$78))=0,"",INDEX('Inspections'!$E$4:$E$503,_calc!$E$78)))=0,"","Unit: "&amp;IF(LEN(INDEX('Inspections'!$E$4:$E$503,_calc!$E$78))=0,"",INDEX('Inspections'!$E$4:$E$503,_calc!$E$78))&amp;". ")&amp;IF(LEN(IF(LEN(INDEX('Inspections'!$F$4:$F$503,_calc!$E$78))=0,"",INDEX('Inspections'!$F$4:$F$503,_calc!$E$78)))=0,"","Done by: "&amp;IF(LEN(INDEX('Inspections'!$F$4:$F$503,_calc!$E$78))=0,"",INDEX('Inspections'!$F$4:$F$503,_calc!$E$78))&amp;". ")&amp;IF(LEN(IF(LEN(INDEX('Inspections'!$M$4:$M$503,_calc!$E$78))=0,"",INDEX('Inspections'!$M$4:$M$503,_calc!$E$78)))=0,"","Source: "&amp;IF(LEN(INDEX('Inspections'!$M$4:$M$503,_calc!$E$78))=0,"",INDEX('Inspections'!$M$4:$M$503,_calc!$E$78))&amp;". ")&amp;IF(LEN(IF(LEN(INDEX('Inspections'!$N$4:$N$503,_calc!$E$78))=0,"",INDEX('Inspections'!$N$4:$N$503,_calc!$E$78)))=0,"","Owner: "&amp;IF(LEN(INDEX('Inspections'!$N$4:$N$503,_calc!$E$78))=0,"",INDEX('Inspections'!$N$4:$N$503,_calc!$E$78))&amp;". ")&amp;IF(LEN(IF(LEN(INDEX('Inspections'!$O$4:$O$503,_calc!$E$78))=0,"",INDEX('Inspections'!$O$4:$O$503,_calc!$E$78)))=0,"","Backup: "&amp;IF(LEN(INDEX('Inspections'!$O$4:$O$503,_calc!$E$78))=0,"",INDEX('Inspections'!$O$4:$O$503,_calc!$E$78))&amp;". ")&amp;IF(LEN(IF(LEN(INDEX('Inspections'!$R$4:$R$503,_calc!$E$78))=0,"",INDEX('Inspections'!$R$4:$R$503,_calc!$E$78)))=0,"",IF(LEN(INDEX('Inspections'!$R$4:$R$503,_calc!$E$78))=0,"",INDEX('Inspections'!$R$4:$R$503,_calc!$E$78)))))</f>
        <v/>
      </c>
      <c r="G76" s="55">
        <f>IF(_calc!$E$78="","",IF(LEN(INDEX('Inspections'!$Q$4:$Q$503,_calc!$E$78))=0,"",INDEX('Inspections'!$Q$4:$Q$503,_calc!$E$78)))</f>
        <v/>
      </c>
      <c r="K76" s="55">
        <f>IF(_calc!$E$78="","",IF(LEN(INDEX('Inspections'!$P$4:$P$503,_calc!$E$78))=0,"",INDEX('Inspections'!$P$4:$P$503,_calc!$E$78)))</f>
        <v/>
      </c>
    </row>
    <row r="77">
      <c r="A77" s="55">
        <f>IF(_calc!$E$79="","",IF(LEN(INDEX('Inspections'!$C$4:$C$503,_calc!$E$79))=0,"",INDEX('Inspections'!$C$4:$C$503,_calc!$E$79))&amp;" – "&amp;IF(LEN(INDEX('Inspections'!$A$4:$A$503,_calc!$E$79))=0,"",INDEX('Inspections'!$A$4:$A$503,_calc!$E$79)))</f>
        <v/>
      </c>
      <c r="B77" s="55">
        <f>IF(_calc!$E$79="","",IF(ISNUMBER(INDEX('Inspections'!$H$4:$H$503,_calc!$E$79)),TEXT(INDEX('Inspections'!$H$4:$H$503,_calc!$E$79),"yyyy-mm-dd"),""))</f>
        <v/>
      </c>
      <c r="C77" s="55">
        <f>IF(_calc!$E$79="","","Inspection")</f>
        <v/>
      </c>
      <c r="D77" s="55">
        <f>IF(_calc!$E$79="","",IF(ISNUMBER(INDEX('Inspections'!$G$4:$G$503,_calc!$E$79)),TEXT(INDEX('Inspections'!$G$4:$G$503,_calc!$E$79),"yyyy-mm-dd"),""))</f>
        <v/>
      </c>
      <c r="F77" s="55">
        <f>IF(_calc!$E$79="","",TRIM(IF(LEN(IF(LEN(INDEX('Inspections'!$B$4:$B$503,_calc!$E$79))=0,"",INDEX('Inspections'!$B$4:$B$503,_calc!$E$79)))=0,"","System: "&amp;IF(LEN(INDEX('Inspections'!$B$4:$B$503,_calc!$E$79))=0,"",INDEX('Inspections'!$B$4:$B$503,_calc!$E$79))&amp;". ")&amp;IF(LEN(IF(LEN(INDEX('Inspections'!$D$4:$D$503,_calc!$E$79))=0,"",INDEX('Inspections'!$D$4:$D$503,_calc!$E$79)))=0,"","Every: "&amp;IF(LEN(INDEX('Inspections'!$D$4:$D$503,_calc!$E$79))=0,"",INDEX('Inspections'!$D$4:$D$503,_calc!$E$79))&amp;". ")&amp;IF(LEN(IF(LEN(INDEX('Inspections'!$E$4:$E$503,_calc!$E$79))=0,"",INDEX('Inspections'!$E$4:$E$503,_calc!$E$79)))=0,"","Unit: "&amp;IF(LEN(INDEX('Inspections'!$E$4:$E$503,_calc!$E$79))=0,"",INDEX('Inspections'!$E$4:$E$503,_calc!$E$79))&amp;". ")&amp;IF(LEN(IF(LEN(INDEX('Inspections'!$F$4:$F$503,_calc!$E$79))=0,"",INDEX('Inspections'!$F$4:$F$503,_calc!$E$79)))=0,"","Done by: "&amp;IF(LEN(INDEX('Inspections'!$F$4:$F$503,_calc!$E$79))=0,"",INDEX('Inspections'!$F$4:$F$503,_calc!$E$79))&amp;". ")&amp;IF(LEN(IF(LEN(INDEX('Inspections'!$M$4:$M$503,_calc!$E$79))=0,"",INDEX('Inspections'!$M$4:$M$503,_calc!$E$79)))=0,"","Source: "&amp;IF(LEN(INDEX('Inspections'!$M$4:$M$503,_calc!$E$79))=0,"",INDEX('Inspections'!$M$4:$M$503,_calc!$E$79))&amp;". ")&amp;IF(LEN(IF(LEN(INDEX('Inspections'!$N$4:$N$503,_calc!$E$79))=0,"",INDEX('Inspections'!$N$4:$N$503,_calc!$E$79)))=0,"","Owner: "&amp;IF(LEN(INDEX('Inspections'!$N$4:$N$503,_calc!$E$79))=0,"",INDEX('Inspections'!$N$4:$N$503,_calc!$E$79))&amp;". ")&amp;IF(LEN(IF(LEN(INDEX('Inspections'!$O$4:$O$503,_calc!$E$79))=0,"",INDEX('Inspections'!$O$4:$O$503,_calc!$E$79)))=0,"","Backup: "&amp;IF(LEN(INDEX('Inspections'!$O$4:$O$503,_calc!$E$79))=0,"",INDEX('Inspections'!$O$4:$O$503,_calc!$E$79))&amp;". ")&amp;IF(LEN(IF(LEN(INDEX('Inspections'!$R$4:$R$503,_calc!$E$79))=0,"",INDEX('Inspections'!$R$4:$R$503,_calc!$E$79)))=0,"",IF(LEN(INDEX('Inspections'!$R$4:$R$503,_calc!$E$79))=0,"",INDEX('Inspections'!$R$4:$R$503,_calc!$E$79)))))</f>
        <v/>
      </c>
      <c r="G77" s="55">
        <f>IF(_calc!$E$79="","",IF(LEN(INDEX('Inspections'!$Q$4:$Q$503,_calc!$E$79))=0,"",INDEX('Inspections'!$Q$4:$Q$503,_calc!$E$79)))</f>
        <v/>
      </c>
      <c r="K77" s="55">
        <f>IF(_calc!$E$79="","",IF(LEN(INDEX('Inspections'!$P$4:$P$503,_calc!$E$79))=0,"",INDEX('Inspections'!$P$4:$P$503,_calc!$E$79)))</f>
        <v/>
      </c>
    </row>
    <row r="78">
      <c r="A78" s="55">
        <f>IF(_calc!$E$80="","",IF(LEN(INDEX('Inspections'!$C$4:$C$503,_calc!$E$80))=0,"",INDEX('Inspections'!$C$4:$C$503,_calc!$E$80))&amp;" – "&amp;IF(LEN(INDEX('Inspections'!$A$4:$A$503,_calc!$E$80))=0,"",INDEX('Inspections'!$A$4:$A$503,_calc!$E$80)))</f>
        <v/>
      </c>
      <c r="B78" s="55">
        <f>IF(_calc!$E$80="","",IF(ISNUMBER(INDEX('Inspections'!$H$4:$H$503,_calc!$E$80)),TEXT(INDEX('Inspections'!$H$4:$H$503,_calc!$E$80),"yyyy-mm-dd"),""))</f>
        <v/>
      </c>
      <c r="C78" s="55">
        <f>IF(_calc!$E$80="","","Inspection")</f>
        <v/>
      </c>
      <c r="D78" s="55">
        <f>IF(_calc!$E$80="","",IF(ISNUMBER(INDEX('Inspections'!$G$4:$G$503,_calc!$E$80)),TEXT(INDEX('Inspections'!$G$4:$G$503,_calc!$E$80),"yyyy-mm-dd"),""))</f>
        <v/>
      </c>
      <c r="F78" s="55">
        <f>IF(_calc!$E$80="","",TRIM(IF(LEN(IF(LEN(INDEX('Inspections'!$B$4:$B$503,_calc!$E$80))=0,"",INDEX('Inspections'!$B$4:$B$503,_calc!$E$80)))=0,"","System: "&amp;IF(LEN(INDEX('Inspections'!$B$4:$B$503,_calc!$E$80))=0,"",INDEX('Inspections'!$B$4:$B$503,_calc!$E$80))&amp;". ")&amp;IF(LEN(IF(LEN(INDEX('Inspections'!$D$4:$D$503,_calc!$E$80))=0,"",INDEX('Inspections'!$D$4:$D$503,_calc!$E$80)))=0,"","Every: "&amp;IF(LEN(INDEX('Inspections'!$D$4:$D$503,_calc!$E$80))=0,"",INDEX('Inspections'!$D$4:$D$503,_calc!$E$80))&amp;". ")&amp;IF(LEN(IF(LEN(INDEX('Inspections'!$E$4:$E$503,_calc!$E$80))=0,"",INDEX('Inspections'!$E$4:$E$503,_calc!$E$80)))=0,"","Unit: "&amp;IF(LEN(INDEX('Inspections'!$E$4:$E$503,_calc!$E$80))=0,"",INDEX('Inspections'!$E$4:$E$503,_calc!$E$80))&amp;". ")&amp;IF(LEN(IF(LEN(INDEX('Inspections'!$F$4:$F$503,_calc!$E$80))=0,"",INDEX('Inspections'!$F$4:$F$503,_calc!$E$80)))=0,"","Done by: "&amp;IF(LEN(INDEX('Inspections'!$F$4:$F$503,_calc!$E$80))=0,"",INDEX('Inspections'!$F$4:$F$503,_calc!$E$80))&amp;". ")&amp;IF(LEN(IF(LEN(INDEX('Inspections'!$M$4:$M$503,_calc!$E$80))=0,"",INDEX('Inspections'!$M$4:$M$503,_calc!$E$80)))=0,"","Source: "&amp;IF(LEN(INDEX('Inspections'!$M$4:$M$503,_calc!$E$80))=0,"",INDEX('Inspections'!$M$4:$M$503,_calc!$E$80))&amp;". ")&amp;IF(LEN(IF(LEN(INDEX('Inspections'!$N$4:$N$503,_calc!$E$80))=0,"",INDEX('Inspections'!$N$4:$N$503,_calc!$E$80)))=0,"","Owner: "&amp;IF(LEN(INDEX('Inspections'!$N$4:$N$503,_calc!$E$80))=0,"",INDEX('Inspections'!$N$4:$N$503,_calc!$E$80))&amp;". ")&amp;IF(LEN(IF(LEN(INDEX('Inspections'!$O$4:$O$503,_calc!$E$80))=0,"",INDEX('Inspections'!$O$4:$O$503,_calc!$E$80)))=0,"","Backup: "&amp;IF(LEN(INDEX('Inspections'!$O$4:$O$503,_calc!$E$80))=0,"",INDEX('Inspections'!$O$4:$O$503,_calc!$E$80))&amp;". ")&amp;IF(LEN(IF(LEN(INDEX('Inspections'!$R$4:$R$503,_calc!$E$80))=0,"",INDEX('Inspections'!$R$4:$R$503,_calc!$E$80)))=0,"",IF(LEN(INDEX('Inspections'!$R$4:$R$503,_calc!$E$80))=0,"",INDEX('Inspections'!$R$4:$R$503,_calc!$E$80)))))</f>
        <v/>
      </c>
      <c r="G78" s="55">
        <f>IF(_calc!$E$80="","",IF(LEN(INDEX('Inspections'!$Q$4:$Q$503,_calc!$E$80))=0,"",INDEX('Inspections'!$Q$4:$Q$503,_calc!$E$80)))</f>
        <v/>
      </c>
      <c r="K78" s="55">
        <f>IF(_calc!$E$80="","",IF(LEN(INDEX('Inspections'!$P$4:$P$503,_calc!$E$80))=0,"",INDEX('Inspections'!$P$4:$P$503,_calc!$E$80)))</f>
        <v/>
      </c>
    </row>
    <row r="79">
      <c r="A79" s="55">
        <f>IF(_calc!$E$81="","",IF(LEN(INDEX('Inspections'!$C$4:$C$503,_calc!$E$81))=0,"",INDEX('Inspections'!$C$4:$C$503,_calc!$E$81))&amp;" – "&amp;IF(LEN(INDEX('Inspections'!$A$4:$A$503,_calc!$E$81))=0,"",INDEX('Inspections'!$A$4:$A$503,_calc!$E$81)))</f>
        <v/>
      </c>
      <c r="B79" s="55">
        <f>IF(_calc!$E$81="","",IF(ISNUMBER(INDEX('Inspections'!$H$4:$H$503,_calc!$E$81)),TEXT(INDEX('Inspections'!$H$4:$H$503,_calc!$E$81),"yyyy-mm-dd"),""))</f>
        <v/>
      </c>
      <c r="C79" s="55">
        <f>IF(_calc!$E$81="","","Inspection")</f>
        <v/>
      </c>
      <c r="D79" s="55">
        <f>IF(_calc!$E$81="","",IF(ISNUMBER(INDEX('Inspections'!$G$4:$G$503,_calc!$E$81)),TEXT(INDEX('Inspections'!$G$4:$G$503,_calc!$E$81),"yyyy-mm-dd"),""))</f>
        <v/>
      </c>
      <c r="F79" s="55">
        <f>IF(_calc!$E$81="","",TRIM(IF(LEN(IF(LEN(INDEX('Inspections'!$B$4:$B$503,_calc!$E$81))=0,"",INDEX('Inspections'!$B$4:$B$503,_calc!$E$81)))=0,"","System: "&amp;IF(LEN(INDEX('Inspections'!$B$4:$B$503,_calc!$E$81))=0,"",INDEX('Inspections'!$B$4:$B$503,_calc!$E$81))&amp;". ")&amp;IF(LEN(IF(LEN(INDEX('Inspections'!$D$4:$D$503,_calc!$E$81))=0,"",INDEX('Inspections'!$D$4:$D$503,_calc!$E$81)))=0,"","Every: "&amp;IF(LEN(INDEX('Inspections'!$D$4:$D$503,_calc!$E$81))=0,"",INDEX('Inspections'!$D$4:$D$503,_calc!$E$81))&amp;". ")&amp;IF(LEN(IF(LEN(INDEX('Inspections'!$E$4:$E$503,_calc!$E$81))=0,"",INDEX('Inspections'!$E$4:$E$503,_calc!$E$81)))=0,"","Unit: "&amp;IF(LEN(INDEX('Inspections'!$E$4:$E$503,_calc!$E$81))=0,"",INDEX('Inspections'!$E$4:$E$503,_calc!$E$81))&amp;". ")&amp;IF(LEN(IF(LEN(INDEX('Inspections'!$F$4:$F$503,_calc!$E$81))=0,"",INDEX('Inspections'!$F$4:$F$503,_calc!$E$81)))=0,"","Done by: "&amp;IF(LEN(INDEX('Inspections'!$F$4:$F$503,_calc!$E$81))=0,"",INDEX('Inspections'!$F$4:$F$503,_calc!$E$81))&amp;". ")&amp;IF(LEN(IF(LEN(INDEX('Inspections'!$M$4:$M$503,_calc!$E$81))=0,"",INDEX('Inspections'!$M$4:$M$503,_calc!$E$81)))=0,"","Source: "&amp;IF(LEN(INDEX('Inspections'!$M$4:$M$503,_calc!$E$81))=0,"",INDEX('Inspections'!$M$4:$M$503,_calc!$E$81))&amp;". ")&amp;IF(LEN(IF(LEN(INDEX('Inspections'!$N$4:$N$503,_calc!$E$81))=0,"",INDEX('Inspections'!$N$4:$N$503,_calc!$E$81)))=0,"","Owner: "&amp;IF(LEN(INDEX('Inspections'!$N$4:$N$503,_calc!$E$81))=0,"",INDEX('Inspections'!$N$4:$N$503,_calc!$E$81))&amp;". ")&amp;IF(LEN(IF(LEN(INDEX('Inspections'!$O$4:$O$503,_calc!$E$81))=0,"",INDEX('Inspections'!$O$4:$O$503,_calc!$E$81)))=0,"","Backup: "&amp;IF(LEN(INDEX('Inspections'!$O$4:$O$503,_calc!$E$81))=0,"",INDEX('Inspections'!$O$4:$O$503,_calc!$E$81))&amp;". ")&amp;IF(LEN(IF(LEN(INDEX('Inspections'!$R$4:$R$503,_calc!$E$81))=0,"",INDEX('Inspections'!$R$4:$R$503,_calc!$E$81)))=0,"",IF(LEN(INDEX('Inspections'!$R$4:$R$503,_calc!$E$81))=0,"",INDEX('Inspections'!$R$4:$R$503,_calc!$E$81)))))</f>
        <v/>
      </c>
      <c r="G79" s="55">
        <f>IF(_calc!$E$81="","",IF(LEN(INDEX('Inspections'!$Q$4:$Q$503,_calc!$E$81))=0,"",INDEX('Inspections'!$Q$4:$Q$503,_calc!$E$81)))</f>
        <v/>
      </c>
      <c r="K79" s="55">
        <f>IF(_calc!$E$81="","",IF(LEN(INDEX('Inspections'!$P$4:$P$503,_calc!$E$81))=0,"",INDEX('Inspections'!$P$4:$P$503,_calc!$E$81)))</f>
        <v/>
      </c>
    </row>
    <row r="80">
      <c r="A80" s="55">
        <f>IF(_calc!$E$82="","",IF(LEN(INDEX('Inspections'!$C$4:$C$503,_calc!$E$82))=0,"",INDEX('Inspections'!$C$4:$C$503,_calc!$E$82))&amp;" – "&amp;IF(LEN(INDEX('Inspections'!$A$4:$A$503,_calc!$E$82))=0,"",INDEX('Inspections'!$A$4:$A$503,_calc!$E$82)))</f>
        <v/>
      </c>
      <c r="B80" s="55">
        <f>IF(_calc!$E$82="","",IF(ISNUMBER(INDEX('Inspections'!$H$4:$H$503,_calc!$E$82)),TEXT(INDEX('Inspections'!$H$4:$H$503,_calc!$E$82),"yyyy-mm-dd"),""))</f>
        <v/>
      </c>
      <c r="C80" s="55">
        <f>IF(_calc!$E$82="","","Inspection")</f>
        <v/>
      </c>
      <c r="D80" s="55">
        <f>IF(_calc!$E$82="","",IF(ISNUMBER(INDEX('Inspections'!$G$4:$G$503,_calc!$E$82)),TEXT(INDEX('Inspections'!$G$4:$G$503,_calc!$E$82),"yyyy-mm-dd"),""))</f>
        <v/>
      </c>
      <c r="F80" s="55">
        <f>IF(_calc!$E$82="","",TRIM(IF(LEN(IF(LEN(INDEX('Inspections'!$B$4:$B$503,_calc!$E$82))=0,"",INDEX('Inspections'!$B$4:$B$503,_calc!$E$82)))=0,"","System: "&amp;IF(LEN(INDEX('Inspections'!$B$4:$B$503,_calc!$E$82))=0,"",INDEX('Inspections'!$B$4:$B$503,_calc!$E$82))&amp;". ")&amp;IF(LEN(IF(LEN(INDEX('Inspections'!$D$4:$D$503,_calc!$E$82))=0,"",INDEX('Inspections'!$D$4:$D$503,_calc!$E$82)))=0,"","Every: "&amp;IF(LEN(INDEX('Inspections'!$D$4:$D$503,_calc!$E$82))=0,"",INDEX('Inspections'!$D$4:$D$503,_calc!$E$82))&amp;". ")&amp;IF(LEN(IF(LEN(INDEX('Inspections'!$E$4:$E$503,_calc!$E$82))=0,"",INDEX('Inspections'!$E$4:$E$503,_calc!$E$82)))=0,"","Unit: "&amp;IF(LEN(INDEX('Inspections'!$E$4:$E$503,_calc!$E$82))=0,"",INDEX('Inspections'!$E$4:$E$503,_calc!$E$82))&amp;". ")&amp;IF(LEN(IF(LEN(INDEX('Inspections'!$F$4:$F$503,_calc!$E$82))=0,"",INDEX('Inspections'!$F$4:$F$503,_calc!$E$82)))=0,"","Done by: "&amp;IF(LEN(INDEX('Inspections'!$F$4:$F$503,_calc!$E$82))=0,"",INDEX('Inspections'!$F$4:$F$503,_calc!$E$82))&amp;". ")&amp;IF(LEN(IF(LEN(INDEX('Inspections'!$M$4:$M$503,_calc!$E$82))=0,"",INDEX('Inspections'!$M$4:$M$503,_calc!$E$82)))=0,"","Source: "&amp;IF(LEN(INDEX('Inspections'!$M$4:$M$503,_calc!$E$82))=0,"",INDEX('Inspections'!$M$4:$M$503,_calc!$E$82))&amp;". ")&amp;IF(LEN(IF(LEN(INDEX('Inspections'!$N$4:$N$503,_calc!$E$82))=0,"",INDEX('Inspections'!$N$4:$N$503,_calc!$E$82)))=0,"","Owner: "&amp;IF(LEN(INDEX('Inspections'!$N$4:$N$503,_calc!$E$82))=0,"",INDEX('Inspections'!$N$4:$N$503,_calc!$E$82))&amp;". ")&amp;IF(LEN(IF(LEN(INDEX('Inspections'!$O$4:$O$503,_calc!$E$82))=0,"",INDEX('Inspections'!$O$4:$O$503,_calc!$E$82)))=0,"","Backup: "&amp;IF(LEN(INDEX('Inspections'!$O$4:$O$503,_calc!$E$82))=0,"",INDEX('Inspections'!$O$4:$O$503,_calc!$E$82))&amp;". ")&amp;IF(LEN(IF(LEN(INDEX('Inspections'!$R$4:$R$503,_calc!$E$82))=0,"",INDEX('Inspections'!$R$4:$R$503,_calc!$E$82)))=0,"",IF(LEN(INDEX('Inspections'!$R$4:$R$503,_calc!$E$82))=0,"",INDEX('Inspections'!$R$4:$R$503,_calc!$E$82)))))</f>
        <v/>
      </c>
      <c r="G80" s="55">
        <f>IF(_calc!$E$82="","",IF(LEN(INDEX('Inspections'!$Q$4:$Q$503,_calc!$E$82))=0,"",INDEX('Inspections'!$Q$4:$Q$503,_calc!$E$82)))</f>
        <v/>
      </c>
      <c r="K80" s="55">
        <f>IF(_calc!$E$82="","",IF(LEN(INDEX('Inspections'!$P$4:$P$503,_calc!$E$82))=0,"",INDEX('Inspections'!$P$4:$P$503,_calc!$E$82)))</f>
        <v/>
      </c>
    </row>
    <row r="81">
      <c r="A81" s="55">
        <f>IF(_calc!$E$83="","",IF(LEN(INDEX('Inspections'!$C$4:$C$503,_calc!$E$83))=0,"",INDEX('Inspections'!$C$4:$C$503,_calc!$E$83))&amp;" – "&amp;IF(LEN(INDEX('Inspections'!$A$4:$A$503,_calc!$E$83))=0,"",INDEX('Inspections'!$A$4:$A$503,_calc!$E$83)))</f>
        <v/>
      </c>
      <c r="B81" s="55">
        <f>IF(_calc!$E$83="","",IF(ISNUMBER(INDEX('Inspections'!$H$4:$H$503,_calc!$E$83)),TEXT(INDEX('Inspections'!$H$4:$H$503,_calc!$E$83),"yyyy-mm-dd"),""))</f>
        <v/>
      </c>
      <c r="C81" s="55">
        <f>IF(_calc!$E$83="","","Inspection")</f>
        <v/>
      </c>
      <c r="D81" s="55">
        <f>IF(_calc!$E$83="","",IF(ISNUMBER(INDEX('Inspections'!$G$4:$G$503,_calc!$E$83)),TEXT(INDEX('Inspections'!$G$4:$G$503,_calc!$E$83),"yyyy-mm-dd"),""))</f>
        <v/>
      </c>
      <c r="F81" s="55">
        <f>IF(_calc!$E$83="","",TRIM(IF(LEN(IF(LEN(INDEX('Inspections'!$B$4:$B$503,_calc!$E$83))=0,"",INDEX('Inspections'!$B$4:$B$503,_calc!$E$83)))=0,"","System: "&amp;IF(LEN(INDEX('Inspections'!$B$4:$B$503,_calc!$E$83))=0,"",INDEX('Inspections'!$B$4:$B$503,_calc!$E$83))&amp;". ")&amp;IF(LEN(IF(LEN(INDEX('Inspections'!$D$4:$D$503,_calc!$E$83))=0,"",INDEX('Inspections'!$D$4:$D$503,_calc!$E$83)))=0,"","Every: "&amp;IF(LEN(INDEX('Inspections'!$D$4:$D$503,_calc!$E$83))=0,"",INDEX('Inspections'!$D$4:$D$503,_calc!$E$83))&amp;". ")&amp;IF(LEN(IF(LEN(INDEX('Inspections'!$E$4:$E$503,_calc!$E$83))=0,"",INDEX('Inspections'!$E$4:$E$503,_calc!$E$83)))=0,"","Unit: "&amp;IF(LEN(INDEX('Inspections'!$E$4:$E$503,_calc!$E$83))=0,"",INDEX('Inspections'!$E$4:$E$503,_calc!$E$83))&amp;". ")&amp;IF(LEN(IF(LEN(INDEX('Inspections'!$F$4:$F$503,_calc!$E$83))=0,"",INDEX('Inspections'!$F$4:$F$503,_calc!$E$83)))=0,"","Done by: "&amp;IF(LEN(INDEX('Inspections'!$F$4:$F$503,_calc!$E$83))=0,"",INDEX('Inspections'!$F$4:$F$503,_calc!$E$83))&amp;". ")&amp;IF(LEN(IF(LEN(INDEX('Inspections'!$M$4:$M$503,_calc!$E$83))=0,"",INDEX('Inspections'!$M$4:$M$503,_calc!$E$83)))=0,"","Source: "&amp;IF(LEN(INDEX('Inspections'!$M$4:$M$503,_calc!$E$83))=0,"",INDEX('Inspections'!$M$4:$M$503,_calc!$E$83))&amp;". ")&amp;IF(LEN(IF(LEN(INDEX('Inspections'!$N$4:$N$503,_calc!$E$83))=0,"",INDEX('Inspections'!$N$4:$N$503,_calc!$E$83)))=0,"","Owner: "&amp;IF(LEN(INDEX('Inspections'!$N$4:$N$503,_calc!$E$83))=0,"",INDEX('Inspections'!$N$4:$N$503,_calc!$E$83))&amp;". ")&amp;IF(LEN(IF(LEN(INDEX('Inspections'!$O$4:$O$503,_calc!$E$83))=0,"",INDEX('Inspections'!$O$4:$O$503,_calc!$E$83)))=0,"","Backup: "&amp;IF(LEN(INDEX('Inspections'!$O$4:$O$503,_calc!$E$83))=0,"",INDEX('Inspections'!$O$4:$O$503,_calc!$E$83))&amp;". ")&amp;IF(LEN(IF(LEN(INDEX('Inspections'!$R$4:$R$503,_calc!$E$83))=0,"",INDEX('Inspections'!$R$4:$R$503,_calc!$E$83)))=0,"",IF(LEN(INDEX('Inspections'!$R$4:$R$503,_calc!$E$83))=0,"",INDEX('Inspections'!$R$4:$R$503,_calc!$E$83)))))</f>
        <v/>
      </c>
      <c r="G81" s="55">
        <f>IF(_calc!$E$83="","",IF(LEN(INDEX('Inspections'!$Q$4:$Q$503,_calc!$E$83))=0,"",INDEX('Inspections'!$Q$4:$Q$503,_calc!$E$83)))</f>
        <v/>
      </c>
      <c r="K81" s="55">
        <f>IF(_calc!$E$83="","",IF(LEN(INDEX('Inspections'!$P$4:$P$503,_calc!$E$83))=0,"",INDEX('Inspections'!$P$4:$P$503,_calc!$E$83)))</f>
        <v/>
      </c>
    </row>
    <row r="82">
      <c r="A82" s="55">
        <f>IF(_calc!$E$84="","",IF(LEN(INDEX('Inspections'!$C$4:$C$503,_calc!$E$84))=0,"",INDEX('Inspections'!$C$4:$C$503,_calc!$E$84))&amp;" – "&amp;IF(LEN(INDEX('Inspections'!$A$4:$A$503,_calc!$E$84))=0,"",INDEX('Inspections'!$A$4:$A$503,_calc!$E$84)))</f>
        <v/>
      </c>
      <c r="B82" s="55">
        <f>IF(_calc!$E$84="","",IF(ISNUMBER(INDEX('Inspections'!$H$4:$H$503,_calc!$E$84)),TEXT(INDEX('Inspections'!$H$4:$H$503,_calc!$E$84),"yyyy-mm-dd"),""))</f>
        <v/>
      </c>
      <c r="C82" s="55">
        <f>IF(_calc!$E$84="","","Inspection")</f>
        <v/>
      </c>
      <c r="D82" s="55">
        <f>IF(_calc!$E$84="","",IF(ISNUMBER(INDEX('Inspections'!$G$4:$G$503,_calc!$E$84)),TEXT(INDEX('Inspections'!$G$4:$G$503,_calc!$E$84),"yyyy-mm-dd"),""))</f>
        <v/>
      </c>
      <c r="F82" s="55">
        <f>IF(_calc!$E$84="","",TRIM(IF(LEN(IF(LEN(INDEX('Inspections'!$B$4:$B$503,_calc!$E$84))=0,"",INDEX('Inspections'!$B$4:$B$503,_calc!$E$84)))=0,"","System: "&amp;IF(LEN(INDEX('Inspections'!$B$4:$B$503,_calc!$E$84))=0,"",INDEX('Inspections'!$B$4:$B$503,_calc!$E$84))&amp;". ")&amp;IF(LEN(IF(LEN(INDEX('Inspections'!$D$4:$D$503,_calc!$E$84))=0,"",INDEX('Inspections'!$D$4:$D$503,_calc!$E$84)))=0,"","Every: "&amp;IF(LEN(INDEX('Inspections'!$D$4:$D$503,_calc!$E$84))=0,"",INDEX('Inspections'!$D$4:$D$503,_calc!$E$84))&amp;". ")&amp;IF(LEN(IF(LEN(INDEX('Inspections'!$E$4:$E$503,_calc!$E$84))=0,"",INDEX('Inspections'!$E$4:$E$503,_calc!$E$84)))=0,"","Unit: "&amp;IF(LEN(INDEX('Inspections'!$E$4:$E$503,_calc!$E$84))=0,"",INDEX('Inspections'!$E$4:$E$503,_calc!$E$84))&amp;". ")&amp;IF(LEN(IF(LEN(INDEX('Inspections'!$F$4:$F$503,_calc!$E$84))=0,"",INDEX('Inspections'!$F$4:$F$503,_calc!$E$84)))=0,"","Done by: "&amp;IF(LEN(INDEX('Inspections'!$F$4:$F$503,_calc!$E$84))=0,"",INDEX('Inspections'!$F$4:$F$503,_calc!$E$84))&amp;". ")&amp;IF(LEN(IF(LEN(INDEX('Inspections'!$M$4:$M$503,_calc!$E$84))=0,"",INDEX('Inspections'!$M$4:$M$503,_calc!$E$84)))=0,"","Source: "&amp;IF(LEN(INDEX('Inspections'!$M$4:$M$503,_calc!$E$84))=0,"",INDEX('Inspections'!$M$4:$M$503,_calc!$E$84))&amp;". ")&amp;IF(LEN(IF(LEN(INDEX('Inspections'!$N$4:$N$503,_calc!$E$84))=0,"",INDEX('Inspections'!$N$4:$N$503,_calc!$E$84)))=0,"","Owner: "&amp;IF(LEN(INDEX('Inspections'!$N$4:$N$503,_calc!$E$84))=0,"",INDEX('Inspections'!$N$4:$N$503,_calc!$E$84))&amp;". ")&amp;IF(LEN(IF(LEN(INDEX('Inspections'!$O$4:$O$503,_calc!$E$84))=0,"",INDEX('Inspections'!$O$4:$O$503,_calc!$E$84)))=0,"","Backup: "&amp;IF(LEN(INDEX('Inspections'!$O$4:$O$503,_calc!$E$84))=0,"",INDEX('Inspections'!$O$4:$O$503,_calc!$E$84))&amp;". ")&amp;IF(LEN(IF(LEN(INDEX('Inspections'!$R$4:$R$503,_calc!$E$84))=0,"",INDEX('Inspections'!$R$4:$R$503,_calc!$E$84)))=0,"",IF(LEN(INDEX('Inspections'!$R$4:$R$503,_calc!$E$84))=0,"",INDEX('Inspections'!$R$4:$R$503,_calc!$E$84)))))</f>
        <v/>
      </c>
      <c r="G82" s="55">
        <f>IF(_calc!$E$84="","",IF(LEN(INDEX('Inspections'!$Q$4:$Q$503,_calc!$E$84))=0,"",INDEX('Inspections'!$Q$4:$Q$503,_calc!$E$84)))</f>
        <v/>
      </c>
      <c r="K82" s="55">
        <f>IF(_calc!$E$84="","",IF(LEN(INDEX('Inspections'!$P$4:$P$503,_calc!$E$84))=0,"",INDEX('Inspections'!$P$4:$P$503,_calc!$E$84)))</f>
        <v/>
      </c>
    </row>
    <row r="83">
      <c r="A83" s="55">
        <f>IF(_calc!$E$85="","",IF(LEN(INDEX('Inspections'!$C$4:$C$503,_calc!$E$85))=0,"",INDEX('Inspections'!$C$4:$C$503,_calc!$E$85))&amp;" – "&amp;IF(LEN(INDEX('Inspections'!$A$4:$A$503,_calc!$E$85))=0,"",INDEX('Inspections'!$A$4:$A$503,_calc!$E$85)))</f>
        <v/>
      </c>
      <c r="B83" s="55">
        <f>IF(_calc!$E$85="","",IF(ISNUMBER(INDEX('Inspections'!$H$4:$H$503,_calc!$E$85)),TEXT(INDEX('Inspections'!$H$4:$H$503,_calc!$E$85),"yyyy-mm-dd"),""))</f>
        <v/>
      </c>
      <c r="C83" s="55">
        <f>IF(_calc!$E$85="","","Inspection")</f>
        <v/>
      </c>
      <c r="D83" s="55">
        <f>IF(_calc!$E$85="","",IF(ISNUMBER(INDEX('Inspections'!$G$4:$G$503,_calc!$E$85)),TEXT(INDEX('Inspections'!$G$4:$G$503,_calc!$E$85),"yyyy-mm-dd"),""))</f>
        <v/>
      </c>
      <c r="F83" s="55">
        <f>IF(_calc!$E$85="","",TRIM(IF(LEN(IF(LEN(INDEX('Inspections'!$B$4:$B$503,_calc!$E$85))=0,"",INDEX('Inspections'!$B$4:$B$503,_calc!$E$85)))=0,"","System: "&amp;IF(LEN(INDEX('Inspections'!$B$4:$B$503,_calc!$E$85))=0,"",INDEX('Inspections'!$B$4:$B$503,_calc!$E$85))&amp;". ")&amp;IF(LEN(IF(LEN(INDEX('Inspections'!$D$4:$D$503,_calc!$E$85))=0,"",INDEX('Inspections'!$D$4:$D$503,_calc!$E$85)))=0,"","Every: "&amp;IF(LEN(INDEX('Inspections'!$D$4:$D$503,_calc!$E$85))=0,"",INDEX('Inspections'!$D$4:$D$503,_calc!$E$85))&amp;". ")&amp;IF(LEN(IF(LEN(INDEX('Inspections'!$E$4:$E$503,_calc!$E$85))=0,"",INDEX('Inspections'!$E$4:$E$503,_calc!$E$85)))=0,"","Unit: "&amp;IF(LEN(INDEX('Inspections'!$E$4:$E$503,_calc!$E$85))=0,"",INDEX('Inspections'!$E$4:$E$503,_calc!$E$85))&amp;". ")&amp;IF(LEN(IF(LEN(INDEX('Inspections'!$F$4:$F$503,_calc!$E$85))=0,"",INDEX('Inspections'!$F$4:$F$503,_calc!$E$85)))=0,"","Done by: "&amp;IF(LEN(INDEX('Inspections'!$F$4:$F$503,_calc!$E$85))=0,"",INDEX('Inspections'!$F$4:$F$503,_calc!$E$85))&amp;". ")&amp;IF(LEN(IF(LEN(INDEX('Inspections'!$M$4:$M$503,_calc!$E$85))=0,"",INDEX('Inspections'!$M$4:$M$503,_calc!$E$85)))=0,"","Source: "&amp;IF(LEN(INDEX('Inspections'!$M$4:$M$503,_calc!$E$85))=0,"",INDEX('Inspections'!$M$4:$M$503,_calc!$E$85))&amp;". ")&amp;IF(LEN(IF(LEN(INDEX('Inspections'!$N$4:$N$503,_calc!$E$85))=0,"",INDEX('Inspections'!$N$4:$N$503,_calc!$E$85)))=0,"","Owner: "&amp;IF(LEN(INDEX('Inspections'!$N$4:$N$503,_calc!$E$85))=0,"",INDEX('Inspections'!$N$4:$N$503,_calc!$E$85))&amp;". ")&amp;IF(LEN(IF(LEN(INDEX('Inspections'!$O$4:$O$503,_calc!$E$85))=0,"",INDEX('Inspections'!$O$4:$O$503,_calc!$E$85)))=0,"","Backup: "&amp;IF(LEN(INDEX('Inspections'!$O$4:$O$503,_calc!$E$85))=0,"",INDEX('Inspections'!$O$4:$O$503,_calc!$E$85))&amp;". ")&amp;IF(LEN(IF(LEN(INDEX('Inspections'!$R$4:$R$503,_calc!$E$85))=0,"",INDEX('Inspections'!$R$4:$R$503,_calc!$E$85)))=0,"",IF(LEN(INDEX('Inspections'!$R$4:$R$503,_calc!$E$85))=0,"",INDEX('Inspections'!$R$4:$R$503,_calc!$E$85)))))</f>
        <v/>
      </c>
      <c r="G83" s="55">
        <f>IF(_calc!$E$85="","",IF(LEN(INDEX('Inspections'!$Q$4:$Q$503,_calc!$E$85))=0,"",INDEX('Inspections'!$Q$4:$Q$503,_calc!$E$85)))</f>
        <v/>
      </c>
      <c r="K83" s="55">
        <f>IF(_calc!$E$85="","",IF(LEN(INDEX('Inspections'!$P$4:$P$503,_calc!$E$85))=0,"",INDEX('Inspections'!$P$4:$P$503,_calc!$E$85)))</f>
        <v/>
      </c>
    </row>
    <row r="84">
      <c r="A84" s="55">
        <f>IF(_calc!$E$86="","",IF(LEN(INDEX('Inspections'!$C$4:$C$503,_calc!$E$86))=0,"",INDEX('Inspections'!$C$4:$C$503,_calc!$E$86))&amp;" – "&amp;IF(LEN(INDEX('Inspections'!$A$4:$A$503,_calc!$E$86))=0,"",INDEX('Inspections'!$A$4:$A$503,_calc!$E$86)))</f>
        <v/>
      </c>
      <c r="B84" s="55">
        <f>IF(_calc!$E$86="","",IF(ISNUMBER(INDEX('Inspections'!$H$4:$H$503,_calc!$E$86)),TEXT(INDEX('Inspections'!$H$4:$H$503,_calc!$E$86),"yyyy-mm-dd"),""))</f>
        <v/>
      </c>
      <c r="C84" s="55">
        <f>IF(_calc!$E$86="","","Inspection")</f>
        <v/>
      </c>
      <c r="D84" s="55">
        <f>IF(_calc!$E$86="","",IF(ISNUMBER(INDEX('Inspections'!$G$4:$G$503,_calc!$E$86)),TEXT(INDEX('Inspections'!$G$4:$G$503,_calc!$E$86),"yyyy-mm-dd"),""))</f>
        <v/>
      </c>
      <c r="F84" s="55">
        <f>IF(_calc!$E$86="","",TRIM(IF(LEN(IF(LEN(INDEX('Inspections'!$B$4:$B$503,_calc!$E$86))=0,"",INDEX('Inspections'!$B$4:$B$503,_calc!$E$86)))=0,"","System: "&amp;IF(LEN(INDEX('Inspections'!$B$4:$B$503,_calc!$E$86))=0,"",INDEX('Inspections'!$B$4:$B$503,_calc!$E$86))&amp;". ")&amp;IF(LEN(IF(LEN(INDEX('Inspections'!$D$4:$D$503,_calc!$E$86))=0,"",INDEX('Inspections'!$D$4:$D$503,_calc!$E$86)))=0,"","Every: "&amp;IF(LEN(INDEX('Inspections'!$D$4:$D$503,_calc!$E$86))=0,"",INDEX('Inspections'!$D$4:$D$503,_calc!$E$86))&amp;". ")&amp;IF(LEN(IF(LEN(INDEX('Inspections'!$E$4:$E$503,_calc!$E$86))=0,"",INDEX('Inspections'!$E$4:$E$503,_calc!$E$86)))=0,"","Unit: "&amp;IF(LEN(INDEX('Inspections'!$E$4:$E$503,_calc!$E$86))=0,"",INDEX('Inspections'!$E$4:$E$503,_calc!$E$86))&amp;". ")&amp;IF(LEN(IF(LEN(INDEX('Inspections'!$F$4:$F$503,_calc!$E$86))=0,"",INDEX('Inspections'!$F$4:$F$503,_calc!$E$86)))=0,"","Done by: "&amp;IF(LEN(INDEX('Inspections'!$F$4:$F$503,_calc!$E$86))=0,"",INDEX('Inspections'!$F$4:$F$503,_calc!$E$86))&amp;". ")&amp;IF(LEN(IF(LEN(INDEX('Inspections'!$M$4:$M$503,_calc!$E$86))=0,"",INDEX('Inspections'!$M$4:$M$503,_calc!$E$86)))=0,"","Source: "&amp;IF(LEN(INDEX('Inspections'!$M$4:$M$503,_calc!$E$86))=0,"",INDEX('Inspections'!$M$4:$M$503,_calc!$E$86))&amp;". ")&amp;IF(LEN(IF(LEN(INDEX('Inspections'!$N$4:$N$503,_calc!$E$86))=0,"",INDEX('Inspections'!$N$4:$N$503,_calc!$E$86)))=0,"","Owner: "&amp;IF(LEN(INDEX('Inspections'!$N$4:$N$503,_calc!$E$86))=0,"",INDEX('Inspections'!$N$4:$N$503,_calc!$E$86))&amp;". ")&amp;IF(LEN(IF(LEN(INDEX('Inspections'!$O$4:$O$503,_calc!$E$86))=0,"",INDEX('Inspections'!$O$4:$O$503,_calc!$E$86)))=0,"","Backup: "&amp;IF(LEN(INDEX('Inspections'!$O$4:$O$503,_calc!$E$86))=0,"",INDEX('Inspections'!$O$4:$O$503,_calc!$E$86))&amp;". ")&amp;IF(LEN(IF(LEN(INDEX('Inspections'!$R$4:$R$503,_calc!$E$86))=0,"",INDEX('Inspections'!$R$4:$R$503,_calc!$E$86)))=0,"",IF(LEN(INDEX('Inspections'!$R$4:$R$503,_calc!$E$86))=0,"",INDEX('Inspections'!$R$4:$R$503,_calc!$E$86)))))</f>
        <v/>
      </c>
      <c r="G84" s="55">
        <f>IF(_calc!$E$86="","",IF(LEN(INDEX('Inspections'!$Q$4:$Q$503,_calc!$E$86))=0,"",INDEX('Inspections'!$Q$4:$Q$503,_calc!$E$86)))</f>
        <v/>
      </c>
      <c r="K84" s="55">
        <f>IF(_calc!$E$86="","",IF(LEN(INDEX('Inspections'!$P$4:$P$503,_calc!$E$86))=0,"",INDEX('Inspections'!$P$4:$P$503,_calc!$E$86)))</f>
        <v/>
      </c>
    </row>
    <row r="85">
      <c r="A85" s="55">
        <f>IF(_calc!$E$87="","",IF(LEN(INDEX('Inspections'!$C$4:$C$503,_calc!$E$87))=0,"",INDEX('Inspections'!$C$4:$C$503,_calc!$E$87))&amp;" – "&amp;IF(LEN(INDEX('Inspections'!$A$4:$A$503,_calc!$E$87))=0,"",INDEX('Inspections'!$A$4:$A$503,_calc!$E$87)))</f>
        <v/>
      </c>
      <c r="B85" s="55">
        <f>IF(_calc!$E$87="","",IF(ISNUMBER(INDEX('Inspections'!$H$4:$H$503,_calc!$E$87)),TEXT(INDEX('Inspections'!$H$4:$H$503,_calc!$E$87),"yyyy-mm-dd"),""))</f>
        <v/>
      </c>
      <c r="C85" s="55">
        <f>IF(_calc!$E$87="","","Inspection")</f>
        <v/>
      </c>
      <c r="D85" s="55">
        <f>IF(_calc!$E$87="","",IF(ISNUMBER(INDEX('Inspections'!$G$4:$G$503,_calc!$E$87)),TEXT(INDEX('Inspections'!$G$4:$G$503,_calc!$E$87),"yyyy-mm-dd"),""))</f>
        <v/>
      </c>
      <c r="F85" s="55">
        <f>IF(_calc!$E$87="","",TRIM(IF(LEN(IF(LEN(INDEX('Inspections'!$B$4:$B$503,_calc!$E$87))=0,"",INDEX('Inspections'!$B$4:$B$503,_calc!$E$87)))=0,"","System: "&amp;IF(LEN(INDEX('Inspections'!$B$4:$B$503,_calc!$E$87))=0,"",INDEX('Inspections'!$B$4:$B$503,_calc!$E$87))&amp;". ")&amp;IF(LEN(IF(LEN(INDEX('Inspections'!$D$4:$D$503,_calc!$E$87))=0,"",INDEX('Inspections'!$D$4:$D$503,_calc!$E$87)))=0,"","Every: "&amp;IF(LEN(INDEX('Inspections'!$D$4:$D$503,_calc!$E$87))=0,"",INDEX('Inspections'!$D$4:$D$503,_calc!$E$87))&amp;". ")&amp;IF(LEN(IF(LEN(INDEX('Inspections'!$E$4:$E$503,_calc!$E$87))=0,"",INDEX('Inspections'!$E$4:$E$503,_calc!$E$87)))=0,"","Unit: "&amp;IF(LEN(INDEX('Inspections'!$E$4:$E$503,_calc!$E$87))=0,"",INDEX('Inspections'!$E$4:$E$503,_calc!$E$87))&amp;". ")&amp;IF(LEN(IF(LEN(INDEX('Inspections'!$F$4:$F$503,_calc!$E$87))=0,"",INDEX('Inspections'!$F$4:$F$503,_calc!$E$87)))=0,"","Done by: "&amp;IF(LEN(INDEX('Inspections'!$F$4:$F$503,_calc!$E$87))=0,"",INDEX('Inspections'!$F$4:$F$503,_calc!$E$87))&amp;". ")&amp;IF(LEN(IF(LEN(INDEX('Inspections'!$M$4:$M$503,_calc!$E$87))=0,"",INDEX('Inspections'!$M$4:$M$503,_calc!$E$87)))=0,"","Source: "&amp;IF(LEN(INDEX('Inspections'!$M$4:$M$503,_calc!$E$87))=0,"",INDEX('Inspections'!$M$4:$M$503,_calc!$E$87))&amp;". ")&amp;IF(LEN(IF(LEN(INDEX('Inspections'!$N$4:$N$503,_calc!$E$87))=0,"",INDEX('Inspections'!$N$4:$N$503,_calc!$E$87)))=0,"","Owner: "&amp;IF(LEN(INDEX('Inspections'!$N$4:$N$503,_calc!$E$87))=0,"",INDEX('Inspections'!$N$4:$N$503,_calc!$E$87))&amp;". ")&amp;IF(LEN(IF(LEN(INDEX('Inspections'!$O$4:$O$503,_calc!$E$87))=0,"",INDEX('Inspections'!$O$4:$O$503,_calc!$E$87)))=0,"","Backup: "&amp;IF(LEN(INDEX('Inspections'!$O$4:$O$503,_calc!$E$87))=0,"",INDEX('Inspections'!$O$4:$O$503,_calc!$E$87))&amp;". ")&amp;IF(LEN(IF(LEN(INDEX('Inspections'!$R$4:$R$503,_calc!$E$87))=0,"",INDEX('Inspections'!$R$4:$R$503,_calc!$E$87)))=0,"",IF(LEN(INDEX('Inspections'!$R$4:$R$503,_calc!$E$87))=0,"",INDEX('Inspections'!$R$4:$R$503,_calc!$E$87)))))</f>
        <v/>
      </c>
      <c r="G85" s="55">
        <f>IF(_calc!$E$87="","",IF(LEN(INDEX('Inspections'!$Q$4:$Q$503,_calc!$E$87))=0,"",INDEX('Inspections'!$Q$4:$Q$503,_calc!$E$87)))</f>
        <v/>
      </c>
      <c r="K85" s="55">
        <f>IF(_calc!$E$87="","",IF(LEN(INDEX('Inspections'!$P$4:$P$503,_calc!$E$87))=0,"",INDEX('Inspections'!$P$4:$P$503,_calc!$E$87)))</f>
        <v/>
      </c>
    </row>
    <row r="86">
      <c r="A86" s="55">
        <f>IF(_calc!$E$88="","",IF(LEN(INDEX('Inspections'!$C$4:$C$503,_calc!$E$88))=0,"",INDEX('Inspections'!$C$4:$C$503,_calc!$E$88))&amp;" – "&amp;IF(LEN(INDEX('Inspections'!$A$4:$A$503,_calc!$E$88))=0,"",INDEX('Inspections'!$A$4:$A$503,_calc!$E$88)))</f>
        <v/>
      </c>
      <c r="B86" s="55">
        <f>IF(_calc!$E$88="","",IF(ISNUMBER(INDEX('Inspections'!$H$4:$H$503,_calc!$E$88)),TEXT(INDEX('Inspections'!$H$4:$H$503,_calc!$E$88),"yyyy-mm-dd"),""))</f>
        <v/>
      </c>
      <c r="C86" s="55">
        <f>IF(_calc!$E$88="","","Inspection")</f>
        <v/>
      </c>
      <c r="D86" s="55">
        <f>IF(_calc!$E$88="","",IF(ISNUMBER(INDEX('Inspections'!$G$4:$G$503,_calc!$E$88)),TEXT(INDEX('Inspections'!$G$4:$G$503,_calc!$E$88),"yyyy-mm-dd"),""))</f>
        <v/>
      </c>
      <c r="F86" s="55">
        <f>IF(_calc!$E$88="","",TRIM(IF(LEN(IF(LEN(INDEX('Inspections'!$B$4:$B$503,_calc!$E$88))=0,"",INDEX('Inspections'!$B$4:$B$503,_calc!$E$88)))=0,"","System: "&amp;IF(LEN(INDEX('Inspections'!$B$4:$B$503,_calc!$E$88))=0,"",INDEX('Inspections'!$B$4:$B$503,_calc!$E$88))&amp;". ")&amp;IF(LEN(IF(LEN(INDEX('Inspections'!$D$4:$D$503,_calc!$E$88))=0,"",INDEX('Inspections'!$D$4:$D$503,_calc!$E$88)))=0,"","Every: "&amp;IF(LEN(INDEX('Inspections'!$D$4:$D$503,_calc!$E$88))=0,"",INDEX('Inspections'!$D$4:$D$503,_calc!$E$88))&amp;". ")&amp;IF(LEN(IF(LEN(INDEX('Inspections'!$E$4:$E$503,_calc!$E$88))=0,"",INDEX('Inspections'!$E$4:$E$503,_calc!$E$88)))=0,"","Unit: "&amp;IF(LEN(INDEX('Inspections'!$E$4:$E$503,_calc!$E$88))=0,"",INDEX('Inspections'!$E$4:$E$503,_calc!$E$88))&amp;". ")&amp;IF(LEN(IF(LEN(INDEX('Inspections'!$F$4:$F$503,_calc!$E$88))=0,"",INDEX('Inspections'!$F$4:$F$503,_calc!$E$88)))=0,"","Done by: "&amp;IF(LEN(INDEX('Inspections'!$F$4:$F$503,_calc!$E$88))=0,"",INDEX('Inspections'!$F$4:$F$503,_calc!$E$88))&amp;". ")&amp;IF(LEN(IF(LEN(INDEX('Inspections'!$M$4:$M$503,_calc!$E$88))=0,"",INDEX('Inspections'!$M$4:$M$503,_calc!$E$88)))=0,"","Source: "&amp;IF(LEN(INDEX('Inspections'!$M$4:$M$503,_calc!$E$88))=0,"",INDEX('Inspections'!$M$4:$M$503,_calc!$E$88))&amp;". ")&amp;IF(LEN(IF(LEN(INDEX('Inspections'!$N$4:$N$503,_calc!$E$88))=0,"",INDEX('Inspections'!$N$4:$N$503,_calc!$E$88)))=0,"","Owner: "&amp;IF(LEN(INDEX('Inspections'!$N$4:$N$503,_calc!$E$88))=0,"",INDEX('Inspections'!$N$4:$N$503,_calc!$E$88))&amp;". ")&amp;IF(LEN(IF(LEN(INDEX('Inspections'!$O$4:$O$503,_calc!$E$88))=0,"",INDEX('Inspections'!$O$4:$O$503,_calc!$E$88)))=0,"","Backup: "&amp;IF(LEN(INDEX('Inspections'!$O$4:$O$503,_calc!$E$88))=0,"",INDEX('Inspections'!$O$4:$O$503,_calc!$E$88))&amp;". ")&amp;IF(LEN(IF(LEN(INDEX('Inspections'!$R$4:$R$503,_calc!$E$88))=0,"",INDEX('Inspections'!$R$4:$R$503,_calc!$E$88)))=0,"",IF(LEN(INDEX('Inspections'!$R$4:$R$503,_calc!$E$88))=0,"",INDEX('Inspections'!$R$4:$R$503,_calc!$E$88)))))</f>
        <v/>
      </c>
      <c r="G86" s="55">
        <f>IF(_calc!$E$88="","",IF(LEN(INDEX('Inspections'!$Q$4:$Q$503,_calc!$E$88))=0,"",INDEX('Inspections'!$Q$4:$Q$503,_calc!$E$88)))</f>
        <v/>
      </c>
      <c r="K86" s="55">
        <f>IF(_calc!$E$88="","",IF(LEN(INDEX('Inspections'!$P$4:$P$503,_calc!$E$88))=0,"",INDEX('Inspections'!$P$4:$P$503,_calc!$E$88)))</f>
        <v/>
      </c>
    </row>
    <row r="87">
      <c r="A87" s="55">
        <f>IF(_calc!$E$89="","",IF(LEN(INDEX('Inspections'!$C$4:$C$503,_calc!$E$89))=0,"",INDEX('Inspections'!$C$4:$C$503,_calc!$E$89))&amp;" – "&amp;IF(LEN(INDEX('Inspections'!$A$4:$A$503,_calc!$E$89))=0,"",INDEX('Inspections'!$A$4:$A$503,_calc!$E$89)))</f>
        <v/>
      </c>
      <c r="B87" s="55">
        <f>IF(_calc!$E$89="","",IF(ISNUMBER(INDEX('Inspections'!$H$4:$H$503,_calc!$E$89)),TEXT(INDEX('Inspections'!$H$4:$H$503,_calc!$E$89),"yyyy-mm-dd"),""))</f>
        <v/>
      </c>
      <c r="C87" s="55">
        <f>IF(_calc!$E$89="","","Inspection")</f>
        <v/>
      </c>
      <c r="D87" s="55">
        <f>IF(_calc!$E$89="","",IF(ISNUMBER(INDEX('Inspections'!$G$4:$G$503,_calc!$E$89)),TEXT(INDEX('Inspections'!$G$4:$G$503,_calc!$E$89),"yyyy-mm-dd"),""))</f>
        <v/>
      </c>
      <c r="F87" s="55">
        <f>IF(_calc!$E$89="","",TRIM(IF(LEN(IF(LEN(INDEX('Inspections'!$B$4:$B$503,_calc!$E$89))=0,"",INDEX('Inspections'!$B$4:$B$503,_calc!$E$89)))=0,"","System: "&amp;IF(LEN(INDEX('Inspections'!$B$4:$B$503,_calc!$E$89))=0,"",INDEX('Inspections'!$B$4:$B$503,_calc!$E$89))&amp;". ")&amp;IF(LEN(IF(LEN(INDEX('Inspections'!$D$4:$D$503,_calc!$E$89))=0,"",INDEX('Inspections'!$D$4:$D$503,_calc!$E$89)))=0,"","Every: "&amp;IF(LEN(INDEX('Inspections'!$D$4:$D$503,_calc!$E$89))=0,"",INDEX('Inspections'!$D$4:$D$503,_calc!$E$89))&amp;". ")&amp;IF(LEN(IF(LEN(INDEX('Inspections'!$E$4:$E$503,_calc!$E$89))=0,"",INDEX('Inspections'!$E$4:$E$503,_calc!$E$89)))=0,"","Unit: "&amp;IF(LEN(INDEX('Inspections'!$E$4:$E$503,_calc!$E$89))=0,"",INDEX('Inspections'!$E$4:$E$503,_calc!$E$89))&amp;". ")&amp;IF(LEN(IF(LEN(INDEX('Inspections'!$F$4:$F$503,_calc!$E$89))=0,"",INDEX('Inspections'!$F$4:$F$503,_calc!$E$89)))=0,"","Done by: "&amp;IF(LEN(INDEX('Inspections'!$F$4:$F$503,_calc!$E$89))=0,"",INDEX('Inspections'!$F$4:$F$503,_calc!$E$89))&amp;". ")&amp;IF(LEN(IF(LEN(INDEX('Inspections'!$M$4:$M$503,_calc!$E$89))=0,"",INDEX('Inspections'!$M$4:$M$503,_calc!$E$89)))=0,"","Source: "&amp;IF(LEN(INDEX('Inspections'!$M$4:$M$503,_calc!$E$89))=0,"",INDEX('Inspections'!$M$4:$M$503,_calc!$E$89))&amp;". ")&amp;IF(LEN(IF(LEN(INDEX('Inspections'!$N$4:$N$503,_calc!$E$89))=0,"",INDEX('Inspections'!$N$4:$N$503,_calc!$E$89)))=0,"","Owner: "&amp;IF(LEN(INDEX('Inspections'!$N$4:$N$503,_calc!$E$89))=0,"",INDEX('Inspections'!$N$4:$N$503,_calc!$E$89))&amp;". ")&amp;IF(LEN(IF(LEN(INDEX('Inspections'!$O$4:$O$503,_calc!$E$89))=0,"",INDEX('Inspections'!$O$4:$O$503,_calc!$E$89)))=0,"","Backup: "&amp;IF(LEN(INDEX('Inspections'!$O$4:$O$503,_calc!$E$89))=0,"",INDEX('Inspections'!$O$4:$O$503,_calc!$E$89))&amp;". ")&amp;IF(LEN(IF(LEN(INDEX('Inspections'!$R$4:$R$503,_calc!$E$89))=0,"",INDEX('Inspections'!$R$4:$R$503,_calc!$E$89)))=0,"",IF(LEN(INDEX('Inspections'!$R$4:$R$503,_calc!$E$89))=0,"",INDEX('Inspections'!$R$4:$R$503,_calc!$E$89)))))</f>
        <v/>
      </c>
      <c r="G87" s="55">
        <f>IF(_calc!$E$89="","",IF(LEN(INDEX('Inspections'!$Q$4:$Q$503,_calc!$E$89))=0,"",INDEX('Inspections'!$Q$4:$Q$503,_calc!$E$89)))</f>
        <v/>
      </c>
      <c r="K87" s="55">
        <f>IF(_calc!$E$89="","",IF(LEN(INDEX('Inspections'!$P$4:$P$503,_calc!$E$89))=0,"",INDEX('Inspections'!$P$4:$P$503,_calc!$E$89)))</f>
        <v/>
      </c>
    </row>
    <row r="88">
      <c r="A88" s="55">
        <f>IF(_calc!$E$90="","",IF(LEN(INDEX('Inspections'!$C$4:$C$503,_calc!$E$90))=0,"",INDEX('Inspections'!$C$4:$C$503,_calc!$E$90))&amp;" – "&amp;IF(LEN(INDEX('Inspections'!$A$4:$A$503,_calc!$E$90))=0,"",INDEX('Inspections'!$A$4:$A$503,_calc!$E$90)))</f>
        <v/>
      </c>
      <c r="B88" s="55">
        <f>IF(_calc!$E$90="","",IF(ISNUMBER(INDEX('Inspections'!$H$4:$H$503,_calc!$E$90)),TEXT(INDEX('Inspections'!$H$4:$H$503,_calc!$E$90),"yyyy-mm-dd"),""))</f>
        <v/>
      </c>
      <c r="C88" s="55">
        <f>IF(_calc!$E$90="","","Inspection")</f>
        <v/>
      </c>
      <c r="D88" s="55">
        <f>IF(_calc!$E$90="","",IF(ISNUMBER(INDEX('Inspections'!$G$4:$G$503,_calc!$E$90)),TEXT(INDEX('Inspections'!$G$4:$G$503,_calc!$E$90),"yyyy-mm-dd"),""))</f>
        <v/>
      </c>
      <c r="F88" s="55">
        <f>IF(_calc!$E$90="","",TRIM(IF(LEN(IF(LEN(INDEX('Inspections'!$B$4:$B$503,_calc!$E$90))=0,"",INDEX('Inspections'!$B$4:$B$503,_calc!$E$90)))=0,"","System: "&amp;IF(LEN(INDEX('Inspections'!$B$4:$B$503,_calc!$E$90))=0,"",INDEX('Inspections'!$B$4:$B$503,_calc!$E$90))&amp;". ")&amp;IF(LEN(IF(LEN(INDEX('Inspections'!$D$4:$D$503,_calc!$E$90))=0,"",INDEX('Inspections'!$D$4:$D$503,_calc!$E$90)))=0,"","Every: "&amp;IF(LEN(INDEX('Inspections'!$D$4:$D$503,_calc!$E$90))=0,"",INDEX('Inspections'!$D$4:$D$503,_calc!$E$90))&amp;". ")&amp;IF(LEN(IF(LEN(INDEX('Inspections'!$E$4:$E$503,_calc!$E$90))=0,"",INDEX('Inspections'!$E$4:$E$503,_calc!$E$90)))=0,"","Unit: "&amp;IF(LEN(INDEX('Inspections'!$E$4:$E$503,_calc!$E$90))=0,"",INDEX('Inspections'!$E$4:$E$503,_calc!$E$90))&amp;". ")&amp;IF(LEN(IF(LEN(INDEX('Inspections'!$F$4:$F$503,_calc!$E$90))=0,"",INDEX('Inspections'!$F$4:$F$503,_calc!$E$90)))=0,"","Done by: "&amp;IF(LEN(INDEX('Inspections'!$F$4:$F$503,_calc!$E$90))=0,"",INDEX('Inspections'!$F$4:$F$503,_calc!$E$90))&amp;". ")&amp;IF(LEN(IF(LEN(INDEX('Inspections'!$M$4:$M$503,_calc!$E$90))=0,"",INDEX('Inspections'!$M$4:$M$503,_calc!$E$90)))=0,"","Source: "&amp;IF(LEN(INDEX('Inspections'!$M$4:$M$503,_calc!$E$90))=0,"",INDEX('Inspections'!$M$4:$M$503,_calc!$E$90))&amp;". ")&amp;IF(LEN(IF(LEN(INDEX('Inspections'!$N$4:$N$503,_calc!$E$90))=0,"",INDEX('Inspections'!$N$4:$N$503,_calc!$E$90)))=0,"","Owner: "&amp;IF(LEN(INDEX('Inspections'!$N$4:$N$503,_calc!$E$90))=0,"",INDEX('Inspections'!$N$4:$N$503,_calc!$E$90))&amp;". ")&amp;IF(LEN(IF(LEN(INDEX('Inspections'!$O$4:$O$503,_calc!$E$90))=0,"",INDEX('Inspections'!$O$4:$O$503,_calc!$E$90)))=0,"","Backup: "&amp;IF(LEN(INDEX('Inspections'!$O$4:$O$503,_calc!$E$90))=0,"",INDEX('Inspections'!$O$4:$O$503,_calc!$E$90))&amp;". ")&amp;IF(LEN(IF(LEN(INDEX('Inspections'!$R$4:$R$503,_calc!$E$90))=0,"",INDEX('Inspections'!$R$4:$R$503,_calc!$E$90)))=0,"",IF(LEN(INDEX('Inspections'!$R$4:$R$503,_calc!$E$90))=0,"",INDEX('Inspections'!$R$4:$R$503,_calc!$E$90)))))</f>
        <v/>
      </c>
      <c r="G88" s="55">
        <f>IF(_calc!$E$90="","",IF(LEN(INDEX('Inspections'!$Q$4:$Q$503,_calc!$E$90))=0,"",INDEX('Inspections'!$Q$4:$Q$503,_calc!$E$90)))</f>
        <v/>
      </c>
      <c r="K88" s="55">
        <f>IF(_calc!$E$90="","",IF(LEN(INDEX('Inspections'!$P$4:$P$503,_calc!$E$90))=0,"",INDEX('Inspections'!$P$4:$P$503,_calc!$E$90)))</f>
        <v/>
      </c>
    </row>
    <row r="89">
      <c r="A89" s="55">
        <f>IF(_calc!$E$91="","",IF(LEN(INDEX('Inspections'!$C$4:$C$503,_calc!$E$91))=0,"",INDEX('Inspections'!$C$4:$C$503,_calc!$E$91))&amp;" – "&amp;IF(LEN(INDEX('Inspections'!$A$4:$A$503,_calc!$E$91))=0,"",INDEX('Inspections'!$A$4:$A$503,_calc!$E$91)))</f>
        <v/>
      </c>
      <c r="B89" s="55">
        <f>IF(_calc!$E$91="","",IF(ISNUMBER(INDEX('Inspections'!$H$4:$H$503,_calc!$E$91)),TEXT(INDEX('Inspections'!$H$4:$H$503,_calc!$E$91),"yyyy-mm-dd"),""))</f>
        <v/>
      </c>
      <c r="C89" s="55">
        <f>IF(_calc!$E$91="","","Inspection")</f>
        <v/>
      </c>
      <c r="D89" s="55">
        <f>IF(_calc!$E$91="","",IF(ISNUMBER(INDEX('Inspections'!$G$4:$G$503,_calc!$E$91)),TEXT(INDEX('Inspections'!$G$4:$G$503,_calc!$E$91),"yyyy-mm-dd"),""))</f>
        <v/>
      </c>
      <c r="F89" s="55">
        <f>IF(_calc!$E$91="","",TRIM(IF(LEN(IF(LEN(INDEX('Inspections'!$B$4:$B$503,_calc!$E$91))=0,"",INDEX('Inspections'!$B$4:$B$503,_calc!$E$91)))=0,"","System: "&amp;IF(LEN(INDEX('Inspections'!$B$4:$B$503,_calc!$E$91))=0,"",INDEX('Inspections'!$B$4:$B$503,_calc!$E$91))&amp;". ")&amp;IF(LEN(IF(LEN(INDEX('Inspections'!$D$4:$D$503,_calc!$E$91))=0,"",INDEX('Inspections'!$D$4:$D$503,_calc!$E$91)))=0,"","Every: "&amp;IF(LEN(INDEX('Inspections'!$D$4:$D$503,_calc!$E$91))=0,"",INDEX('Inspections'!$D$4:$D$503,_calc!$E$91))&amp;". ")&amp;IF(LEN(IF(LEN(INDEX('Inspections'!$E$4:$E$503,_calc!$E$91))=0,"",INDEX('Inspections'!$E$4:$E$503,_calc!$E$91)))=0,"","Unit: "&amp;IF(LEN(INDEX('Inspections'!$E$4:$E$503,_calc!$E$91))=0,"",INDEX('Inspections'!$E$4:$E$503,_calc!$E$91))&amp;". ")&amp;IF(LEN(IF(LEN(INDEX('Inspections'!$F$4:$F$503,_calc!$E$91))=0,"",INDEX('Inspections'!$F$4:$F$503,_calc!$E$91)))=0,"","Done by: "&amp;IF(LEN(INDEX('Inspections'!$F$4:$F$503,_calc!$E$91))=0,"",INDEX('Inspections'!$F$4:$F$503,_calc!$E$91))&amp;". ")&amp;IF(LEN(IF(LEN(INDEX('Inspections'!$M$4:$M$503,_calc!$E$91))=0,"",INDEX('Inspections'!$M$4:$M$503,_calc!$E$91)))=0,"","Source: "&amp;IF(LEN(INDEX('Inspections'!$M$4:$M$503,_calc!$E$91))=0,"",INDEX('Inspections'!$M$4:$M$503,_calc!$E$91))&amp;". ")&amp;IF(LEN(IF(LEN(INDEX('Inspections'!$N$4:$N$503,_calc!$E$91))=0,"",INDEX('Inspections'!$N$4:$N$503,_calc!$E$91)))=0,"","Owner: "&amp;IF(LEN(INDEX('Inspections'!$N$4:$N$503,_calc!$E$91))=0,"",INDEX('Inspections'!$N$4:$N$503,_calc!$E$91))&amp;". ")&amp;IF(LEN(IF(LEN(INDEX('Inspections'!$O$4:$O$503,_calc!$E$91))=0,"",INDEX('Inspections'!$O$4:$O$503,_calc!$E$91)))=0,"","Backup: "&amp;IF(LEN(INDEX('Inspections'!$O$4:$O$503,_calc!$E$91))=0,"",INDEX('Inspections'!$O$4:$O$503,_calc!$E$91))&amp;". ")&amp;IF(LEN(IF(LEN(INDEX('Inspections'!$R$4:$R$503,_calc!$E$91))=0,"",INDEX('Inspections'!$R$4:$R$503,_calc!$E$91)))=0,"",IF(LEN(INDEX('Inspections'!$R$4:$R$503,_calc!$E$91))=0,"",INDEX('Inspections'!$R$4:$R$503,_calc!$E$91)))))</f>
        <v/>
      </c>
      <c r="G89" s="55">
        <f>IF(_calc!$E$91="","",IF(LEN(INDEX('Inspections'!$Q$4:$Q$503,_calc!$E$91))=0,"",INDEX('Inspections'!$Q$4:$Q$503,_calc!$E$91)))</f>
        <v/>
      </c>
      <c r="K89" s="55">
        <f>IF(_calc!$E$91="","",IF(LEN(INDEX('Inspections'!$P$4:$P$503,_calc!$E$91))=0,"",INDEX('Inspections'!$P$4:$P$503,_calc!$E$91)))</f>
        <v/>
      </c>
    </row>
    <row r="90">
      <c r="A90" s="55">
        <f>IF(_calc!$E$92="","",IF(LEN(INDEX('Inspections'!$C$4:$C$503,_calc!$E$92))=0,"",INDEX('Inspections'!$C$4:$C$503,_calc!$E$92))&amp;" – "&amp;IF(LEN(INDEX('Inspections'!$A$4:$A$503,_calc!$E$92))=0,"",INDEX('Inspections'!$A$4:$A$503,_calc!$E$92)))</f>
        <v/>
      </c>
      <c r="B90" s="55">
        <f>IF(_calc!$E$92="","",IF(ISNUMBER(INDEX('Inspections'!$H$4:$H$503,_calc!$E$92)),TEXT(INDEX('Inspections'!$H$4:$H$503,_calc!$E$92),"yyyy-mm-dd"),""))</f>
        <v/>
      </c>
      <c r="C90" s="55">
        <f>IF(_calc!$E$92="","","Inspection")</f>
        <v/>
      </c>
      <c r="D90" s="55">
        <f>IF(_calc!$E$92="","",IF(ISNUMBER(INDEX('Inspections'!$G$4:$G$503,_calc!$E$92)),TEXT(INDEX('Inspections'!$G$4:$G$503,_calc!$E$92),"yyyy-mm-dd"),""))</f>
        <v/>
      </c>
      <c r="F90" s="55">
        <f>IF(_calc!$E$92="","",TRIM(IF(LEN(IF(LEN(INDEX('Inspections'!$B$4:$B$503,_calc!$E$92))=0,"",INDEX('Inspections'!$B$4:$B$503,_calc!$E$92)))=0,"","System: "&amp;IF(LEN(INDEX('Inspections'!$B$4:$B$503,_calc!$E$92))=0,"",INDEX('Inspections'!$B$4:$B$503,_calc!$E$92))&amp;". ")&amp;IF(LEN(IF(LEN(INDEX('Inspections'!$D$4:$D$503,_calc!$E$92))=0,"",INDEX('Inspections'!$D$4:$D$503,_calc!$E$92)))=0,"","Every: "&amp;IF(LEN(INDEX('Inspections'!$D$4:$D$503,_calc!$E$92))=0,"",INDEX('Inspections'!$D$4:$D$503,_calc!$E$92))&amp;". ")&amp;IF(LEN(IF(LEN(INDEX('Inspections'!$E$4:$E$503,_calc!$E$92))=0,"",INDEX('Inspections'!$E$4:$E$503,_calc!$E$92)))=0,"","Unit: "&amp;IF(LEN(INDEX('Inspections'!$E$4:$E$503,_calc!$E$92))=0,"",INDEX('Inspections'!$E$4:$E$503,_calc!$E$92))&amp;". ")&amp;IF(LEN(IF(LEN(INDEX('Inspections'!$F$4:$F$503,_calc!$E$92))=0,"",INDEX('Inspections'!$F$4:$F$503,_calc!$E$92)))=0,"","Done by: "&amp;IF(LEN(INDEX('Inspections'!$F$4:$F$503,_calc!$E$92))=0,"",INDEX('Inspections'!$F$4:$F$503,_calc!$E$92))&amp;". ")&amp;IF(LEN(IF(LEN(INDEX('Inspections'!$M$4:$M$503,_calc!$E$92))=0,"",INDEX('Inspections'!$M$4:$M$503,_calc!$E$92)))=0,"","Source: "&amp;IF(LEN(INDEX('Inspections'!$M$4:$M$503,_calc!$E$92))=0,"",INDEX('Inspections'!$M$4:$M$503,_calc!$E$92))&amp;". ")&amp;IF(LEN(IF(LEN(INDEX('Inspections'!$N$4:$N$503,_calc!$E$92))=0,"",INDEX('Inspections'!$N$4:$N$503,_calc!$E$92)))=0,"","Owner: "&amp;IF(LEN(INDEX('Inspections'!$N$4:$N$503,_calc!$E$92))=0,"",INDEX('Inspections'!$N$4:$N$503,_calc!$E$92))&amp;". ")&amp;IF(LEN(IF(LEN(INDEX('Inspections'!$O$4:$O$503,_calc!$E$92))=0,"",INDEX('Inspections'!$O$4:$O$503,_calc!$E$92)))=0,"","Backup: "&amp;IF(LEN(INDEX('Inspections'!$O$4:$O$503,_calc!$E$92))=0,"",INDEX('Inspections'!$O$4:$O$503,_calc!$E$92))&amp;". ")&amp;IF(LEN(IF(LEN(INDEX('Inspections'!$R$4:$R$503,_calc!$E$92))=0,"",INDEX('Inspections'!$R$4:$R$503,_calc!$E$92)))=0,"",IF(LEN(INDEX('Inspections'!$R$4:$R$503,_calc!$E$92))=0,"",INDEX('Inspections'!$R$4:$R$503,_calc!$E$92)))))</f>
        <v/>
      </c>
      <c r="G90" s="55">
        <f>IF(_calc!$E$92="","",IF(LEN(INDEX('Inspections'!$Q$4:$Q$503,_calc!$E$92))=0,"",INDEX('Inspections'!$Q$4:$Q$503,_calc!$E$92)))</f>
        <v/>
      </c>
      <c r="K90" s="55">
        <f>IF(_calc!$E$92="","",IF(LEN(INDEX('Inspections'!$P$4:$P$503,_calc!$E$92))=0,"",INDEX('Inspections'!$P$4:$P$503,_calc!$E$92)))</f>
        <v/>
      </c>
    </row>
    <row r="91">
      <c r="A91" s="55">
        <f>IF(_calc!$E$93="","",IF(LEN(INDEX('Inspections'!$C$4:$C$503,_calc!$E$93))=0,"",INDEX('Inspections'!$C$4:$C$503,_calc!$E$93))&amp;" – "&amp;IF(LEN(INDEX('Inspections'!$A$4:$A$503,_calc!$E$93))=0,"",INDEX('Inspections'!$A$4:$A$503,_calc!$E$93)))</f>
        <v/>
      </c>
      <c r="B91" s="55">
        <f>IF(_calc!$E$93="","",IF(ISNUMBER(INDEX('Inspections'!$H$4:$H$503,_calc!$E$93)),TEXT(INDEX('Inspections'!$H$4:$H$503,_calc!$E$93),"yyyy-mm-dd"),""))</f>
        <v/>
      </c>
      <c r="C91" s="55">
        <f>IF(_calc!$E$93="","","Inspection")</f>
        <v/>
      </c>
      <c r="D91" s="55">
        <f>IF(_calc!$E$93="","",IF(ISNUMBER(INDEX('Inspections'!$G$4:$G$503,_calc!$E$93)),TEXT(INDEX('Inspections'!$G$4:$G$503,_calc!$E$93),"yyyy-mm-dd"),""))</f>
        <v/>
      </c>
      <c r="F91" s="55">
        <f>IF(_calc!$E$93="","",TRIM(IF(LEN(IF(LEN(INDEX('Inspections'!$B$4:$B$503,_calc!$E$93))=0,"",INDEX('Inspections'!$B$4:$B$503,_calc!$E$93)))=0,"","System: "&amp;IF(LEN(INDEX('Inspections'!$B$4:$B$503,_calc!$E$93))=0,"",INDEX('Inspections'!$B$4:$B$503,_calc!$E$93))&amp;". ")&amp;IF(LEN(IF(LEN(INDEX('Inspections'!$D$4:$D$503,_calc!$E$93))=0,"",INDEX('Inspections'!$D$4:$D$503,_calc!$E$93)))=0,"","Every: "&amp;IF(LEN(INDEX('Inspections'!$D$4:$D$503,_calc!$E$93))=0,"",INDEX('Inspections'!$D$4:$D$503,_calc!$E$93))&amp;". ")&amp;IF(LEN(IF(LEN(INDEX('Inspections'!$E$4:$E$503,_calc!$E$93))=0,"",INDEX('Inspections'!$E$4:$E$503,_calc!$E$93)))=0,"","Unit: "&amp;IF(LEN(INDEX('Inspections'!$E$4:$E$503,_calc!$E$93))=0,"",INDEX('Inspections'!$E$4:$E$503,_calc!$E$93))&amp;". ")&amp;IF(LEN(IF(LEN(INDEX('Inspections'!$F$4:$F$503,_calc!$E$93))=0,"",INDEX('Inspections'!$F$4:$F$503,_calc!$E$93)))=0,"","Done by: "&amp;IF(LEN(INDEX('Inspections'!$F$4:$F$503,_calc!$E$93))=0,"",INDEX('Inspections'!$F$4:$F$503,_calc!$E$93))&amp;". ")&amp;IF(LEN(IF(LEN(INDEX('Inspections'!$M$4:$M$503,_calc!$E$93))=0,"",INDEX('Inspections'!$M$4:$M$503,_calc!$E$93)))=0,"","Source: "&amp;IF(LEN(INDEX('Inspections'!$M$4:$M$503,_calc!$E$93))=0,"",INDEX('Inspections'!$M$4:$M$503,_calc!$E$93))&amp;". ")&amp;IF(LEN(IF(LEN(INDEX('Inspections'!$N$4:$N$503,_calc!$E$93))=0,"",INDEX('Inspections'!$N$4:$N$503,_calc!$E$93)))=0,"","Owner: "&amp;IF(LEN(INDEX('Inspections'!$N$4:$N$503,_calc!$E$93))=0,"",INDEX('Inspections'!$N$4:$N$503,_calc!$E$93))&amp;". ")&amp;IF(LEN(IF(LEN(INDEX('Inspections'!$O$4:$O$503,_calc!$E$93))=0,"",INDEX('Inspections'!$O$4:$O$503,_calc!$E$93)))=0,"","Backup: "&amp;IF(LEN(INDEX('Inspections'!$O$4:$O$503,_calc!$E$93))=0,"",INDEX('Inspections'!$O$4:$O$503,_calc!$E$93))&amp;". ")&amp;IF(LEN(IF(LEN(INDEX('Inspections'!$R$4:$R$503,_calc!$E$93))=0,"",INDEX('Inspections'!$R$4:$R$503,_calc!$E$93)))=0,"",IF(LEN(INDEX('Inspections'!$R$4:$R$503,_calc!$E$93))=0,"",INDEX('Inspections'!$R$4:$R$503,_calc!$E$93)))))</f>
        <v/>
      </c>
      <c r="G91" s="55">
        <f>IF(_calc!$E$93="","",IF(LEN(INDEX('Inspections'!$Q$4:$Q$503,_calc!$E$93))=0,"",INDEX('Inspections'!$Q$4:$Q$503,_calc!$E$93)))</f>
        <v/>
      </c>
      <c r="K91" s="55">
        <f>IF(_calc!$E$93="","",IF(LEN(INDEX('Inspections'!$P$4:$P$503,_calc!$E$93))=0,"",INDEX('Inspections'!$P$4:$P$503,_calc!$E$93)))</f>
        <v/>
      </c>
    </row>
    <row r="92">
      <c r="A92" s="55">
        <f>IF(_calc!$E$94="","",IF(LEN(INDEX('Inspections'!$C$4:$C$503,_calc!$E$94))=0,"",INDEX('Inspections'!$C$4:$C$503,_calc!$E$94))&amp;" – "&amp;IF(LEN(INDEX('Inspections'!$A$4:$A$503,_calc!$E$94))=0,"",INDEX('Inspections'!$A$4:$A$503,_calc!$E$94)))</f>
        <v/>
      </c>
      <c r="B92" s="55">
        <f>IF(_calc!$E$94="","",IF(ISNUMBER(INDEX('Inspections'!$H$4:$H$503,_calc!$E$94)),TEXT(INDEX('Inspections'!$H$4:$H$503,_calc!$E$94),"yyyy-mm-dd"),""))</f>
        <v/>
      </c>
      <c r="C92" s="55">
        <f>IF(_calc!$E$94="","","Inspection")</f>
        <v/>
      </c>
      <c r="D92" s="55">
        <f>IF(_calc!$E$94="","",IF(ISNUMBER(INDEX('Inspections'!$G$4:$G$503,_calc!$E$94)),TEXT(INDEX('Inspections'!$G$4:$G$503,_calc!$E$94),"yyyy-mm-dd"),""))</f>
        <v/>
      </c>
      <c r="F92" s="55">
        <f>IF(_calc!$E$94="","",TRIM(IF(LEN(IF(LEN(INDEX('Inspections'!$B$4:$B$503,_calc!$E$94))=0,"",INDEX('Inspections'!$B$4:$B$503,_calc!$E$94)))=0,"","System: "&amp;IF(LEN(INDEX('Inspections'!$B$4:$B$503,_calc!$E$94))=0,"",INDEX('Inspections'!$B$4:$B$503,_calc!$E$94))&amp;". ")&amp;IF(LEN(IF(LEN(INDEX('Inspections'!$D$4:$D$503,_calc!$E$94))=0,"",INDEX('Inspections'!$D$4:$D$503,_calc!$E$94)))=0,"","Every: "&amp;IF(LEN(INDEX('Inspections'!$D$4:$D$503,_calc!$E$94))=0,"",INDEX('Inspections'!$D$4:$D$503,_calc!$E$94))&amp;". ")&amp;IF(LEN(IF(LEN(INDEX('Inspections'!$E$4:$E$503,_calc!$E$94))=0,"",INDEX('Inspections'!$E$4:$E$503,_calc!$E$94)))=0,"","Unit: "&amp;IF(LEN(INDEX('Inspections'!$E$4:$E$503,_calc!$E$94))=0,"",INDEX('Inspections'!$E$4:$E$503,_calc!$E$94))&amp;". ")&amp;IF(LEN(IF(LEN(INDEX('Inspections'!$F$4:$F$503,_calc!$E$94))=0,"",INDEX('Inspections'!$F$4:$F$503,_calc!$E$94)))=0,"","Done by: "&amp;IF(LEN(INDEX('Inspections'!$F$4:$F$503,_calc!$E$94))=0,"",INDEX('Inspections'!$F$4:$F$503,_calc!$E$94))&amp;". ")&amp;IF(LEN(IF(LEN(INDEX('Inspections'!$M$4:$M$503,_calc!$E$94))=0,"",INDEX('Inspections'!$M$4:$M$503,_calc!$E$94)))=0,"","Source: "&amp;IF(LEN(INDEX('Inspections'!$M$4:$M$503,_calc!$E$94))=0,"",INDEX('Inspections'!$M$4:$M$503,_calc!$E$94))&amp;". ")&amp;IF(LEN(IF(LEN(INDEX('Inspections'!$N$4:$N$503,_calc!$E$94))=0,"",INDEX('Inspections'!$N$4:$N$503,_calc!$E$94)))=0,"","Owner: "&amp;IF(LEN(INDEX('Inspections'!$N$4:$N$503,_calc!$E$94))=0,"",INDEX('Inspections'!$N$4:$N$503,_calc!$E$94))&amp;". ")&amp;IF(LEN(IF(LEN(INDEX('Inspections'!$O$4:$O$503,_calc!$E$94))=0,"",INDEX('Inspections'!$O$4:$O$503,_calc!$E$94)))=0,"","Backup: "&amp;IF(LEN(INDEX('Inspections'!$O$4:$O$503,_calc!$E$94))=0,"",INDEX('Inspections'!$O$4:$O$503,_calc!$E$94))&amp;". ")&amp;IF(LEN(IF(LEN(INDEX('Inspections'!$R$4:$R$503,_calc!$E$94))=0,"",INDEX('Inspections'!$R$4:$R$503,_calc!$E$94)))=0,"",IF(LEN(INDEX('Inspections'!$R$4:$R$503,_calc!$E$94))=0,"",INDEX('Inspections'!$R$4:$R$503,_calc!$E$94)))))</f>
        <v/>
      </c>
      <c r="G92" s="55">
        <f>IF(_calc!$E$94="","",IF(LEN(INDEX('Inspections'!$Q$4:$Q$503,_calc!$E$94))=0,"",INDEX('Inspections'!$Q$4:$Q$503,_calc!$E$94)))</f>
        <v/>
      </c>
      <c r="K92" s="55">
        <f>IF(_calc!$E$94="","",IF(LEN(INDEX('Inspections'!$P$4:$P$503,_calc!$E$94))=0,"",INDEX('Inspections'!$P$4:$P$503,_calc!$E$94)))</f>
        <v/>
      </c>
    </row>
    <row r="93">
      <c r="A93" s="55">
        <f>IF(_calc!$E$95="","",IF(LEN(INDEX('Inspections'!$C$4:$C$503,_calc!$E$95))=0,"",INDEX('Inspections'!$C$4:$C$503,_calc!$E$95))&amp;" – "&amp;IF(LEN(INDEX('Inspections'!$A$4:$A$503,_calc!$E$95))=0,"",INDEX('Inspections'!$A$4:$A$503,_calc!$E$95)))</f>
        <v/>
      </c>
      <c r="B93" s="55">
        <f>IF(_calc!$E$95="","",IF(ISNUMBER(INDEX('Inspections'!$H$4:$H$503,_calc!$E$95)),TEXT(INDEX('Inspections'!$H$4:$H$503,_calc!$E$95),"yyyy-mm-dd"),""))</f>
        <v/>
      </c>
      <c r="C93" s="55">
        <f>IF(_calc!$E$95="","","Inspection")</f>
        <v/>
      </c>
      <c r="D93" s="55">
        <f>IF(_calc!$E$95="","",IF(ISNUMBER(INDEX('Inspections'!$G$4:$G$503,_calc!$E$95)),TEXT(INDEX('Inspections'!$G$4:$G$503,_calc!$E$95),"yyyy-mm-dd"),""))</f>
        <v/>
      </c>
      <c r="F93" s="55">
        <f>IF(_calc!$E$95="","",TRIM(IF(LEN(IF(LEN(INDEX('Inspections'!$B$4:$B$503,_calc!$E$95))=0,"",INDEX('Inspections'!$B$4:$B$503,_calc!$E$95)))=0,"","System: "&amp;IF(LEN(INDEX('Inspections'!$B$4:$B$503,_calc!$E$95))=0,"",INDEX('Inspections'!$B$4:$B$503,_calc!$E$95))&amp;". ")&amp;IF(LEN(IF(LEN(INDEX('Inspections'!$D$4:$D$503,_calc!$E$95))=0,"",INDEX('Inspections'!$D$4:$D$503,_calc!$E$95)))=0,"","Every: "&amp;IF(LEN(INDEX('Inspections'!$D$4:$D$503,_calc!$E$95))=0,"",INDEX('Inspections'!$D$4:$D$503,_calc!$E$95))&amp;". ")&amp;IF(LEN(IF(LEN(INDEX('Inspections'!$E$4:$E$503,_calc!$E$95))=0,"",INDEX('Inspections'!$E$4:$E$503,_calc!$E$95)))=0,"","Unit: "&amp;IF(LEN(INDEX('Inspections'!$E$4:$E$503,_calc!$E$95))=0,"",INDEX('Inspections'!$E$4:$E$503,_calc!$E$95))&amp;". ")&amp;IF(LEN(IF(LEN(INDEX('Inspections'!$F$4:$F$503,_calc!$E$95))=0,"",INDEX('Inspections'!$F$4:$F$503,_calc!$E$95)))=0,"","Done by: "&amp;IF(LEN(INDEX('Inspections'!$F$4:$F$503,_calc!$E$95))=0,"",INDEX('Inspections'!$F$4:$F$503,_calc!$E$95))&amp;". ")&amp;IF(LEN(IF(LEN(INDEX('Inspections'!$M$4:$M$503,_calc!$E$95))=0,"",INDEX('Inspections'!$M$4:$M$503,_calc!$E$95)))=0,"","Source: "&amp;IF(LEN(INDEX('Inspections'!$M$4:$M$503,_calc!$E$95))=0,"",INDEX('Inspections'!$M$4:$M$503,_calc!$E$95))&amp;". ")&amp;IF(LEN(IF(LEN(INDEX('Inspections'!$N$4:$N$503,_calc!$E$95))=0,"",INDEX('Inspections'!$N$4:$N$503,_calc!$E$95)))=0,"","Owner: "&amp;IF(LEN(INDEX('Inspections'!$N$4:$N$503,_calc!$E$95))=0,"",INDEX('Inspections'!$N$4:$N$503,_calc!$E$95))&amp;". ")&amp;IF(LEN(IF(LEN(INDEX('Inspections'!$O$4:$O$503,_calc!$E$95))=0,"",INDEX('Inspections'!$O$4:$O$503,_calc!$E$95)))=0,"","Backup: "&amp;IF(LEN(INDEX('Inspections'!$O$4:$O$503,_calc!$E$95))=0,"",INDEX('Inspections'!$O$4:$O$503,_calc!$E$95))&amp;". ")&amp;IF(LEN(IF(LEN(INDEX('Inspections'!$R$4:$R$503,_calc!$E$95))=0,"",INDEX('Inspections'!$R$4:$R$503,_calc!$E$95)))=0,"",IF(LEN(INDEX('Inspections'!$R$4:$R$503,_calc!$E$95))=0,"",INDEX('Inspections'!$R$4:$R$503,_calc!$E$95)))))</f>
        <v/>
      </c>
      <c r="G93" s="55">
        <f>IF(_calc!$E$95="","",IF(LEN(INDEX('Inspections'!$Q$4:$Q$503,_calc!$E$95))=0,"",INDEX('Inspections'!$Q$4:$Q$503,_calc!$E$95)))</f>
        <v/>
      </c>
      <c r="K93" s="55">
        <f>IF(_calc!$E$95="","",IF(LEN(INDEX('Inspections'!$P$4:$P$503,_calc!$E$95))=0,"",INDEX('Inspections'!$P$4:$P$503,_calc!$E$95)))</f>
        <v/>
      </c>
    </row>
    <row r="94">
      <c r="A94" s="55">
        <f>IF(_calc!$E$96="","",IF(LEN(INDEX('Inspections'!$C$4:$C$503,_calc!$E$96))=0,"",INDEX('Inspections'!$C$4:$C$503,_calc!$E$96))&amp;" – "&amp;IF(LEN(INDEX('Inspections'!$A$4:$A$503,_calc!$E$96))=0,"",INDEX('Inspections'!$A$4:$A$503,_calc!$E$96)))</f>
        <v/>
      </c>
      <c r="B94" s="55">
        <f>IF(_calc!$E$96="","",IF(ISNUMBER(INDEX('Inspections'!$H$4:$H$503,_calc!$E$96)),TEXT(INDEX('Inspections'!$H$4:$H$503,_calc!$E$96),"yyyy-mm-dd"),""))</f>
        <v/>
      </c>
      <c r="C94" s="55">
        <f>IF(_calc!$E$96="","","Inspection")</f>
        <v/>
      </c>
      <c r="D94" s="55">
        <f>IF(_calc!$E$96="","",IF(ISNUMBER(INDEX('Inspections'!$G$4:$G$503,_calc!$E$96)),TEXT(INDEX('Inspections'!$G$4:$G$503,_calc!$E$96),"yyyy-mm-dd"),""))</f>
        <v/>
      </c>
      <c r="F94" s="55">
        <f>IF(_calc!$E$96="","",TRIM(IF(LEN(IF(LEN(INDEX('Inspections'!$B$4:$B$503,_calc!$E$96))=0,"",INDEX('Inspections'!$B$4:$B$503,_calc!$E$96)))=0,"","System: "&amp;IF(LEN(INDEX('Inspections'!$B$4:$B$503,_calc!$E$96))=0,"",INDEX('Inspections'!$B$4:$B$503,_calc!$E$96))&amp;". ")&amp;IF(LEN(IF(LEN(INDEX('Inspections'!$D$4:$D$503,_calc!$E$96))=0,"",INDEX('Inspections'!$D$4:$D$503,_calc!$E$96)))=0,"","Every: "&amp;IF(LEN(INDEX('Inspections'!$D$4:$D$503,_calc!$E$96))=0,"",INDEX('Inspections'!$D$4:$D$503,_calc!$E$96))&amp;". ")&amp;IF(LEN(IF(LEN(INDEX('Inspections'!$E$4:$E$503,_calc!$E$96))=0,"",INDEX('Inspections'!$E$4:$E$503,_calc!$E$96)))=0,"","Unit: "&amp;IF(LEN(INDEX('Inspections'!$E$4:$E$503,_calc!$E$96))=0,"",INDEX('Inspections'!$E$4:$E$503,_calc!$E$96))&amp;". ")&amp;IF(LEN(IF(LEN(INDEX('Inspections'!$F$4:$F$503,_calc!$E$96))=0,"",INDEX('Inspections'!$F$4:$F$503,_calc!$E$96)))=0,"","Done by: "&amp;IF(LEN(INDEX('Inspections'!$F$4:$F$503,_calc!$E$96))=0,"",INDEX('Inspections'!$F$4:$F$503,_calc!$E$96))&amp;". ")&amp;IF(LEN(IF(LEN(INDEX('Inspections'!$M$4:$M$503,_calc!$E$96))=0,"",INDEX('Inspections'!$M$4:$M$503,_calc!$E$96)))=0,"","Source: "&amp;IF(LEN(INDEX('Inspections'!$M$4:$M$503,_calc!$E$96))=0,"",INDEX('Inspections'!$M$4:$M$503,_calc!$E$96))&amp;". ")&amp;IF(LEN(IF(LEN(INDEX('Inspections'!$N$4:$N$503,_calc!$E$96))=0,"",INDEX('Inspections'!$N$4:$N$503,_calc!$E$96)))=0,"","Owner: "&amp;IF(LEN(INDEX('Inspections'!$N$4:$N$503,_calc!$E$96))=0,"",INDEX('Inspections'!$N$4:$N$503,_calc!$E$96))&amp;". ")&amp;IF(LEN(IF(LEN(INDEX('Inspections'!$O$4:$O$503,_calc!$E$96))=0,"",INDEX('Inspections'!$O$4:$O$503,_calc!$E$96)))=0,"","Backup: "&amp;IF(LEN(INDEX('Inspections'!$O$4:$O$503,_calc!$E$96))=0,"",INDEX('Inspections'!$O$4:$O$503,_calc!$E$96))&amp;". ")&amp;IF(LEN(IF(LEN(INDEX('Inspections'!$R$4:$R$503,_calc!$E$96))=0,"",INDEX('Inspections'!$R$4:$R$503,_calc!$E$96)))=0,"",IF(LEN(INDEX('Inspections'!$R$4:$R$503,_calc!$E$96))=0,"",INDEX('Inspections'!$R$4:$R$503,_calc!$E$96)))))</f>
        <v/>
      </c>
      <c r="G94" s="55">
        <f>IF(_calc!$E$96="","",IF(LEN(INDEX('Inspections'!$Q$4:$Q$503,_calc!$E$96))=0,"",INDEX('Inspections'!$Q$4:$Q$503,_calc!$E$96)))</f>
        <v/>
      </c>
      <c r="K94" s="55">
        <f>IF(_calc!$E$96="","",IF(LEN(INDEX('Inspections'!$P$4:$P$503,_calc!$E$96))=0,"",INDEX('Inspections'!$P$4:$P$503,_calc!$E$96)))</f>
        <v/>
      </c>
    </row>
    <row r="95">
      <c r="A95" s="55">
        <f>IF(_calc!$E$97="","",IF(LEN(INDEX('Inspections'!$C$4:$C$503,_calc!$E$97))=0,"",INDEX('Inspections'!$C$4:$C$503,_calc!$E$97))&amp;" – "&amp;IF(LEN(INDEX('Inspections'!$A$4:$A$503,_calc!$E$97))=0,"",INDEX('Inspections'!$A$4:$A$503,_calc!$E$97)))</f>
        <v/>
      </c>
      <c r="B95" s="55">
        <f>IF(_calc!$E$97="","",IF(ISNUMBER(INDEX('Inspections'!$H$4:$H$503,_calc!$E$97)),TEXT(INDEX('Inspections'!$H$4:$H$503,_calc!$E$97),"yyyy-mm-dd"),""))</f>
        <v/>
      </c>
      <c r="C95" s="55">
        <f>IF(_calc!$E$97="","","Inspection")</f>
        <v/>
      </c>
      <c r="D95" s="55">
        <f>IF(_calc!$E$97="","",IF(ISNUMBER(INDEX('Inspections'!$G$4:$G$503,_calc!$E$97)),TEXT(INDEX('Inspections'!$G$4:$G$503,_calc!$E$97),"yyyy-mm-dd"),""))</f>
        <v/>
      </c>
      <c r="F95" s="55">
        <f>IF(_calc!$E$97="","",TRIM(IF(LEN(IF(LEN(INDEX('Inspections'!$B$4:$B$503,_calc!$E$97))=0,"",INDEX('Inspections'!$B$4:$B$503,_calc!$E$97)))=0,"","System: "&amp;IF(LEN(INDEX('Inspections'!$B$4:$B$503,_calc!$E$97))=0,"",INDEX('Inspections'!$B$4:$B$503,_calc!$E$97))&amp;". ")&amp;IF(LEN(IF(LEN(INDEX('Inspections'!$D$4:$D$503,_calc!$E$97))=0,"",INDEX('Inspections'!$D$4:$D$503,_calc!$E$97)))=0,"","Every: "&amp;IF(LEN(INDEX('Inspections'!$D$4:$D$503,_calc!$E$97))=0,"",INDEX('Inspections'!$D$4:$D$503,_calc!$E$97))&amp;". ")&amp;IF(LEN(IF(LEN(INDEX('Inspections'!$E$4:$E$503,_calc!$E$97))=0,"",INDEX('Inspections'!$E$4:$E$503,_calc!$E$97)))=0,"","Unit: "&amp;IF(LEN(INDEX('Inspections'!$E$4:$E$503,_calc!$E$97))=0,"",INDEX('Inspections'!$E$4:$E$503,_calc!$E$97))&amp;". ")&amp;IF(LEN(IF(LEN(INDEX('Inspections'!$F$4:$F$503,_calc!$E$97))=0,"",INDEX('Inspections'!$F$4:$F$503,_calc!$E$97)))=0,"","Done by: "&amp;IF(LEN(INDEX('Inspections'!$F$4:$F$503,_calc!$E$97))=0,"",INDEX('Inspections'!$F$4:$F$503,_calc!$E$97))&amp;". ")&amp;IF(LEN(IF(LEN(INDEX('Inspections'!$M$4:$M$503,_calc!$E$97))=0,"",INDEX('Inspections'!$M$4:$M$503,_calc!$E$97)))=0,"","Source: "&amp;IF(LEN(INDEX('Inspections'!$M$4:$M$503,_calc!$E$97))=0,"",INDEX('Inspections'!$M$4:$M$503,_calc!$E$97))&amp;". ")&amp;IF(LEN(IF(LEN(INDEX('Inspections'!$N$4:$N$503,_calc!$E$97))=0,"",INDEX('Inspections'!$N$4:$N$503,_calc!$E$97)))=0,"","Owner: "&amp;IF(LEN(INDEX('Inspections'!$N$4:$N$503,_calc!$E$97))=0,"",INDEX('Inspections'!$N$4:$N$503,_calc!$E$97))&amp;". ")&amp;IF(LEN(IF(LEN(INDEX('Inspections'!$O$4:$O$503,_calc!$E$97))=0,"",INDEX('Inspections'!$O$4:$O$503,_calc!$E$97)))=0,"","Backup: "&amp;IF(LEN(INDEX('Inspections'!$O$4:$O$503,_calc!$E$97))=0,"",INDEX('Inspections'!$O$4:$O$503,_calc!$E$97))&amp;". ")&amp;IF(LEN(IF(LEN(INDEX('Inspections'!$R$4:$R$503,_calc!$E$97))=0,"",INDEX('Inspections'!$R$4:$R$503,_calc!$E$97)))=0,"",IF(LEN(INDEX('Inspections'!$R$4:$R$503,_calc!$E$97))=0,"",INDEX('Inspections'!$R$4:$R$503,_calc!$E$97)))))</f>
        <v/>
      </c>
      <c r="G95" s="55">
        <f>IF(_calc!$E$97="","",IF(LEN(INDEX('Inspections'!$Q$4:$Q$503,_calc!$E$97))=0,"",INDEX('Inspections'!$Q$4:$Q$503,_calc!$E$97)))</f>
        <v/>
      </c>
      <c r="K95" s="55">
        <f>IF(_calc!$E$97="","",IF(LEN(INDEX('Inspections'!$P$4:$P$503,_calc!$E$97))=0,"",INDEX('Inspections'!$P$4:$P$503,_calc!$E$97)))</f>
        <v/>
      </c>
    </row>
    <row r="96">
      <c r="A96" s="55">
        <f>IF(_calc!$E$98="","",IF(LEN(INDEX('Inspections'!$C$4:$C$503,_calc!$E$98))=0,"",INDEX('Inspections'!$C$4:$C$503,_calc!$E$98))&amp;" – "&amp;IF(LEN(INDEX('Inspections'!$A$4:$A$503,_calc!$E$98))=0,"",INDEX('Inspections'!$A$4:$A$503,_calc!$E$98)))</f>
        <v/>
      </c>
      <c r="B96" s="55">
        <f>IF(_calc!$E$98="","",IF(ISNUMBER(INDEX('Inspections'!$H$4:$H$503,_calc!$E$98)),TEXT(INDEX('Inspections'!$H$4:$H$503,_calc!$E$98),"yyyy-mm-dd"),""))</f>
        <v/>
      </c>
      <c r="C96" s="55">
        <f>IF(_calc!$E$98="","","Inspection")</f>
        <v/>
      </c>
      <c r="D96" s="55">
        <f>IF(_calc!$E$98="","",IF(ISNUMBER(INDEX('Inspections'!$G$4:$G$503,_calc!$E$98)),TEXT(INDEX('Inspections'!$G$4:$G$503,_calc!$E$98),"yyyy-mm-dd"),""))</f>
        <v/>
      </c>
      <c r="F96" s="55">
        <f>IF(_calc!$E$98="","",TRIM(IF(LEN(IF(LEN(INDEX('Inspections'!$B$4:$B$503,_calc!$E$98))=0,"",INDEX('Inspections'!$B$4:$B$503,_calc!$E$98)))=0,"","System: "&amp;IF(LEN(INDEX('Inspections'!$B$4:$B$503,_calc!$E$98))=0,"",INDEX('Inspections'!$B$4:$B$503,_calc!$E$98))&amp;". ")&amp;IF(LEN(IF(LEN(INDEX('Inspections'!$D$4:$D$503,_calc!$E$98))=0,"",INDEX('Inspections'!$D$4:$D$503,_calc!$E$98)))=0,"","Every: "&amp;IF(LEN(INDEX('Inspections'!$D$4:$D$503,_calc!$E$98))=0,"",INDEX('Inspections'!$D$4:$D$503,_calc!$E$98))&amp;". ")&amp;IF(LEN(IF(LEN(INDEX('Inspections'!$E$4:$E$503,_calc!$E$98))=0,"",INDEX('Inspections'!$E$4:$E$503,_calc!$E$98)))=0,"","Unit: "&amp;IF(LEN(INDEX('Inspections'!$E$4:$E$503,_calc!$E$98))=0,"",INDEX('Inspections'!$E$4:$E$503,_calc!$E$98))&amp;". ")&amp;IF(LEN(IF(LEN(INDEX('Inspections'!$F$4:$F$503,_calc!$E$98))=0,"",INDEX('Inspections'!$F$4:$F$503,_calc!$E$98)))=0,"","Done by: "&amp;IF(LEN(INDEX('Inspections'!$F$4:$F$503,_calc!$E$98))=0,"",INDEX('Inspections'!$F$4:$F$503,_calc!$E$98))&amp;". ")&amp;IF(LEN(IF(LEN(INDEX('Inspections'!$M$4:$M$503,_calc!$E$98))=0,"",INDEX('Inspections'!$M$4:$M$503,_calc!$E$98)))=0,"","Source: "&amp;IF(LEN(INDEX('Inspections'!$M$4:$M$503,_calc!$E$98))=0,"",INDEX('Inspections'!$M$4:$M$503,_calc!$E$98))&amp;". ")&amp;IF(LEN(IF(LEN(INDEX('Inspections'!$N$4:$N$503,_calc!$E$98))=0,"",INDEX('Inspections'!$N$4:$N$503,_calc!$E$98)))=0,"","Owner: "&amp;IF(LEN(INDEX('Inspections'!$N$4:$N$503,_calc!$E$98))=0,"",INDEX('Inspections'!$N$4:$N$503,_calc!$E$98))&amp;". ")&amp;IF(LEN(IF(LEN(INDEX('Inspections'!$O$4:$O$503,_calc!$E$98))=0,"",INDEX('Inspections'!$O$4:$O$503,_calc!$E$98)))=0,"","Backup: "&amp;IF(LEN(INDEX('Inspections'!$O$4:$O$503,_calc!$E$98))=0,"",INDEX('Inspections'!$O$4:$O$503,_calc!$E$98))&amp;". ")&amp;IF(LEN(IF(LEN(INDEX('Inspections'!$R$4:$R$503,_calc!$E$98))=0,"",INDEX('Inspections'!$R$4:$R$503,_calc!$E$98)))=0,"",IF(LEN(INDEX('Inspections'!$R$4:$R$503,_calc!$E$98))=0,"",INDEX('Inspections'!$R$4:$R$503,_calc!$E$98)))))</f>
        <v/>
      </c>
      <c r="G96" s="55">
        <f>IF(_calc!$E$98="","",IF(LEN(INDEX('Inspections'!$Q$4:$Q$503,_calc!$E$98))=0,"",INDEX('Inspections'!$Q$4:$Q$503,_calc!$E$98)))</f>
        <v/>
      </c>
      <c r="K96" s="55">
        <f>IF(_calc!$E$98="","",IF(LEN(INDEX('Inspections'!$P$4:$P$503,_calc!$E$98))=0,"",INDEX('Inspections'!$P$4:$P$503,_calc!$E$98)))</f>
        <v/>
      </c>
    </row>
    <row r="97">
      <c r="A97" s="55">
        <f>IF(_calc!$E$99="","",IF(LEN(INDEX('Inspections'!$C$4:$C$503,_calc!$E$99))=0,"",INDEX('Inspections'!$C$4:$C$503,_calc!$E$99))&amp;" – "&amp;IF(LEN(INDEX('Inspections'!$A$4:$A$503,_calc!$E$99))=0,"",INDEX('Inspections'!$A$4:$A$503,_calc!$E$99)))</f>
        <v/>
      </c>
      <c r="B97" s="55">
        <f>IF(_calc!$E$99="","",IF(ISNUMBER(INDEX('Inspections'!$H$4:$H$503,_calc!$E$99)),TEXT(INDEX('Inspections'!$H$4:$H$503,_calc!$E$99),"yyyy-mm-dd"),""))</f>
        <v/>
      </c>
      <c r="C97" s="55">
        <f>IF(_calc!$E$99="","","Inspection")</f>
        <v/>
      </c>
      <c r="D97" s="55">
        <f>IF(_calc!$E$99="","",IF(ISNUMBER(INDEX('Inspections'!$G$4:$G$503,_calc!$E$99)),TEXT(INDEX('Inspections'!$G$4:$G$503,_calc!$E$99),"yyyy-mm-dd"),""))</f>
        <v/>
      </c>
      <c r="F97" s="55">
        <f>IF(_calc!$E$99="","",TRIM(IF(LEN(IF(LEN(INDEX('Inspections'!$B$4:$B$503,_calc!$E$99))=0,"",INDEX('Inspections'!$B$4:$B$503,_calc!$E$99)))=0,"","System: "&amp;IF(LEN(INDEX('Inspections'!$B$4:$B$503,_calc!$E$99))=0,"",INDEX('Inspections'!$B$4:$B$503,_calc!$E$99))&amp;". ")&amp;IF(LEN(IF(LEN(INDEX('Inspections'!$D$4:$D$503,_calc!$E$99))=0,"",INDEX('Inspections'!$D$4:$D$503,_calc!$E$99)))=0,"","Every: "&amp;IF(LEN(INDEX('Inspections'!$D$4:$D$503,_calc!$E$99))=0,"",INDEX('Inspections'!$D$4:$D$503,_calc!$E$99))&amp;". ")&amp;IF(LEN(IF(LEN(INDEX('Inspections'!$E$4:$E$503,_calc!$E$99))=0,"",INDEX('Inspections'!$E$4:$E$503,_calc!$E$99)))=0,"","Unit: "&amp;IF(LEN(INDEX('Inspections'!$E$4:$E$503,_calc!$E$99))=0,"",INDEX('Inspections'!$E$4:$E$503,_calc!$E$99))&amp;". ")&amp;IF(LEN(IF(LEN(INDEX('Inspections'!$F$4:$F$503,_calc!$E$99))=0,"",INDEX('Inspections'!$F$4:$F$503,_calc!$E$99)))=0,"","Done by: "&amp;IF(LEN(INDEX('Inspections'!$F$4:$F$503,_calc!$E$99))=0,"",INDEX('Inspections'!$F$4:$F$503,_calc!$E$99))&amp;". ")&amp;IF(LEN(IF(LEN(INDEX('Inspections'!$M$4:$M$503,_calc!$E$99))=0,"",INDEX('Inspections'!$M$4:$M$503,_calc!$E$99)))=0,"","Source: "&amp;IF(LEN(INDEX('Inspections'!$M$4:$M$503,_calc!$E$99))=0,"",INDEX('Inspections'!$M$4:$M$503,_calc!$E$99))&amp;". ")&amp;IF(LEN(IF(LEN(INDEX('Inspections'!$N$4:$N$503,_calc!$E$99))=0,"",INDEX('Inspections'!$N$4:$N$503,_calc!$E$99)))=0,"","Owner: "&amp;IF(LEN(INDEX('Inspections'!$N$4:$N$503,_calc!$E$99))=0,"",INDEX('Inspections'!$N$4:$N$503,_calc!$E$99))&amp;". ")&amp;IF(LEN(IF(LEN(INDEX('Inspections'!$O$4:$O$503,_calc!$E$99))=0,"",INDEX('Inspections'!$O$4:$O$503,_calc!$E$99)))=0,"","Backup: "&amp;IF(LEN(INDEX('Inspections'!$O$4:$O$503,_calc!$E$99))=0,"",INDEX('Inspections'!$O$4:$O$503,_calc!$E$99))&amp;". ")&amp;IF(LEN(IF(LEN(INDEX('Inspections'!$R$4:$R$503,_calc!$E$99))=0,"",INDEX('Inspections'!$R$4:$R$503,_calc!$E$99)))=0,"",IF(LEN(INDEX('Inspections'!$R$4:$R$503,_calc!$E$99))=0,"",INDEX('Inspections'!$R$4:$R$503,_calc!$E$99)))))</f>
        <v/>
      </c>
      <c r="G97" s="55">
        <f>IF(_calc!$E$99="","",IF(LEN(INDEX('Inspections'!$Q$4:$Q$503,_calc!$E$99))=0,"",INDEX('Inspections'!$Q$4:$Q$503,_calc!$E$99)))</f>
        <v/>
      </c>
      <c r="K97" s="55">
        <f>IF(_calc!$E$99="","",IF(LEN(INDEX('Inspections'!$P$4:$P$503,_calc!$E$99))=0,"",INDEX('Inspections'!$P$4:$P$503,_calc!$E$99)))</f>
        <v/>
      </c>
    </row>
    <row r="98">
      <c r="A98" s="55">
        <f>IF(_calc!$E$100="","",IF(LEN(INDEX('Inspections'!$C$4:$C$503,_calc!$E$100))=0,"",INDEX('Inspections'!$C$4:$C$503,_calc!$E$100))&amp;" – "&amp;IF(LEN(INDEX('Inspections'!$A$4:$A$503,_calc!$E$100))=0,"",INDEX('Inspections'!$A$4:$A$503,_calc!$E$100)))</f>
        <v/>
      </c>
      <c r="B98" s="55">
        <f>IF(_calc!$E$100="","",IF(ISNUMBER(INDEX('Inspections'!$H$4:$H$503,_calc!$E$100)),TEXT(INDEX('Inspections'!$H$4:$H$503,_calc!$E$100),"yyyy-mm-dd"),""))</f>
        <v/>
      </c>
      <c r="C98" s="55">
        <f>IF(_calc!$E$100="","","Inspection")</f>
        <v/>
      </c>
      <c r="D98" s="55">
        <f>IF(_calc!$E$100="","",IF(ISNUMBER(INDEX('Inspections'!$G$4:$G$503,_calc!$E$100)),TEXT(INDEX('Inspections'!$G$4:$G$503,_calc!$E$100),"yyyy-mm-dd"),""))</f>
        <v/>
      </c>
      <c r="F98" s="55">
        <f>IF(_calc!$E$100="","",TRIM(IF(LEN(IF(LEN(INDEX('Inspections'!$B$4:$B$503,_calc!$E$100))=0,"",INDEX('Inspections'!$B$4:$B$503,_calc!$E$100)))=0,"","System: "&amp;IF(LEN(INDEX('Inspections'!$B$4:$B$503,_calc!$E$100))=0,"",INDEX('Inspections'!$B$4:$B$503,_calc!$E$100))&amp;". ")&amp;IF(LEN(IF(LEN(INDEX('Inspections'!$D$4:$D$503,_calc!$E$100))=0,"",INDEX('Inspections'!$D$4:$D$503,_calc!$E$100)))=0,"","Every: "&amp;IF(LEN(INDEX('Inspections'!$D$4:$D$503,_calc!$E$100))=0,"",INDEX('Inspections'!$D$4:$D$503,_calc!$E$100))&amp;". ")&amp;IF(LEN(IF(LEN(INDEX('Inspections'!$E$4:$E$503,_calc!$E$100))=0,"",INDEX('Inspections'!$E$4:$E$503,_calc!$E$100)))=0,"","Unit: "&amp;IF(LEN(INDEX('Inspections'!$E$4:$E$503,_calc!$E$100))=0,"",INDEX('Inspections'!$E$4:$E$503,_calc!$E$100))&amp;". ")&amp;IF(LEN(IF(LEN(INDEX('Inspections'!$F$4:$F$503,_calc!$E$100))=0,"",INDEX('Inspections'!$F$4:$F$503,_calc!$E$100)))=0,"","Done by: "&amp;IF(LEN(INDEX('Inspections'!$F$4:$F$503,_calc!$E$100))=0,"",INDEX('Inspections'!$F$4:$F$503,_calc!$E$100))&amp;". ")&amp;IF(LEN(IF(LEN(INDEX('Inspections'!$M$4:$M$503,_calc!$E$100))=0,"",INDEX('Inspections'!$M$4:$M$503,_calc!$E$100)))=0,"","Source: "&amp;IF(LEN(INDEX('Inspections'!$M$4:$M$503,_calc!$E$100))=0,"",INDEX('Inspections'!$M$4:$M$503,_calc!$E$100))&amp;". ")&amp;IF(LEN(IF(LEN(INDEX('Inspections'!$N$4:$N$503,_calc!$E$100))=0,"",INDEX('Inspections'!$N$4:$N$503,_calc!$E$100)))=0,"","Owner: "&amp;IF(LEN(INDEX('Inspections'!$N$4:$N$503,_calc!$E$100))=0,"",INDEX('Inspections'!$N$4:$N$503,_calc!$E$100))&amp;". ")&amp;IF(LEN(IF(LEN(INDEX('Inspections'!$O$4:$O$503,_calc!$E$100))=0,"",INDEX('Inspections'!$O$4:$O$503,_calc!$E$100)))=0,"","Backup: "&amp;IF(LEN(INDEX('Inspections'!$O$4:$O$503,_calc!$E$100))=0,"",INDEX('Inspections'!$O$4:$O$503,_calc!$E$100))&amp;". ")&amp;IF(LEN(IF(LEN(INDEX('Inspections'!$R$4:$R$503,_calc!$E$100))=0,"",INDEX('Inspections'!$R$4:$R$503,_calc!$E$100)))=0,"",IF(LEN(INDEX('Inspections'!$R$4:$R$503,_calc!$E$100))=0,"",INDEX('Inspections'!$R$4:$R$503,_calc!$E$100)))))</f>
        <v/>
      </c>
      <c r="G98" s="55">
        <f>IF(_calc!$E$100="","",IF(LEN(INDEX('Inspections'!$Q$4:$Q$503,_calc!$E$100))=0,"",INDEX('Inspections'!$Q$4:$Q$503,_calc!$E$100)))</f>
        <v/>
      </c>
      <c r="K98" s="55">
        <f>IF(_calc!$E$100="","",IF(LEN(INDEX('Inspections'!$P$4:$P$503,_calc!$E$100))=0,"",INDEX('Inspections'!$P$4:$P$503,_calc!$E$100)))</f>
        <v/>
      </c>
    </row>
    <row r="99">
      <c r="A99" s="55">
        <f>IF(_calc!$E$101="","",IF(LEN(INDEX('Inspections'!$C$4:$C$503,_calc!$E$101))=0,"",INDEX('Inspections'!$C$4:$C$503,_calc!$E$101))&amp;" – "&amp;IF(LEN(INDEX('Inspections'!$A$4:$A$503,_calc!$E$101))=0,"",INDEX('Inspections'!$A$4:$A$503,_calc!$E$101)))</f>
        <v/>
      </c>
      <c r="B99" s="55">
        <f>IF(_calc!$E$101="","",IF(ISNUMBER(INDEX('Inspections'!$H$4:$H$503,_calc!$E$101)),TEXT(INDEX('Inspections'!$H$4:$H$503,_calc!$E$101),"yyyy-mm-dd"),""))</f>
        <v/>
      </c>
      <c r="C99" s="55">
        <f>IF(_calc!$E$101="","","Inspection")</f>
        <v/>
      </c>
      <c r="D99" s="55">
        <f>IF(_calc!$E$101="","",IF(ISNUMBER(INDEX('Inspections'!$G$4:$G$503,_calc!$E$101)),TEXT(INDEX('Inspections'!$G$4:$G$503,_calc!$E$101),"yyyy-mm-dd"),""))</f>
        <v/>
      </c>
      <c r="F99" s="55">
        <f>IF(_calc!$E$101="","",TRIM(IF(LEN(IF(LEN(INDEX('Inspections'!$B$4:$B$503,_calc!$E$101))=0,"",INDEX('Inspections'!$B$4:$B$503,_calc!$E$101)))=0,"","System: "&amp;IF(LEN(INDEX('Inspections'!$B$4:$B$503,_calc!$E$101))=0,"",INDEX('Inspections'!$B$4:$B$503,_calc!$E$101))&amp;". ")&amp;IF(LEN(IF(LEN(INDEX('Inspections'!$D$4:$D$503,_calc!$E$101))=0,"",INDEX('Inspections'!$D$4:$D$503,_calc!$E$101)))=0,"","Every: "&amp;IF(LEN(INDEX('Inspections'!$D$4:$D$503,_calc!$E$101))=0,"",INDEX('Inspections'!$D$4:$D$503,_calc!$E$101))&amp;". ")&amp;IF(LEN(IF(LEN(INDEX('Inspections'!$E$4:$E$503,_calc!$E$101))=0,"",INDEX('Inspections'!$E$4:$E$503,_calc!$E$101)))=0,"","Unit: "&amp;IF(LEN(INDEX('Inspections'!$E$4:$E$503,_calc!$E$101))=0,"",INDEX('Inspections'!$E$4:$E$503,_calc!$E$101))&amp;". ")&amp;IF(LEN(IF(LEN(INDEX('Inspections'!$F$4:$F$503,_calc!$E$101))=0,"",INDEX('Inspections'!$F$4:$F$503,_calc!$E$101)))=0,"","Done by: "&amp;IF(LEN(INDEX('Inspections'!$F$4:$F$503,_calc!$E$101))=0,"",INDEX('Inspections'!$F$4:$F$503,_calc!$E$101))&amp;". ")&amp;IF(LEN(IF(LEN(INDEX('Inspections'!$M$4:$M$503,_calc!$E$101))=0,"",INDEX('Inspections'!$M$4:$M$503,_calc!$E$101)))=0,"","Source: "&amp;IF(LEN(INDEX('Inspections'!$M$4:$M$503,_calc!$E$101))=0,"",INDEX('Inspections'!$M$4:$M$503,_calc!$E$101))&amp;". ")&amp;IF(LEN(IF(LEN(INDEX('Inspections'!$N$4:$N$503,_calc!$E$101))=0,"",INDEX('Inspections'!$N$4:$N$503,_calc!$E$101)))=0,"","Owner: "&amp;IF(LEN(INDEX('Inspections'!$N$4:$N$503,_calc!$E$101))=0,"",INDEX('Inspections'!$N$4:$N$503,_calc!$E$101))&amp;". ")&amp;IF(LEN(IF(LEN(INDEX('Inspections'!$O$4:$O$503,_calc!$E$101))=0,"",INDEX('Inspections'!$O$4:$O$503,_calc!$E$101)))=0,"","Backup: "&amp;IF(LEN(INDEX('Inspections'!$O$4:$O$503,_calc!$E$101))=0,"",INDEX('Inspections'!$O$4:$O$503,_calc!$E$101))&amp;". ")&amp;IF(LEN(IF(LEN(INDEX('Inspections'!$R$4:$R$503,_calc!$E$101))=0,"",INDEX('Inspections'!$R$4:$R$503,_calc!$E$101)))=0,"",IF(LEN(INDEX('Inspections'!$R$4:$R$503,_calc!$E$101))=0,"",INDEX('Inspections'!$R$4:$R$503,_calc!$E$101)))))</f>
        <v/>
      </c>
      <c r="G99" s="55">
        <f>IF(_calc!$E$101="","",IF(LEN(INDEX('Inspections'!$Q$4:$Q$503,_calc!$E$101))=0,"",INDEX('Inspections'!$Q$4:$Q$503,_calc!$E$101)))</f>
        <v/>
      </c>
      <c r="K99" s="55">
        <f>IF(_calc!$E$101="","",IF(LEN(INDEX('Inspections'!$P$4:$P$503,_calc!$E$101))=0,"",INDEX('Inspections'!$P$4:$P$503,_calc!$E$101)))</f>
        <v/>
      </c>
    </row>
    <row r="100">
      <c r="A100" s="55">
        <f>IF(_calc!$E$102="","",IF(LEN(INDEX('Inspections'!$C$4:$C$503,_calc!$E$102))=0,"",INDEX('Inspections'!$C$4:$C$503,_calc!$E$102))&amp;" – "&amp;IF(LEN(INDEX('Inspections'!$A$4:$A$503,_calc!$E$102))=0,"",INDEX('Inspections'!$A$4:$A$503,_calc!$E$102)))</f>
        <v/>
      </c>
      <c r="B100" s="55">
        <f>IF(_calc!$E$102="","",IF(ISNUMBER(INDEX('Inspections'!$H$4:$H$503,_calc!$E$102)),TEXT(INDEX('Inspections'!$H$4:$H$503,_calc!$E$102),"yyyy-mm-dd"),""))</f>
        <v/>
      </c>
      <c r="C100" s="55">
        <f>IF(_calc!$E$102="","","Inspection")</f>
        <v/>
      </c>
      <c r="D100" s="55">
        <f>IF(_calc!$E$102="","",IF(ISNUMBER(INDEX('Inspections'!$G$4:$G$503,_calc!$E$102)),TEXT(INDEX('Inspections'!$G$4:$G$503,_calc!$E$102),"yyyy-mm-dd"),""))</f>
        <v/>
      </c>
      <c r="F100" s="55">
        <f>IF(_calc!$E$102="","",TRIM(IF(LEN(IF(LEN(INDEX('Inspections'!$B$4:$B$503,_calc!$E$102))=0,"",INDEX('Inspections'!$B$4:$B$503,_calc!$E$102)))=0,"","System: "&amp;IF(LEN(INDEX('Inspections'!$B$4:$B$503,_calc!$E$102))=0,"",INDEX('Inspections'!$B$4:$B$503,_calc!$E$102))&amp;". ")&amp;IF(LEN(IF(LEN(INDEX('Inspections'!$D$4:$D$503,_calc!$E$102))=0,"",INDEX('Inspections'!$D$4:$D$503,_calc!$E$102)))=0,"","Every: "&amp;IF(LEN(INDEX('Inspections'!$D$4:$D$503,_calc!$E$102))=0,"",INDEX('Inspections'!$D$4:$D$503,_calc!$E$102))&amp;". ")&amp;IF(LEN(IF(LEN(INDEX('Inspections'!$E$4:$E$503,_calc!$E$102))=0,"",INDEX('Inspections'!$E$4:$E$503,_calc!$E$102)))=0,"","Unit: "&amp;IF(LEN(INDEX('Inspections'!$E$4:$E$503,_calc!$E$102))=0,"",INDEX('Inspections'!$E$4:$E$503,_calc!$E$102))&amp;". ")&amp;IF(LEN(IF(LEN(INDEX('Inspections'!$F$4:$F$503,_calc!$E$102))=0,"",INDEX('Inspections'!$F$4:$F$503,_calc!$E$102)))=0,"","Done by: "&amp;IF(LEN(INDEX('Inspections'!$F$4:$F$503,_calc!$E$102))=0,"",INDEX('Inspections'!$F$4:$F$503,_calc!$E$102))&amp;". ")&amp;IF(LEN(IF(LEN(INDEX('Inspections'!$M$4:$M$503,_calc!$E$102))=0,"",INDEX('Inspections'!$M$4:$M$503,_calc!$E$102)))=0,"","Source: "&amp;IF(LEN(INDEX('Inspections'!$M$4:$M$503,_calc!$E$102))=0,"",INDEX('Inspections'!$M$4:$M$503,_calc!$E$102))&amp;". ")&amp;IF(LEN(IF(LEN(INDEX('Inspections'!$N$4:$N$503,_calc!$E$102))=0,"",INDEX('Inspections'!$N$4:$N$503,_calc!$E$102)))=0,"","Owner: "&amp;IF(LEN(INDEX('Inspections'!$N$4:$N$503,_calc!$E$102))=0,"",INDEX('Inspections'!$N$4:$N$503,_calc!$E$102))&amp;". ")&amp;IF(LEN(IF(LEN(INDEX('Inspections'!$O$4:$O$503,_calc!$E$102))=0,"",INDEX('Inspections'!$O$4:$O$503,_calc!$E$102)))=0,"","Backup: "&amp;IF(LEN(INDEX('Inspections'!$O$4:$O$503,_calc!$E$102))=0,"",INDEX('Inspections'!$O$4:$O$503,_calc!$E$102))&amp;". ")&amp;IF(LEN(IF(LEN(INDEX('Inspections'!$R$4:$R$503,_calc!$E$102))=0,"",INDEX('Inspections'!$R$4:$R$503,_calc!$E$102)))=0,"",IF(LEN(INDEX('Inspections'!$R$4:$R$503,_calc!$E$102))=0,"",INDEX('Inspections'!$R$4:$R$503,_calc!$E$102)))))</f>
        <v/>
      </c>
      <c r="G100" s="55">
        <f>IF(_calc!$E$102="","",IF(LEN(INDEX('Inspections'!$Q$4:$Q$503,_calc!$E$102))=0,"",INDEX('Inspections'!$Q$4:$Q$503,_calc!$E$102)))</f>
        <v/>
      </c>
      <c r="K100" s="55">
        <f>IF(_calc!$E$102="","",IF(LEN(INDEX('Inspections'!$P$4:$P$503,_calc!$E$102))=0,"",INDEX('Inspections'!$P$4:$P$503,_calc!$E$102)))</f>
        <v/>
      </c>
    </row>
    <row r="101">
      <c r="A101" s="55">
        <f>IF(_calc!$E$103="","",IF(LEN(INDEX('Inspections'!$C$4:$C$503,_calc!$E$103))=0,"",INDEX('Inspections'!$C$4:$C$503,_calc!$E$103))&amp;" – "&amp;IF(LEN(INDEX('Inspections'!$A$4:$A$503,_calc!$E$103))=0,"",INDEX('Inspections'!$A$4:$A$503,_calc!$E$103)))</f>
        <v/>
      </c>
      <c r="B101" s="55">
        <f>IF(_calc!$E$103="","",IF(ISNUMBER(INDEX('Inspections'!$H$4:$H$503,_calc!$E$103)),TEXT(INDEX('Inspections'!$H$4:$H$503,_calc!$E$103),"yyyy-mm-dd"),""))</f>
        <v/>
      </c>
      <c r="C101" s="55">
        <f>IF(_calc!$E$103="","","Inspection")</f>
        <v/>
      </c>
      <c r="D101" s="55">
        <f>IF(_calc!$E$103="","",IF(ISNUMBER(INDEX('Inspections'!$G$4:$G$503,_calc!$E$103)),TEXT(INDEX('Inspections'!$G$4:$G$503,_calc!$E$103),"yyyy-mm-dd"),""))</f>
        <v/>
      </c>
      <c r="F101" s="55">
        <f>IF(_calc!$E$103="","",TRIM(IF(LEN(IF(LEN(INDEX('Inspections'!$B$4:$B$503,_calc!$E$103))=0,"",INDEX('Inspections'!$B$4:$B$503,_calc!$E$103)))=0,"","System: "&amp;IF(LEN(INDEX('Inspections'!$B$4:$B$503,_calc!$E$103))=0,"",INDEX('Inspections'!$B$4:$B$503,_calc!$E$103))&amp;". ")&amp;IF(LEN(IF(LEN(INDEX('Inspections'!$D$4:$D$503,_calc!$E$103))=0,"",INDEX('Inspections'!$D$4:$D$503,_calc!$E$103)))=0,"","Every: "&amp;IF(LEN(INDEX('Inspections'!$D$4:$D$503,_calc!$E$103))=0,"",INDEX('Inspections'!$D$4:$D$503,_calc!$E$103))&amp;". ")&amp;IF(LEN(IF(LEN(INDEX('Inspections'!$E$4:$E$503,_calc!$E$103))=0,"",INDEX('Inspections'!$E$4:$E$503,_calc!$E$103)))=0,"","Unit: "&amp;IF(LEN(INDEX('Inspections'!$E$4:$E$503,_calc!$E$103))=0,"",INDEX('Inspections'!$E$4:$E$503,_calc!$E$103))&amp;". ")&amp;IF(LEN(IF(LEN(INDEX('Inspections'!$F$4:$F$503,_calc!$E$103))=0,"",INDEX('Inspections'!$F$4:$F$503,_calc!$E$103)))=0,"","Done by: "&amp;IF(LEN(INDEX('Inspections'!$F$4:$F$503,_calc!$E$103))=0,"",INDEX('Inspections'!$F$4:$F$503,_calc!$E$103))&amp;". ")&amp;IF(LEN(IF(LEN(INDEX('Inspections'!$M$4:$M$503,_calc!$E$103))=0,"",INDEX('Inspections'!$M$4:$M$503,_calc!$E$103)))=0,"","Source: "&amp;IF(LEN(INDEX('Inspections'!$M$4:$M$503,_calc!$E$103))=0,"",INDEX('Inspections'!$M$4:$M$503,_calc!$E$103))&amp;". ")&amp;IF(LEN(IF(LEN(INDEX('Inspections'!$N$4:$N$503,_calc!$E$103))=0,"",INDEX('Inspections'!$N$4:$N$503,_calc!$E$103)))=0,"","Owner: "&amp;IF(LEN(INDEX('Inspections'!$N$4:$N$503,_calc!$E$103))=0,"",INDEX('Inspections'!$N$4:$N$503,_calc!$E$103))&amp;". ")&amp;IF(LEN(IF(LEN(INDEX('Inspections'!$O$4:$O$503,_calc!$E$103))=0,"",INDEX('Inspections'!$O$4:$O$503,_calc!$E$103)))=0,"","Backup: "&amp;IF(LEN(INDEX('Inspections'!$O$4:$O$503,_calc!$E$103))=0,"",INDEX('Inspections'!$O$4:$O$503,_calc!$E$103))&amp;". ")&amp;IF(LEN(IF(LEN(INDEX('Inspections'!$R$4:$R$503,_calc!$E$103))=0,"",INDEX('Inspections'!$R$4:$R$503,_calc!$E$103)))=0,"",IF(LEN(INDEX('Inspections'!$R$4:$R$503,_calc!$E$103))=0,"",INDEX('Inspections'!$R$4:$R$503,_calc!$E$103)))))</f>
        <v/>
      </c>
      <c r="G101" s="55">
        <f>IF(_calc!$E$103="","",IF(LEN(INDEX('Inspections'!$Q$4:$Q$503,_calc!$E$103))=0,"",INDEX('Inspections'!$Q$4:$Q$503,_calc!$E$103)))</f>
        <v/>
      </c>
      <c r="K101" s="55">
        <f>IF(_calc!$E$103="","",IF(LEN(INDEX('Inspections'!$P$4:$P$503,_calc!$E$103))=0,"",INDEX('Inspections'!$P$4:$P$503,_calc!$E$103)))</f>
        <v/>
      </c>
    </row>
    <row r="102">
      <c r="A102" s="55">
        <f>IF(_calc!$E$104="","",IF(LEN(INDEX('Inspections'!$C$4:$C$503,_calc!$E$104))=0,"",INDEX('Inspections'!$C$4:$C$503,_calc!$E$104))&amp;" – "&amp;IF(LEN(INDEX('Inspections'!$A$4:$A$503,_calc!$E$104))=0,"",INDEX('Inspections'!$A$4:$A$503,_calc!$E$104)))</f>
        <v/>
      </c>
      <c r="B102" s="55">
        <f>IF(_calc!$E$104="","",IF(ISNUMBER(INDEX('Inspections'!$H$4:$H$503,_calc!$E$104)),TEXT(INDEX('Inspections'!$H$4:$H$503,_calc!$E$104),"yyyy-mm-dd"),""))</f>
        <v/>
      </c>
      <c r="C102" s="55">
        <f>IF(_calc!$E$104="","","Inspection")</f>
        <v/>
      </c>
      <c r="D102" s="55">
        <f>IF(_calc!$E$104="","",IF(ISNUMBER(INDEX('Inspections'!$G$4:$G$503,_calc!$E$104)),TEXT(INDEX('Inspections'!$G$4:$G$503,_calc!$E$104),"yyyy-mm-dd"),""))</f>
        <v/>
      </c>
      <c r="F102" s="55">
        <f>IF(_calc!$E$104="","",TRIM(IF(LEN(IF(LEN(INDEX('Inspections'!$B$4:$B$503,_calc!$E$104))=0,"",INDEX('Inspections'!$B$4:$B$503,_calc!$E$104)))=0,"","System: "&amp;IF(LEN(INDEX('Inspections'!$B$4:$B$503,_calc!$E$104))=0,"",INDEX('Inspections'!$B$4:$B$503,_calc!$E$104))&amp;". ")&amp;IF(LEN(IF(LEN(INDEX('Inspections'!$D$4:$D$503,_calc!$E$104))=0,"",INDEX('Inspections'!$D$4:$D$503,_calc!$E$104)))=0,"","Every: "&amp;IF(LEN(INDEX('Inspections'!$D$4:$D$503,_calc!$E$104))=0,"",INDEX('Inspections'!$D$4:$D$503,_calc!$E$104))&amp;". ")&amp;IF(LEN(IF(LEN(INDEX('Inspections'!$E$4:$E$503,_calc!$E$104))=0,"",INDEX('Inspections'!$E$4:$E$503,_calc!$E$104)))=0,"","Unit: "&amp;IF(LEN(INDEX('Inspections'!$E$4:$E$503,_calc!$E$104))=0,"",INDEX('Inspections'!$E$4:$E$503,_calc!$E$104))&amp;". ")&amp;IF(LEN(IF(LEN(INDEX('Inspections'!$F$4:$F$503,_calc!$E$104))=0,"",INDEX('Inspections'!$F$4:$F$503,_calc!$E$104)))=0,"","Done by: "&amp;IF(LEN(INDEX('Inspections'!$F$4:$F$503,_calc!$E$104))=0,"",INDEX('Inspections'!$F$4:$F$503,_calc!$E$104))&amp;". ")&amp;IF(LEN(IF(LEN(INDEX('Inspections'!$M$4:$M$503,_calc!$E$104))=0,"",INDEX('Inspections'!$M$4:$M$503,_calc!$E$104)))=0,"","Source: "&amp;IF(LEN(INDEX('Inspections'!$M$4:$M$503,_calc!$E$104))=0,"",INDEX('Inspections'!$M$4:$M$503,_calc!$E$104))&amp;". ")&amp;IF(LEN(IF(LEN(INDEX('Inspections'!$N$4:$N$503,_calc!$E$104))=0,"",INDEX('Inspections'!$N$4:$N$503,_calc!$E$104)))=0,"","Owner: "&amp;IF(LEN(INDEX('Inspections'!$N$4:$N$503,_calc!$E$104))=0,"",INDEX('Inspections'!$N$4:$N$503,_calc!$E$104))&amp;". ")&amp;IF(LEN(IF(LEN(INDEX('Inspections'!$O$4:$O$503,_calc!$E$104))=0,"",INDEX('Inspections'!$O$4:$O$503,_calc!$E$104)))=0,"","Backup: "&amp;IF(LEN(INDEX('Inspections'!$O$4:$O$503,_calc!$E$104))=0,"",INDEX('Inspections'!$O$4:$O$503,_calc!$E$104))&amp;". ")&amp;IF(LEN(IF(LEN(INDEX('Inspections'!$R$4:$R$503,_calc!$E$104))=0,"",INDEX('Inspections'!$R$4:$R$503,_calc!$E$104)))=0,"",IF(LEN(INDEX('Inspections'!$R$4:$R$503,_calc!$E$104))=0,"",INDEX('Inspections'!$R$4:$R$503,_calc!$E$104)))))</f>
        <v/>
      </c>
      <c r="G102" s="55">
        <f>IF(_calc!$E$104="","",IF(LEN(INDEX('Inspections'!$Q$4:$Q$503,_calc!$E$104))=0,"",INDEX('Inspections'!$Q$4:$Q$503,_calc!$E$104)))</f>
        <v/>
      </c>
      <c r="K102" s="55">
        <f>IF(_calc!$E$104="","",IF(LEN(INDEX('Inspections'!$P$4:$P$503,_calc!$E$104))=0,"",INDEX('Inspections'!$P$4:$P$503,_calc!$E$104)))</f>
        <v/>
      </c>
    </row>
    <row r="103">
      <c r="A103" s="55">
        <f>IF(_calc!$E$105="","",IF(LEN(INDEX('Inspections'!$C$4:$C$503,_calc!$E$105))=0,"",INDEX('Inspections'!$C$4:$C$503,_calc!$E$105))&amp;" – "&amp;IF(LEN(INDEX('Inspections'!$A$4:$A$503,_calc!$E$105))=0,"",INDEX('Inspections'!$A$4:$A$503,_calc!$E$105)))</f>
        <v/>
      </c>
      <c r="B103" s="55">
        <f>IF(_calc!$E$105="","",IF(ISNUMBER(INDEX('Inspections'!$H$4:$H$503,_calc!$E$105)),TEXT(INDEX('Inspections'!$H$4:$H$503,_calc!$E$105),"yyyy-mm-dd"),""))</f>
        <v/>
      </c>
      <c r="C103" s="55">
        <f>IF(_calc!$E$105="","","Inspection")</f>
        <v/>
      </c>
      <c r="D103" s="55">
        <f>IF(_calc!$E$105="","",IF(ISNUMBER(INDEX('Inspections'!$G$4:$G$503,_calc!$E$105)),TEXT(INDEX('Inspections'!$G$4:$G$503,_calc!$E$105),"yyyy-mm-dd"),""))</f>
        <v/>
      </c>
      <c r="F103" s="55">
        <f>IF(_calc!$E$105="","",TRIM(IF(LEN(IF(LEN(INDEX('Inspections'!$B$4:$B$503,_calc!$E$105))=0,"",INDEX('Inspections'!$B$4:$B$503,_calc!$E$105)))=0,"","System: "&amp;IF(LEN(INDEX('Inspections'!$B$4:$B$503,_calc!$E$105))=0,"",INDEX('Inspections'!$B$4:$B$503,_calc!$E$105))&amp;". ")&amp;IF(LEN(IF(LEN(INDEX('Inspections'!$D$4:$D$503,_calc!$E$105))=0,"",INDEX('Inspections'!$D$4:$D$503,_calc!$E$105)))=0,"","Every: "&amp;IF(LEN(INDEX('Inspections'!$D$4:$D$503,_calc!$E$105))=0,"",INDEX('Inspections'!$D$4:$D$503,_calc!$E$105))&amp;". ")&amp;IF(LEN(IF(LEN(INDEX('Inspections'!$E$4:$E$503,_calc!$E$105))=0,"",INDEX('Inspections'!$E$4:$E$503,_calc!$E$105)))=0,"","Unit: "&amp;IF(LEN(INDEX('Inspections'!$E$4:$E$503,_calc!$E$105))=0,"",INDEX('Inspections'!$E$4:$E$503,_calc!$E$105))&amp;". ")&amp;IF(LEN(IF(LEN(INDEX('Inspections'!$F$4:$F$503,_calc!$E$105))=0,"",INDEX('Inspections'!$F$4:$F$503,_calc!$E$105)))=0,"","Done by: "&amp;IF(LEN(INDEX('Inspections'!$F$4:$F$503,_calc!$E$105))=0,"",INDEX('Inspections'!$F$4:$F$503,_calc!$E$105))&amp;". ")&amp;IF(LEN(IF(LEN(INDEX('Inspections'!$M$4:$M$503,_calc!$E$105))=0,"",INDEX('Inspections'!$M$4:$M$503,_calc!$E$105)))=0,"","Source: "&amp;IF(LEN(INDEX('Inspections'!$M$4:$M$503,_calc!$E$105))=0,"",INDEX('Inspections'!$M$4:$M$503,_calc!$E$105))&amp;". ")&amp;IF(LEN(IF(LEN(INDEX('Inspections'!$N$4:$N$503,_calc!$E$105))=0,"",INDEX('Inspections'!$N$4:$N$503,_calc!$E$105)))=0,"","Owner: "&amp;IF(LEN(INDEX('Inspections'!$N$4:$N$503,_calc!$E$105))=0,"",INDEX('Inspections'!$N$4:$N$503,_calc!$E$105))&amp;". ")&amp;IF(LEN(IF(LEN(INDEX('Inspections'!$O$4:$O$503,_calc!$E$105))=0,"",INDEX('Inspections'!$O$4:$O$503,_calc!$E$105)))=0,"","Backup: "&amp;IF(LEN(INDEX('Inspections'!$O$4:$O$503,_calc!$E$105))=0,"",INDEX('Inspections'!$O$4:$O$503,_calc!$E$105))&amp;". ")&amp;IF(LEN(IF(LEN(INDEX('Inspections'!$R$4:$R$503,_calc!$E$105))=0,"",INDEX('Inspections'!$R$4:$R$503,_calc!$E$105)))=0,"",IF(LEN(INDEX('Inspections'!$R$4:$R$503,_calc!$E$105))=0,"",INDEX('Inspections'!$R$4:$R$503,_calc!$E$105)))))</f>
        <v/>
      </c>
      <c r="G103" s="55">
        <f>IF(_calc!$E$105="","",IF(LEN(INDEX('Inspections'!$Q$4:$Q$503,_calc!$E$105))=0,"",INDEX('Inspections'!$Q$4:$Q$503,_calc!$E$105)))</f>
        <v/>
      </c>
      <c r="K103" s="55">
        <f>IF(_calc!$E$105="","",IF(LEN(INDEX('Inspections'!$P$4:$P$503,_calc!$E$105))=0,"",INDEX('Inspections'!$P$4:$P$503,_calc!$E$105)))</f>
        <v/>
      </c>
    </row>
    <row r="104">
      <c r="A104" s="55">
        <f>IF(_calc!$E$106="","",IF(LEN(INDEX('Inspections'!$C$4:$C$503,_calc!$E$106))=0,"",INDEX('Inspections'!$C$4:$C$503,_calc!$E$106))&amp;" – "&amp;IF(LEN(INDEX('Inspections'!$A$4:$A$503,_calc!$E$106))=0,"",INDEX('Inspections'!$A$4:$A$503,_calc!$E$106)))</f>
        <v/>
      </c>
      <c r="B104" s="55">
        <f>IF(_calc!$E$106="","",IF(ISNUMBER(INDEX('Inspections'!$H$4:$H$503,_calc!$E$106)),TEXT(INDEX('Inspections'!$H$4:$H$503,_calc!$E$106),"yyyy-mm-dd"),""))</f>
        <v/>
      </c>
      <c r="C104" s="55">
        <f>IF(_calc!$E$106="","","Inspection")</f>
        <v/>
      </c>
      <c r="D104" s="55">
        <f>IF(_calc!$E$106="","",IF(ISNUMBER(INDEX('Inspections'!$G$4:$G$503,_calc!$E$106)),TEXT(INDEX('Inspections'!$G$4:$G$503,_calc!$E$106),"yyyy-mm-dd"),""))</f>
        <v/>
      </c>
      <c r="F104" s="55">
        <f>IF(_calc!$E$106="","",TRIM(IF(LEN(IF(LEN(INDEX('Inspections'!$B$4:$B$503,_calc!$E$106))=0,"",INDEX('Inspections'!$B$4:$B$503,_calc!$E$106)))=0,"","System: "&amp;IF(LEN(INDEX('Inspections'!$B$4:$B$503,_calc!$E$106))=0,"",INDEX('Inspections'!$B$4:$B$503,_calc!$E$106))&amp;". ")&amp;IF(LEN(IF(LEN(INDEX('Inspections'!$D$4:$D$503,_calc!$E$106))=0,"",INDEX('Inspections'!$D$4:$D$503,_calc!$E$106)))=0,"","Every: "&amp;IF(LEN(INDEX('Inspections'!$D$4:$D$503,_calc!$E$106))=0,"",INDEX('Inspections'!$D$4:$D$503,_calc!$E$106))&amp;". ")&amp;IF(LEN(IF(LEN(INDEX('Inspections'!$E$4:$E$503,_calc!$E$106))=0,"",INDEX('Inspections'!$E$4:$E$503,_calc!$E$106)))=0,"","Unit: "&amp;IF(LEN(INDEX('Inspections'!$E$4:$E$503,_calc!$E$106))=0,"",INDEX('Inspections'!$E$4:$E$503,_calc!$E$106))&amp;". ")&amp;IF(LEN(IF(LEN(INDEX('Inspections'!$F$4:$F$503,_calc!$E$106))=0,"",INDEX('Inspections'!$F$4:$F$503,_calc!$E$106)))=0,"","Done by: "&amp;IF(LEN(INDEX('Inspections'!$F$4:$F$503,_calc!$E$106))=0,"",INDEX('Inspections'!$F$4:$F$503,_calc!$E$106))&amp;". ")&amp;IF(LEN(IF(LEN(INDEX('Inspections'!$M$4:$M$503,_calc!$E$106))=0,"",INDEX('Inspections'!$M$4:$M$503,_calc!$E$106)))=0,"","Source: "&amp;IF(LEN(INDEX('Inspections'!$M$4:$M$503,_calc!$E$106))=0,"",INDEX('Inspections'!$M$4:$M$503,_calc!$E$106))&amp;". ")&amp;IF(LEN(IF(LEN(INDEX('Inspections'!$N$4:$N$503,_calc!$E$106))=0,"",INDEX('Inspections'!$N$4:$N$503,_calc!$E$106)))=0,"","Owner: "&amp;IF(LEN(INDEX('Inspections'!$N$4:$N$503,_calc!$E$106))=0,"",INDEX('Inspections'!$N$4:$N$503,_calc!$E$106))&amp;". ")&amp;IF(LEN(IF(LEN(INDEX('Inspections'!$O$4:$O$503,_calc!$E$106))=0,"",INDEX('Inspections'!$O$4:$O$503,_calc!$E$106)))=0,"","Backup: "&amp;IF(LEN(INDEX('Inspections'!$O$4:$O$503,_calc!$E$106))=0,"",INDEX('Inspections'!$O$4:$O$503,_calc!$E$106))&amp;". ")&amp;IF(LEN(IF(LEN(INDEX('Inspections'!$R$4:$R$503,_calc!$E$106))=0,"",INDEX('Inspections'!$R$4:$R$503,_calc!$E$106)))=0,"",IF(LEN(INDEX('Inspections'!$R$4:$R$503,_calc!$E$106))=0,"",INDEX('Inspections'!$R$4:$R$503,_calc!$E$106)))))</f>
        <v/>
      </c>
      <c r="G104" s="55">
        <f>IF(_calc!$E$106="","",IF(LEN(INDEX('Inspections'!$Q$4:$Q$503,_calc!$E$106))=0,"",INDEX('Inspections'!$Q$4:$Q$503,_calc!$E$106)))</f>
        <v/>
      </c>
      <c r="K104" s="55">
        <f>IF(_calc!$E$106="","",IF(LEN(INDEX('Inspections'!$P$4:$P$503,_calc!$E$106))=0,"",INDEX('Inspections'!$P$4:$P$503,_calc!$E$106)))</f>
        <v/>
      </c>
    </row>
    <row r="105">
      <c r="A105" s="55">
        <f>IF(_calc!$E$107="","",IF(LEN(INDEX('Inspections'!$C$4:$C$503,_calc!$E$107))=0,"",INDEX('Inspections'!$C$4:$C$503,_calc!$E$107))&amp;" – "&amp;IF(LEN(INDEX('Inspections'!$A$4:$A$503,_calc!$E$107))=0,"",INDEX('Inspections'!$A$4:$A$503,_calc!$E$107)))</f>
        <v/>
      </c>
      <c r="B105" s="55">
        <f>IF(_calc!$E$107="","",IF(ISNUMBER(INDEX('Inspections'!$H$4:$H$503,_calc!$E$107)),TEXT(INDEX('Inspections'!$H$4:$H$503,_calc!$E$107),"yyyy-mm-dd"),""))</f>
        <v/>
      </c>
      <c r="C105" s="55">
        <f>IF(_calc!$E$107="","","Inspection")</f>
        <v/>
      </c>
      <c r="D105" s="55">
        <f>IF(_calc!$E$107="","",IF(ISNUMBER(INDEX('Inspections'!$G$4:$G$503,_calc!$E$107)),TEXT(INDEX('Inspections'!$G$4:$G$503,_calc!$E$107),"yyyy-mm-dd"),""))</f>
        <v/>
      </c>
      <c r="F105" s="55">
        <f>IF(_calc!$E$107="","",TRIM(IF(LEN(IF(LEN(INDEX('Inspections'!$B$4:$B$503,_calc!$E$107))=0,"",INDEX('Inspections'!$B$4:$B$503,_calc!$E$107)))=0,"","System: "&amp;IF(LEN(INDEX('Inspections'!$B$4:$B$503,_calc!$E$107))=0,"",INDEX('Inspections'!$B$4:$B$503,_calc!$E$107))&amp;". ")&amp;IF(LEN(IF(LEN(INDEX('Inspections'!$D$4:$D$503,_calc!$E$107))=0,"",INDEX('Inspections'!$D$4:$D$503,_calc!$E$107)))=0,"","Every: "&amp;IF(LEN(INDEX('Inspections'!$D$4:$D$503,_calc!$E$107))=0,"",INDEX('Inspections'!$D$4:$D$503,_calc!$E$107))&amp;". ")&amp;IF(LEN(IF(LEN(INDEX('Inspections'!$E$4:$E$503,_calc!$E$107))=0,"",INDEX('Inspections'!$E$4:$E$503,_calc!$E$107)))=0,"","Unit: "&amp;IF(LEN(INDEX('Inspections'!$E$4:$E$503,_calc!$E$107))=0,"",INDEX('Inspections'!$E$4:$E$503,_calc!$E$107))&amp;". ")&amp;IF(LEN(IF(LEN(INDEX('Inspections'!$F$4:$F$503,_calc!$E$107))=0,"",INDEX('Inspections'!$F$4:$F$503,_calc!$E$107)))=0,"","Done by: "&amp;IF(LEN(INDEX('Inspections'!$F$4:$F$503,_calc!$E$107))=0,"",INDEX('Inspections'!$F$4:$F$503,_calc!$E$107))&amp;". ")&amp;IF(LEN(IF(LEN(INDEX('Inspections'!$M$4:$M$503,_calc!$E$107))=0,"",INDEX('Inspections'!$M$4:$M$503,_calc!$E$107)))=0,"","Source: "&amp;IF(LEN(INDEX('Inspections'!$M$4:$M$503,_calc!$E$107))=0,"",INDEX('Inspections'!$M$4:$M$503,_calc!$E$107))&amp;". ")&amp;IF(LEN(IF(LEN(INDEX('Inspections'!$N$4:$N$503,_calc!$E$107))=0,"",INDEX('Inspections'!$N$4:$N$503,_calc!$E$107)))=0,"","Owner: "&amp;IF(LEN(INDEX('Inspections'!$N$4:$N$503,_calc!$E$107))=0,"",INDEX('Inspections'!$N$4:$N$503,_calc!$E$107))&amp;". ")&amp;IF(LEN(IF(LEN(INDEX('Inspections'!$O$4:$O$503,_calc!$E$107))=0,"",INDEX('Inspections'!$O$4:$O$503,_calc!$E$107)))=0,"","Backup: "&amp;IF(LEN(INDEX('Inspections'!$O$4:$O$503,_calc!$E$107))=0,"",INDEX('Inspections'!$O$4:$O$503,_calc!$E$107))&amp;". ")&amp;IF(LEN(IF(LEN(INDEX('Inspections'!$R$4:$R$503,_calc!$E$107))=0,"",INDEX('Inspections'!$R$4:$R$503,_calc!$E$107)))=0,"",IF(LEN(INDEX('Inspections'!$R$4:$R$503,_calc!$E$107))=0,"",INDEX('Inspections'!$R$4:$R$503,_calc!$E$107)))))</f>
        <v/>
      </c>
      <c r="G105" s="55">
        <f>IF(_calc!$E$107="","",IF(LEN(INDEX('Inspections'!$Q$4:$Q$503,_calc!$E$107))=0,"",INDEX('Inspections'!$Q$4:$Q$503,_calc!$E$107)))</f>
        <v/>
      </c>
      <c r="K105" s="55">
        <f>IF(_calc!$E$107="","",IF(LEN(INDEX('Inspections'!$P$4:$P$503,_calc!$E$107))=0,"",INDEX('Inspections'!$P$4:$P$503,_calc!$E$107)))</f>
        <v/>
      </c>
    </row>
    <row r="106">
      <c r="A106" s="55">
        <f>IF(_calc!$E$108="","",IF(LEN(INDEX('Inspections'!$C$4:$C$503,_calc!$E$108))=0,"",INDEX('Inspections'!$C$4:$C$503,_calc!$E$108))&amp;" – "&amp;IF(LEN(INDEX('Inspections'!$A$4:$A$503,_calc!$E$108))=0,"",INDEX('Inspections'!$A$4:$A$503,_calc!$E$108)))</f>
        <v/>
      </c>
      <c r="B106" s="55">
        <f>IF(_calc!$E$108="","",IF(ISNUMBER(INDEX('Inspections'!$H$4:$H$503,_calc!$E$108)),TEXT(INDEX('Inspections'!$H$4:$H$503,_calc!$E$108),"yyyy-mm-dd"),""))</f>
        <v/>
      </c>
      <c r="C106" s="55">
        <f>IF(_calc!$E$108="","","Inspection")</f>
        <v/>
      </c>
      <c r="D106" s="55">
        <f>IF(_calc!$E$108="","",IF(ISNUMBER(INDEX('Inspections'!$G$4:$G$503,_calc!$E$108)),TEXT(INDEX('Inspections'!$G$4:$G$503,_calc!$E$108),"yyyy-mm-dd"),""))</f>
        <v/>
      </c>
      <c r="F106" s="55">
        <f>IF(_calc!$E$108="","",TRIM(IF(LEN(IF(LEN(INDEX('Inspections'!$B$4:$B$503,_calc!$E$108))=0,"",INDEX('Inspections'!$B$4:$B$503,_calc!$E$108)))=0,"","System: "&amp;IF(LEN(INDEX('Inspections'!$B$4:$B$503,_calc!$E$108))=0,"",INDEX('Inspections'!$B$4:$B$503,_calc!$E$108))&amp;". ")&amp;IF(LEN(IF(LEN(INDEX('Inspections'!$D$4:$D$503,_calc!$E$108))=0,"",INDEX('Inspections'!$D$4:$D$503,_calc!$E$108)))=0,"","Every: "&amp;IF(LEN(INDEX('Inspections'!$D$4:$D$503,_calc!$E$108))=0,"",INDEX('Inspections'!$D$4:$D$503,_calc!$E$108))&amp;". ")&amp;IF(LEN(IF(LEN(INDEX('Inspections'!$E$4:$E$503,_calc!$E$108))=0,"",INDEX('Inspections'!$E$4:$E$503,_calc!$E$108)))=0,"","Unit: "&amp;IF(LEN(INDEX('Inspections'!$E$4:$E$503,_calc!$E$108))=0,"",INDEX('Inspections'!$E$4:$E$503,_calc!$E$108))&amp;". ")&amp;IF(LEN(IF(LEN(INDEX('Inspections'!$F$4:$F$503,_calc!$E$108))=0,"",INDEX('Inspections'!$F$4:$F$503,_calc!$E$108)))=0,"","Done by: "&amp;IF(LEN(INDEX('Inspections'!$F$4:$F$503,_calc!$E$108))=0,"",INDEX('Inspections'!$F$4:$F$503,_calc!$E$108))&amp;". ")&amp;IF(LEN(IF(LEN(INDEX('Inspections'!$M$4:$M$503,_calc!$E$108))=0,"",INDEX('Inspections'!$M$4:$M$503,_calc!$E$108)))=0,"","Source: "&amp;IF(LEN(INDEX('Inspections'!$M$4:$M$503,_calc!$E$108))=0,"",INDEX('Inspections'!$M$4:$M$503,_calc!$E$108))&amp;". ")&amp;IF(LEN(IF(LEN(INDEX('Inspections'!$N$4:$N$503,_calc!$E$108))=0,"",INDEX('Inspections'!$N$4:$N$503,_calc!$E$108)))=0,"","Owner: "&amp;IF(LEN(INDEX('Inspections'!$N$4:$N$503,_calc!$E$108))=0,"",INDEX('Inspections'!$N$4:$N$503,_calc!$E$108))&amp;". ")&amp;IF(LEN(IF(LEN(INDEX('Inspections'!$O$4:$O$503,_calc!$E$108))=0,"",INDEX('Inspections'!$O$4:$O$503,_calc!$E$108)))=0,"","Backup: "&amp;IF(LEN(INDEX('Inspections'!$O$4:$O$503,_calc!$E$108))=0,"",INDEX('Inspections'!$O$4:$O$503,_calc!$E$108))&amp;". ")&amp;IF(LEN(IF(LEN(INDEX('Inspections'!$R$4:$R$503,_calc!$E$108))=0,"",INDEX('Inspections'!$R$4:$R$503,_calc!$E$108)))=0,"",IF(LEN(INDEX('Inspections'!$R$4:$R$503,_calc!$E$108))=0,"",INDEX('Inspections'!$R$4:$R$503,_calc!$E$108)))))</f>
        <v/>
      </c>
      <c r="G106" s="55">
        <f>IF(_calc!$E$108="","",IF(LEN(INDEX('Inspections'!$Q$4:$Q$503,_calc!$E$108))=0,"",INDEX('Inspections'!$Q$4:$Q$503,_calc!$E$108)))</f>
        <v/>
      </c>
      <c r="K106" s="55">
        <f>IF(_calc!$E$108="","",IF(LEN(INDEX('Inspections'!$P$4:$P$503,_calc!$E$108))=0,"",INDEX('Inspections'!$P$4:$P$503,_calc!$E$108)))</f>
        <v/>
      </c>
    </row>
    <row r="107">
      <c r="A107" s="55">
        <f>IF(_calc!$E$109="","",IF(LEN(INDEX('Inspections'!$C$4:$C$503,_calc!$E$109))=0,"",INDEX('Inspections'!$C$4:$C$503,_calc!$E$109))&amp;" – "&amp;IF(LEN(INDEX('Inspections'!$A$4:$A$503,_calc!$E$109))=0,"",INDEX('Inspections'!$A$4:$A$503,_calc!$E$109)))</f>
        <v/>
      </c>
      <c r="B107" s="55">
        <f>IF(_calc!$E$109="","",IF(ISNUMBER(INDEX('Inspections'!$H$4:$H$503,_calc!$E$109)),TEXT(INDEX('Inspections'!$H$4:$H$503,_calc!$E$109),"yyyy-mm-dd"),""))</f>
        <v/>
      </c>
      <c r="C107" s="55">
        <f>IF(_calc!$E$109="","","Inspection")</f>
        <v/>
      </c>
      <c r="D107" s="55">
        <f>IF(_calc!$E$109="","",IF(ISNUMBER(INDEX('Inspections'!$G$4:$G$503,_calc!$E$109)),TEXT(INDEX('Inspections'!$G$4:$G$503,_calc!$E$109),"yyyy-mm-dd"),""))</f>
        <v/>
      </c>
      <c r="F107" s="55">
        <f>IF(_calc!$E$109="","",TRIM(IF(LEN(IF(LEN(INDEX('Inspections'!$B$4:$B$503,_calc!$E$109))=0,"",INDEX('Inspections'!$B$4:$B$503,_calc!$E$109)))=0,"","System: "&amp;IF(LEN(INDEX('Inspections'!$B$4:$B$503,_calc!$E$109))=0,"",INDEX('Inspections'!$B$4:$B$503,_calc!$E$109))&amp;". ")&amp;IF(LEN(IF(LEN(INDEX('Inspections'!$D$4:$D$503,_calc!$E$109))=0,"",INDEX('Inspections'!$D$4:$D$503,_calc!$E$109)))=0,"","Every: "&amp;IF(LEN(INDEX('Inspections'!$D$4:$D$503,_calc!$E$109))=0,"",INDEX('Inspections'!$D$4:$D$503,_calc!$E$109))&amp;". ")&amp;IF(LEN(IF(LEN(INDEX('Inspections'!$E$4:$E$503,_calc!$E$109))=0,"",INDEX('Inspections'!$E$4:$E$503,_calc!$E$109)))=0,"","Unit: "&amp;IF(LEN(INDEX('Inspections'!$E$4:$E$503,_calc!$E$109))=0,"",INDEX('Inspections'!$E$4:$E$503,_calc!$E$109))&amp;". ")&amp;IF(LEN(IF(LEN(INDEX('Inspections'!$F$4:$F$503,_calc!$E$109))=0,"",INDEX('Inspections'!$F$4:$F$503,_calc!$E$109)))=0,"","Done by: "&amp;IF(LEN(INDEX('Inspections'!$F$4:$F$503,_calc!$E$109))=0,"",INDEX('Inspections'!$F$4:$F$503,_calc!$E$109))&amp;". ")&amp;IF(LEN(IF(LEN(INDEX('Inspections'!$M$4:$M$503,_calc!$E$109))=0,"",INDEX('Inspections'!$M$4:$M$503,_calc!$E$109)))=0,"","Source: "&amp;IF(LEN(INDEX('Inspections'!$M$4:$M$503,_calc!$E$109))=0,"",INDEX('Inspections'!$M$4:$M$503,_calc!$E$109))&amp;". ")&amp;IF(LEN(IF(LEN(INDEX('Inspections'!$N$4:$N$503,_calc!$E$109))=0,"",INDEX('Inspections'!$N$4:$N$503,_calc!$E$109)))=0,"","Owner: "&amp;IF(LEN(INDEX('Inspections'!$N$4:$N$503,_calc!$E$109))=0,"",INDEX('Inspections'!$N$4:$N$503,_calc!$E$109))&amp;". ")&amp;IF(LEN(IF(LEN(INDEX('Inspections'!$O$4:$O$503,_calc!$E$109))=0,"",INDEX('Inspections'!$O$4:$O$503,_calc!$E$109)))=0,"","Backup: "&amp;IF(LEN(INDEX('Inspections'!$O$4:$O$503,_calc!$E$109))=0,"",INDEX('Inspections'!$O$4:$O$503,_calc!$E$109))&amp;". ")&amp;IF(LEN(IF(LEN(INDEX('Inspections'!$R$4:$R$503,_calc!$E$109))=0,"",INDEX('Inspections'!$R$4:$R$503,_calc!$E$109)))=0,"",IF(LEN(INDEX('Inspections'!$R$4:$R$503,_calc!$E$109))=0,"",INDEX('Inspections'!$R$4:$R$503,_calc!$E$109)))))</f>
        <v/>
      </c>
      <c r="G107" s="55">
        <f>IF(_calc!$E$109="","",IF(LEN(INDEX('Inspections'!$Q$4:$Q$503,_calc!$E$109))=0,"",INDEX('Inspections'!$Q$4:$Q$503,_calc!$E$109)))</f>
        <v/>
      </c>
      <c r="K107" s="55">
        <f>IF(_calc!$E$109="","",IF(LEN(INDEX('Inspections'!$P$4:$P$503,_calc!$E$109))=0,"",INDEX('Inspections'!$P$4:$P$503,_calc!$E$109)))</f>
        <v/>
      </c>
    </row>
    <row r="108">
      <c r="A108" s="55">
        <f>IF(_calc!$E$110="","",IF(LEN(INDEX('Inspections'!$C$4:$C$503,_calc!$E$110))=0,"",INDEX('Inspections'!$C$4:$C$503,_calc!$E$110))&amp;" – "&amp;IF(LEN(INDEX('Inspections'!$A$4:$A$503,_calc!$E$110))=0,"",INDEX('Inspections'!$A$4:$A$503,_calc!$E$110)))</f>
        <v/>
      </c>
      <c r="B108" s="55">
        <f>IF(_calc!$E$110="","",IF(ISNUMBER(INDEX('Inspections'!$H$4:$H$503,_calc!$E$110)),TEXT(INDEX('Inspections'!$H$4:$H$503,_calc!$E$110),"yyyy-mm-dd"),""))</f>
        <v/>
      </c>
      <c r="C108" s="55">
        <f>IF(_calc!$E$110="","","Inspection")</f>
        <v/>
      </c>
      <c r="D108" s="55">
        <f>IF(_calc!$E$110="","",IF(ISNUMBER(INDEX('Inspections'!$G$4:$G$503,_calc!$E$110)),TEXT(INDEX('Inspections'!$G$4:$G$503,_calc!$E$110),"yyyy-mm-dd"),""))</f>
        <v/>
      </c>
      <c r="F108" s="55">
        <f>IF(_calc!$E$110="","",TRIM(IF(LEN(IF(LEN(INDEX('Inspections'!$B$4:$B$503,_calc!$E$110))=0,"",INDEX('Inspections'!$B$4:$B$503,_calc!$E$110)))=0,"","System: "&amp;IF(LEN(INDEX('Inspections'!$B$4:$B$503,_calc!$E$110))=0,"",INDEX('Inspections'!$B$4:$B$503,_calc!$E$110))&amp;". ")&amp;IF(LEN(IF(LEN(INDEX('Inspections'!$D$4:$D$503,_calc!$E$110))=0,"",INDEX('Inspections'!$D$4:$D$503,_calc!$E$110)))=0,"","Every: "&amp;IF(LEN(INDEX('Inspections'!$D$4:$D$503,_calc!$E$110))=0,"",INDEX('Inspections'!$D$4:$D$503,_calc!$E$110))&amp;". ")&amp;IF(LEN(IF(LEN(INDEX('Inspections'!$E$4:$E$503,_calc!$E$110))=0,"",INDEX('Inspections'!$E$4:$E$503,_calc!$E$110)))=0,"","Unit: "&amp;IF(LEN(INDEX('Inspections'!$E$4:$E$503,_calc!$E$110))=0,"",INDEX('Inspections'!$E$4:$E$503,_calc!$E$110))&amp;". ")&amp;IF(LEN(IF(LEN(INDEX('Inspections'!$F$4:$F$503,_calc!$E$110))=0,"",INDEX('Inspections'!$F$4:$F$503,_calc!$E$110)))=0,"","Done by: "&amp;IF(LEN(INDEX('Inspections'!$F$4:$F$503,_calc!$E$110))=0,"",INDEX('Inspections'!$F$4:$F$503,_calc!$E$110))&amp;". ")&amp;IF(LEN(IF(LEN(INDEX('Inspections'!$M$4:$M$503,_calc!$E$110))=0,"",INDEX('Inspections'!$M$4:$M$503,_calc!$E$110)))=0,"","Source: "&amp;IF(LEN(INDEX('Inspections'!$M$4:$M$503,_calc!$E$110))=0,"",INDEX('Inspections'!$M$4:$M$503,_calc!$E$110))&amp;". ")&amp;IF(LEN(IF(LEN(INDEX('Inspections'!$N$4:$N$503,_calc!$E$110))=0,"",INDEX('Inspections'!$N$4:$N$503,_calc!$E$110)))=0,"","Owner: "&amp;IF(LEN(INDEX('Inspections'!$N$4:$N$503,_calc!$E$110))=0,"",INDEX('Inspections'!$N$4:$N$503,_calc!$E$110))&amp;". ")&amp;IF(LEN(IF(LEN(INDEX('Inspections'!$O$4:$O$503,_calc!$E$110))=0,"",INDEX('Inspections'!$O$4:$O$503,_calc!$E$110)))=0,"","Backup: "&amp;IF(LEN(INDEX('Inspections'!$O$4:$O$503,_calc!$E$110))=0,"",INDEX('Inspections'!$O$4:$O$503,_calc!$E$110))&amp;". ")&amp;IF(LEN(IF(LEN(INDEX('Inspections'!$R$4:$R$503,_calc!$E$110))=0,"",INDEX('Inspections'!$R$4:$R$503,_calc!$E$110)))=0,"",IF(LEN(INDEX('Inspections'!$R$4:$R$503,_calc!$E$110))=0,"",INDEX('Inspections'!$R$4:$R$503,_calc!$E$110)))))</f>
        <v/>
      </c>
      <c r="G108" s="55">
        <f>IF(_calc!$E$110="","",IF(LEN(INDEX('Inspections'!$Q$4:$Q$503,_calc!$E$110))=0,"",INDEX('Inspections'!$Q$4:$Q$503,_calc!$E$110)))</f>
        <v/>
      </c>
      <c r="K108" s="55">
        <f>IF(_calc!$E$110="","",IF(LEN(INDEX('Inspections'!$P$4:$P$503,_calc!$E$110))=0,"",INDEX('Inspections'!$P$4:$P$503,_calc!$E$110)))</f>
        <v/>
      </c>
    </row>
    <row r="109">
      <c r="A109" s="55">
        <f>IF(_calc!$E$111="","",IF(LEN(INDEX('Inspections'!$C$4:$C$503,_calc!$E$111))=0,"",INDEX('Inspections'!$C$4:$C$503,_calc!$E$111))&amp;" – "&amp;IF(LEN(INDEX('Inspections'!$A$4:$A$503,_calc!$E$111))=0,"",INDEX('Inspections'!$A$4:$A$503,_calc!$E$111)))</f>
        <v/>
      </c>
      <c r="B109" s="55">
        <f>IF(_calc!$E$111="","",IF(ISNUMBER(INDEX('Inspections'!$H$4:$H$503,_calc!$E$111)),TEXT(INDEX('Inspections'!$H$4:$H$503,_calc!$E$111),"yyyy-mm-dd"),""))</f>
        <v/>
      </c>
      <c r="C109" s="55">
        <f>IF(_calc!$E$111="","","Inspection")</f>
        <v/>
      </c>
      <c r="D109" s="55">
        <f>IF(_calc!$E$111="","",IF(ISNUMBER(INDEX('Inspections'!$G$4:$G$503,_calc!$E$111)),TEXT(INDEX('Inspections'!$G$4:$G$503,_calc!$E$111),"yyyy-mm-dd"),""))</f>
        <v/>
      </c>
      <c r="F109" s="55">
        <f>IF(_calc!$E$111="","",TRIM(IF(LEN(IF(LEN(INDEX('Inspections'!$B$4:$B$503,_calc!$E$111))=0,"",INDEX('Inspections'!$B$4:$B$503,_calc!$E$111)))=0,"","System: "&amp;IF(LEN(INDEX('Inspections'!$B$4:$B$503,_calc!$E$111))=0,"",INDEX('Inspections'!$B$4:$B$503,_calc!$E$111))&amp;". ")&amp;IF(LEN(IF(LEN(INDEX('Inspections'!$D$4:$D$503,_calc!$E$111))=0,"",INDEX('Inspections'!$D$4:$D$503,_calc!$E$111)))=0,"","Every: "&amp;IF(LEN(INDEX('Inspections'!$D$4:$D$503,_calc!$E$111))=0,"",INDEX('Inspections'!$D$4:$D$503,_calc!$E$111))&amp;". ")&amp;IF(LEN(IF(LEN(INDEX('Inspections'!$E$4:$E$503,_calc!$E$111))=0,"",INDEX('Inspections'!$E$4:$E$503,_calc!$E$111)))=0,"","Unit: "&amp;IF(LEN(INDEX('Inspections'!$E$4:$E$503,_calc!$E$111))=0,"",INDEX('Inspections'!$E$4:$E$503,_calc!$E$111))&amp;". ")&amp;IF(LEN(IF(LEN(INDEX('Inspections'!$F$4:$F$503,_calc!$E$111))=0,"",INDEX('Inspections'!$F$4:$F$503,_calc!$E$111)))=0,"","Done by: "&amp;IF(LEN(INDEX('Inspections'!$F$4:$F$503,_calc!$E$111))=0,"",INDEX('Inspections'!$F$4:$F$503,_calc!$E$111))&amp;". ")&amp;IF(LEN(IF(LEN(INDEX('Inspections'!$M$4:$M$503,_calc!$E$111))=0,"",INDEX('Inspections'!$M$4:$M$503,_calc!$E$111)))=0,"","Source: "&amp;IF(LEN(INDEX('Inspections'!$M$4:$M$503,_calc!$E$111))=0,"",INDEX('Inspections'!$M$4:$M$503,_calc!$E$111))&amp;". ")&amp;IF(LEN(IF(LEN(INDEX('Inspections'!$N$4:$N$503,_calc!$E$111))=0,"",INDEX('Inspections'!$N$4:$N$503,_calc!$E$111)))=0,"","Owner: "&amp;IF(LEN(INDEX('Inspections'!$N$4:$N$503,_calc!$E$111))=0,"",INDEX('Inspections'!$N$4:$N$503,_calc!$E$111))&amp;". ")&amp;IF(LEN(IF(LEN(INDEX('Inspections'!$O$4:$O$503,_calc!$E$111))=0,"",INDEX('Inspections'!$O$4:$O$503,_calc!$E$111)))=0,"","Backup: "&amp;IF(LEN(INDEX('Inspections'!$O$4:$O$503,_calc!$E$111))=0,"",INDEX('Inspections'!$O$4:$O$503,_calc!$E$111))&amp;". ")&amp;IF(LEN(IF(LEN(INDEX('Inspections'!$R$4:$R$503,_calc!$E$111))=0,"",INDEX('Inspections'!$R$4:$R$503,_calc!$E$111)))=0,"",IF(LEN(INDEX('Inspections'!$R$4:$R$503,_calc!$E$111))=0,"",INDEX('Inspections'!$R$4:$R$503,_calc!$E$111)))))</f>
        <v/>
      </c>
      <c r="G109" s="55">
        <f>IF(_calc!$E$111="","",IF(LEN(INDEX('Inspections'!$Q$4:$Q$503,_calc!$E$111))=0,"",INDEX('Inspections'!$Q$4:$Q$503,_calc!$E$111)))</f>
        <v/>
      </c>
      <c r="K109" s="55">
        <f>IF(_calc!$E$111="","",IF(LEN(INDEX('Inspections'!$P$4:$P$503,_calc!$E$111))=0,"",INDEX('Inspections'!$P$4:$P$503,_calc!$E$111)))</f>
        <v/>
      </c>
    </row>
    <row r="110">
      <c r="A110" s="55">
        <f>IF(_calc!$E$112="","",IF(LEN(INDEX('Inspections'!$C$4:$C$503,_calc!$E$112))=0,"",INDEX('Inspections'!$C$4:$C$503,_calc!$E$112))&amp;" – "&amp;IF(LEN(INDEX('Inspections'!$A$4:$A$503,_calc!$E$112))=0,"",INDEX('Inspections'!$A$4:$A$503,_calc!$E$112)))</f>
        <v/>
      </c>
      <c r="B110" s="55">
        <f>IF(_calc!$E$112="","",IF(ISNUMBER(INDEX('Inspections'!$H$4:$H$503,_calc!$E$112)),TEXT(INDEX('Inspections'!$H$4:$H$503,_calc!$E$112),"yyyy-mm-dd"),""))</f>
        <v/>
      </c>
      <c r="C110" s="55">
        <f>IF(_calc!$E$112="","","Inspection")</f>
        <v/>
      </c>
      <c r="D110" s="55">
        <f>IF(_calc!$E$112="","",IF(ISNUMBER(INDEX('Inspections'!$G$4:$G$503,_calc!$E$112)),TEXT(INDEX('Inspections'!$G$4:$G$503,_calc!$E$112),"yyyy-mm-dd"),""))</f>
        <v/>
      </c>
      <c r="F110" s="55">
        <f>IF(_calc!$E$112="","",TRIM(IF(LEN(IF(LEN(INDEX('Inspections'!$B$4:$B$503,_calc!$E$112))=0,"",INDEX('Inspections'!$B$4:$B$503,_calc!$E$112)))=0,"","System: "&amp;IF(LEN(INDEX('Inspections'!$B$4:$B$503,_calc!$E$112))=0,"",INDEX('Inspections'!$B$4:$B$503,_calc!$E$112))&amp;". ")&amp;IF(LEN(IF(LEN(INDEX('Inspections'!$D$4:$D$503,_calc!$E$112))=0,"",INDEX('Inspections'!$D$4:$D$503,_calc!$E$112)))=0,"","Every: "&amp;IF(LEN(INDEX('Inspections'!$D$4:$D$503,_calc!$E$112))=0,"",INDEX('Inspections'!$D$4:$D$503,_calc!$E$112))&amp;". ")&amp;IF(LEN(IF(LEN(INDEX('Inspections'!$E$4:$E$503,_calc!$E$112))=0,"",INDEX('Inspections'!$E$4:$E$503,_calc!$E$112)))=0,"","Unit: "&amp;IF(LEN(INDEX('Inspections'!$E$4:$E$503,_calc!$E$112))=0,"",INDEX('Inspections'!$E$4:$E$503,_calc!$E$112))&amp;". ")&amp;IF(LEN(IF(LEN(INDEX('Inspections'!$F$4:$F$503,_calc!$E$112))=0,"",INDEX('Inspections'!$F$4:$F$503,_calc!$E$112)))=0,"","Done by: "&amp;IF(LEN(INDEX('Inspections'!$F$4:$F$503,_calc!$E$112))=0,"",INDEX('Inspections'!$F$4:$F$503,_calc!$E$112))&amp;". ")&amp;IF(LEN(IF(LEN(INDEX('Inspections'!$M$4:$M$503,_calc!$E$112))=0,"",INDEX('Inspections'!$M$4:$M$503,_calc!$E$112)))=0,"","Source: "&amp;IF(LEN(INDEX('Inspections'!$M$4:$M$503,_calc!$E$112))=0,"",INDEX('Inspections'!$M$4:$M$503,_calc!$E$112))&amp;". ")&amp;IF(LEN(IF(LEN(INDEX('Inspections'!$N$4:$N$503,_calc!$E$112))=0,"",INDEX('Inspections'!$N$4:$N$503,_calc!$E$112)))=0,"","Owner: "&amp;IF(LEN(INDEX('Inspections'!$N$4:$N$503,_calc!$E$112))=0,"",INDEX('Inspections'!$N$4:$N$503,_calc!$E$112))&amp;". ")&amp;IF(LEN(IF(LEN(INDEX('Inspections'!$O$4:$O$503,_calc!$E$112))=0,"",INDEX('Inspections'!$O$4:$O$503,_calc!$E$112)))=0,"","Backup: "&amp;IF(LEN(INDEX('Inspections'!$O$4:$O$503,_calc!$E$112))=0,"",INDEX('Inspections'!$O$4:$O$503,_calc!$E$112))&amp;". ")&amp;IF(LEN(IF(LEN(INDEX('Inspections'!$R$4:$R$503,_calc!$E$112))=0,"",INDEX('Inspections'!$R$4:$R$503,_calc!$E$112)))=0,"",IF(LEN(INDEX('Inspections'!$R$4:$R$503,_calc!$E$112))=0,"",INDEX('Inspections'!$R$4:$R$503,_calc!$E$112)))))</f>
        <v/>
      </c>
      <c r="G110" s="55">
        <f>IF(_calc!$E$112="","",IF(LEN(INDEX('Inspections'!$Q$4:$Q$503,_calc!$E$112))=0,"",INDEX('Inspections'!$Q$4:$Q$503,_calc!$E$112)))</f>
        <v/>
      </c>
      <c r="K110" s="55">
        <f>IF(_calc!$E$112="","",IF(LEN(INDEX('Inspections'!$P$4:$P$503,_calc!$E$112))=0,"",INDEX('Inspections'!$P$4:$P$503,_calc!$E$112)))</f>
        <v/>
      </c>
    </row>
    <row r="111">
      <c r="A111" s="55">
        <f>IF(_calc!$E$113="","",IF(LEN(INDEX('Inspections'!$C$4:$C$503,_calc!$E$113))=0,"",INDEX('Inspections'!$C$4:$C$503,_calc!$E$113))&amp;" – "&amp;IF(LEN(INDEX('Inspections'!$A$4:$A$503,_calc!$E$113))=0,"",INDEX('Inspections'!$A$4:$A$503,_calc!$E$113)))</f>
        <v/>
      </c>
      <c r="B111" s="55">
        <f>IF(_calc!$E$113="","",IF(ISNUMBER(INDEX('Inspections'!$H$4:$H$503,_calc!$E$113)),TEXT(INDEX('Inspections'!$H$4:$H$503,_calc!$E$113),"yyyy-mm-dd"),""))</f>
        <v/>
      </c>
      <c r="C111" s="55">
        <f>IF(_calc!$E$113="","","Inspection")</f>
        <v/>
      </c>
      <c r="D111" s="55">
        <f>IF(_calc!$E$113="","",IF(ISNUMBER(INDEX('Inspections'!$G$4:$G$503,_calc!$E$113)),TEXT(INDEX('Inspections'!$G$4:$G$503,_calc!$E$113),"yyyy-mm-dd"),""))</f>
        <v/>
      </c>
      <c r="F111" s="55">
        <f>IF(_calc!$E$113="","",TRIM(IF(LEN(IF(LEN(INDEX('Inspections'!$B$4:$B$503,_calc!$E$113))=0,"",INDEX('Inspections'!$B$4:$B$503,_calc!$E$113)))=0,"","System: "&amp;IF(LEN(INDEX('Inspections'!$B$4:$B$503,_calc!$E$113))=0,"",INDEX('Inspections'!$B$4:$B$503,_calc!$E$113))&amp;". ")&amp;IF(LEN(IF(LEN(INDEX('Inspections'!$D$4:$D$503,_calc!$E$113))=0,"",INDEX('Inspections'!$D$4:$D$503,_calc!$E$113)))=0,"","Every: "&amp;IF(LEN(INDEX('Inspections'!$D$4:$D$503,_calc!$E$113))=0,"",INDEX('Inspections'!$D$4:$D$503,_calc!$E$113))&amp;". ")&amp;IF(LEN(IF(LEN(INDEX('Inspections'!$E$4:$E$503,_calc!$E$113))=0,"",INDEX('Inspections'!$E$4:$E$503,_calc!$E$113)))=0,"","Unit: "&amp;IF(LEN(INDEX('Inspections'!$E$4:$E$503,_calc!$E$113))=0,"",INDEX('Inspections'!$E$4:$E$503,_calc!$E$113))&amp;". ")&amp;IF(LEN(IF(LEN(INDEX('Inspections'!$F$4:$F$503,_calc!$E$113))=0,"",INDEX('Inspections'!$F$4:$F$503,_calc!$E$113)))=0,"","Done by: "&amp;IF(LEN(INDEX('Inspections'!$F$4:$F$503,_calc!$E$113))=0,"",INDEX('Inspections'!$F$4:$F$503,_calc!$E$113))&amp;". ")&amp;IF(LEN(IF(LEN(INDEX('Inspections'!$M$4:$M$503,_calc!$E$113))=0,"",INDEX('Inspections'!$M$4:$M$503,_calc!$E$113)))=0,"","Source: "&amp;IF(LEN(INDEX('Inspections'!$M$4:$M$503,_calc!$E$113))=0,"",INDEX('Inspections'!$M$4:$M$503,_calc!$E$113))&amp;". ")&amp;IF(LEN(IF(LEN(INDEX('Inspections'!$N$4:$N$503,_calc!$E$113))=0,"",INDEX('Inspections'!$N$4:$N$503,_calc!$E$113)))=0,"","Owner: "&amp;IF(LEN(INDEX('Inspections'!$N$4:$N$503,_calc!$E$113))=0,"",INDEX('Inspections'!$N$4:$N$503,_calc!$E$113))&amp;". ")&amp;IF(LEN(IF(LEN(INDEX('Inspections'!$O$4:$O$503,_calc!$E$113))=0,"",INDEX('Inspections'!$O$4:$O$503,_calc!$E$113)))=0,"","Backup: "&amp;IF(LEN(INDEX('Inspections'!$O$4:$O$503,_calc!$E$113))=0,"",INDEX('Inspections'!$O$4:$O$503,_calc!$E$113))&amp;". ")&amp;IF(LEN(IF(LEN(INDEX('Inspections'!$R$4:$R$503,_calc!$E$113))=0,"",INDEX('Inspections'!$R$4:$R$503,_calc!$E$113)))=0,"",IF(LEN(INDEX('Inspections'!$R$4:$R$503,_calc!$E$113))=0,"",INDEX('Inspections'!$R$4:$R$503,_calc!$E$113)))))</f>
        <v/>
      </c>
      <c r="G111" s="55">
        <f>IF(_calc!$E$113="","",IF(LEN(INDEX('Inspections'!$Q$4:$Q$503,_calc!$E$113))=0,"",INDEX('Inspections'!$Q$4:$Q$503,_calc!$E$113)))</f>
        <v/>
      </c>
      <c r="K111" s="55">
        <f>IF(_calc!$E$113="","",IF(LEN(INDEX('Inspections'!$P$4:$P$503,_calc!$E$113))=0,"",INDEX('Inspections'!$P$4:$P$503,_calc!$E$113)))</f>
        <v/>
      </c>
    </row>
    <row r="112">
      <c r="A112" s="55">
        <f>IF(_calc!$E$114="","",IF(LEN(INDEX('Inspections'!$C$4:$C$503,_calc!$E$114))=0,"",INDEX('Inspections'!$C$4:$C$503,_calc!$E$114))&amp;" – "&amp;IF(LEN(INDEX('Inspections'!$A$4:$A$503,_calc!$E$114))=0,"",INDEX('Inspections'!$A$4:$A$503,_calc!$E$114)))</f>
        <v/>
      </c>
      <c r="B112" s="55">
        <f>IF(_calc!$E$114="","",IF(ISNUMBER(INDEX('Inspections'!$H$4:$H$503,_calc!$E$114)),TEXT(INDEX('Inspections'!$H$4:$H$503,_calc!$E$114),"yyyy-mm-dd"),""))</f>
        <v/>
      </c>
      <c r="C112" s="55">
        <f>IF(_calc!$E$114="","","Inspection")</f>
        <v/>
      </c>
      <c r="D112" s="55">
        <f>IF(_calc!$E$114="","",IF(ISNUMBER(INDEX('Inspections'!$G$4:$G$503,_calc!$E$114)),TEXT(INDEX('Inspections'!$G$4:$G$503,_calc!$E$114),"yyyy-mm-dd"),""))</f>
        <v/>
      </c>
      <c r="F112" s="55">
        <f>IF(_calc!$E$114="","",TRIM(IF(LEN(IF(LEN(INDEX('Inspections'!$B$4:$B$503,_calc!$E$114))=0,"",INDEX('Inspections'!$B$4:$B$503,_calc!$E$114)))=0,"","System: "&amp;IF(LEN(INDEX('Inspections'!$B$4:$B$503,_calc!$E$114))=0,"",INDEX('Inspections'!$B$4:$B$503,_calc!$E$114))&amp;". ")&amp;IF(LEN(IF(LEN(INDEX('Inspections'!$D$4:$D$503,_calc!$E$114))=0,"",INDEX('Inspections'!$D$4:$D$503,_calc!$E$114)))=0,"","Every: "&amp;IF(LEN(INDEX('Inspections'!$D$4:$D$503,_calc!$E$114))=0,"",INDEX('Inspections'!$D$4:$D$503,_calc!$E$114))&amp;". ")&amp;IF(LEN(IF(LEN(INDEX('Inspections'!$E$4:$E$503,_calc!$E$114))=0,"",INDEX('Inspections'!$E$4:$E$503,_calc!$E$114)))=0,"","Unit: "&amp;IF(LEN(INDEX('Inspections'!$E$4:$E$503,_calc!$E$114))=0,"",INDEX('Inspections'!$E$4:$E$503,_calc!$E$114))&amp;". ")&amp;IF(LEN(IF(LEN(INDEX('Inspections'!$F$4:$F$503,_calc!$E$114))=0,"",INDEX('Inspections'!$F$4:$F$503,_calc!$E$114)))=0,"","Done by: "&amp;IF(LEN(INDEX('Inspections'!$F$4:$F$503,_calc!$E$114))=0,"",INDEX('Inspections'!$F$4:$F$503,_calc!$E$114))&amp;". ")&amp;IF(LEN(IF(LEN(INDEX('Inspections'!$M$4:$M$503,_calc!$E$114))=0,"",INDEX('Inspections'!$M$4:$M$503,_calc!$E$114)))=0,"","Source: "&amp;IF(LEN(INDEX('Inspections'!$M$4:$M$503,_calc!$E$114))=0,"",INDEX('Inspections'!$M$4:$M$503,_calc!$E$114))&amp;". ")&amp;IF(LEN(IF(LEN(INDEX('Inspections'!$N$4:$N$503,_calc!$E$114))=0,"",INDEX('Inspections'!$N$4:$N$503,_calc!$E$114)))=0,"","Owner: "&amp;IF(LEN(INDEX('Inspections'!$N$4:$N$503,_calc!$E$114))=0,"",INDEX('Inspections'!$N$4:$N$503,_calc!$E$114))&amp;". ")&amp;IF(LEN(IF(LEN(INDEX('Inspections'!$O$4:$O$503,_calc!$E$114))=0,"",INDEX('Inspections'!$O$4:$O$503,_calc!$E$114)))=0,"","Backup: "&amp;IF(LEN(INDEX('Inspections'!$O$4:$O$503,_calc!$E$114))=0,"",INDEX('Inspections'!$O$4:$O$503,_calc!$E$114))&amp;". ")&amp;IF(LEN(IF(LEN(INDEX('Inspections'!$R$4:$R$503,_calc!$E$114))=0,"",INDEX('Inspections'!$R$4:$R$503,_calc!$E$114)))=0,"",IF(LEN(INDEX('Inspections'!$R$4:$R$503,_calc!$E$114))=0,"",INDEX('Inspections'!$R$4:$R$503,_calc!$E$114)))))</f>
        <v/>
      </c>
      <c r="G112" s="55">
        <f>IF(_calc!$E$114="","",IF(LEN(INDEX('Inspections'!$Q$4:$Q$503,_calc!$E$114))=0,"",INDEX('Inspections'!$Q$4:$Q$503,_calc!$E$114)))</f>
        <v/>
      </c>
      <c r="K112" s="55">
        <f>IF(_calc!$E$114="","",IF(LEN(INDEX('Inspections'!$P$4:$P$503,_calc!$E$114))=0,"",INDEX('Inspections'!$P$4:$P$503,_calc!$E$114)))</f>
        <v/>
      </c>
    </row>
    <row r="113">
      <c r="A113" s="55">
        <f>IF(_calc!$E$115="","",IF(LEN(INDEX('Inspections'!$C$4:$C$503,_calc!$E$115))=0,"",INDEX('Inspections'!$C$4:$C$503,_calc!$E$115))&amp;" – "&amp;IF(LEN(INDEX('Inspections'!$A$4:$A$503,_calc!$E$115))=0,"",INDEX('Inspections'!$A$4:$A$503,_calc!$E$115)))</f>
        <v/>
      </c>
      <c r="B113" s="55">
        <f>IF(_calc!$E$115="","",IF(ISNUMBER(INDEX('Inspections'!$H$4:$H$503,_calc!$E$115)),TEXT(INDEX('Inspections'!$H$4:$H$503,_calc!$E$115),"yyyy-mm-dd"),""))</f>
        <v/>
      </c>
      <c r="C113" s="55">
        <f>IF(_calc!$E$115="","","Inspection")</f>
        <v/>
      </c>
      <c r="D113" s="55">
        <f>IF(_calc!$E$115="","",IF(ISNUMBER(INDEX('Inspections'!$G$4:$G$503,_calc!$E$115)),TEXT(INDEX('Inspections'!$G$4:$G$503,_calc!$E$115),"yyyy-mm-dd"),""))</f>
        <v/>
      </c>
      <c r="F113" s="55">
        <f>IF(_calc!$E$115="","",TRIM(IF(LEN(IF(LEN(INDEX('Inspections'!$B$4:$B$503,_calc!$E$115))=0,"",INDEX('Inspections'!$B$4:$B$503,_calc!$E$115)))=0,"","System: "&amp;IF(LEN(INDEX('Inspections'!$B$4:$B$503,_calc!$E$115))=0,"",INDEX('Inspections'!$B$4:$B$503,_calc!$E$115))&amp;". ")&amp;IF(LEN(IF(LEN(INDEX('Inspections'!$D$4:$D$503,_calc!$E$115))=0,"",INDEX('Inspections'!$D$4:$D$503,_calc!$E$115)))=0,"","Every: "&amp;IF(LEN(INDEX('Inspections'!$D$4:$D$503,_calc!$E$115))=0,"",INDEX('Inspections'!$D$4:$D$503,_calc!$E$115))&amp;". ")&amp;IF(LEN(IF(LEN(INDEX('Inspections'!$E$4:$E$503,_calc!$E$115))=0,"",INDEX('Inspections'!$E$4:$E$503,_calc!$E$115)))=0,"","Unit: "&amp;IF(LEN(INDEX('Inspections'!$E$4:$E$503,_calc!$E$115))=0,"",INDEX('Inspections'!$E$4:$E$503,_calc!$E$115))&amp;". ")&amp;IF(LEN(IF(LEN(INDEX('Inspections'!$F$4:$F$503,_calc!$E$115))=0,"",INDEX('Inspections'!$F$4:$F$503,_calc!$E$115)))=0,"","Done by: "&amp;IF(LEN(INDEX('Inspections'!$F$4:$F$503,_calc!$E$115))=0,"",INDEX('Inspections'!$F$4:$F$503,_calc!$E$115))&amp;". ")&amp;IF(LEN(IF(LEN(INDEX('Inspections'!$M$4:$M$503,_calc!$E$115))=0,"",INDEX('Inspections'!$M$4:$M$503,_calc!$E$115)))=0,"","Source: "&amp;IF(LEN(INDEX('Inspections'!$M$4:$M$503,_calc!$E$115))=0,"",INDEX('Inspections'!$M$4:$M$503,_calc!$E$115))&amp;". ")&amp;IF(LEN(IF(LEN(INDEX('Inspections'!$N$4:$N$503,_calc!$E$115))=0,"",INDEX('Inspections'!$N$4:$N$503,_calc!$E$115)))=0,"","Owner: "&amp;IF(LEN(INDEX('Inspections'!$N$4:$N$503,_calc!$E$115))=0,"",INDEX('Inspections'!$N$4:$N$503,_calc!$E$115))&amp;". ")&amp;IF(LEN(IF(LEN(INDEX('Inspections'!$O$4:$O$503,_calc!$E$115))=0,"",INDEX('Inspections'!$O$4:$O$503,_calc!$E$115)))=0,"","Backup: "&amp;IF(LEN(INDEX('Inspections'!$O$4:$O$503,_calc!$E$115))=0,"",INDEX('Inspections'!$O$4:$O$503,_calc!$E$115))&amp;". ")&amp;IF(LEN(IF(LEN(INDEX('Inspections'!$R$4:$R$503,_calc!$E$115))=0,"",INDEX('Inspections'!$R$4:$R$503,_calc!$E$115)))=0,"",IF(LEN(INDEX('Inspections'!$R$4:$R$503,_calc!$E$115))=0,"",INDEX('Inspections'!$R$4:$R$503,_calc!$E$115)))))</f>
        <v/>
      </c>
      <c r="G113" s="55">
        <f>IF(_calc!$E$115="","",IF(LEN(INDEX('Inspections'!$Q$4:$Q$503,_calc!$E$115))=0,"",INDEX('Inspections'!$Q$4:$Q$503,_calc!$E$115)))</f>
        <v/>
      </c>
      <c r="K113" s="55">
        <f>IF(_calc!$E$115="","",IF(LEN(INDEX('Inspections'!$P$4:$P$503,_calc!$E$115))=0,"",INDEX('Inspections'!$P$4:$P$503,_calc!$E$115)))</f>
        <v/>
      </c>
    </row>
    <row r="114">
      <c r="A114" s="55">
        <f>IF(_calc!$E$116="","",IF(LEN(INDEX('Inspections'!$C$4:$C$503,_calc!$E$116))=0,"",INDEX('Inspections'!$C$4:$C$503,_calc!$E$116))&amp;" – "&amp;IF(LEN(INDEX('Inspections'!$A$4:$A$503,_calc!$E$116))=0,"",INDEX('Inspections'!$A$4:$A$503,_calc!$E$116)))</f>
        <v/>
      </c>
      <c r="B114" s="55">
        <f>IF(_calc!$E$116="","",IF(ISNUMBER(INDEX('Inspections'!$H$4:$H$503,_calc!$E$116)),TEXT(INDEX('Inspections'!$H$4:$H$503,_calc!$E$116),"yyyy-mm-dd"),""))</f>
        <v/>
      </c>
      <c r="C114" s="55">
        <f>IF(_calc!$E$116="","","Inspection")</f>
        <v/>
      </c>
      <c r="D114" s="55">
        <f>IF(_calc!$E$116="","",IF(ISNUMBER(INDEX('Inspections'!$G$4:$G$503,_calc!$E$116)),TEXT(INDEX('Inspections'!$G$4:$G$503,_calc!$E$116),"yyyy-mm-dd"),""))</f>
        <v/>
      </c>
      <c r="F114" s="55">
        <f>IF(_calc!$E$116="","",TRIM(IF(LEN(IF(LEN(INDEX('Inspections'!$B$4:$B$503,_calc!$E$116))=0,"",INDEX('Inspections'!$B$4:$B$503,_calc!$E$116)))=0,"","System: "&amp;IF(LEN(INDEX('Inspections'!$B$4:$B$503,_calc!$E$116))=0,"",INDEX('Inspections'!$B$4:$B$503,_calc!$E$116))&amp;". ")&amp;IF(LEN(IF(LEN(INDEX('Inspections'!$D$4:$D$503,_calc!$E$116))=0,"",INDEX('Inspections'!$D$4:$D$503,_calc!$E$116)))=0,"","Every: "&amp;IF(LEN(INDEX('Inspections'!$D$4:$D$503,_calc!$E$116))=0,"",INDEX('Inspections'!$D$4:$D$503,_calc!$E$116))&amp;". ")&amp;IF(LEN(IF(LEN(INDEX('Inspections'!$E$4:$E$503,_calc!$E$116))=0,"",INDEX('Inspections'!$E$4:$E$503,_calc!$E$116)))=0,"","Unit: "&amp;IF(LEN(INDEX('Inspections'!$E$4:$E$503,_calc!$E$116))=0,"",INDEX('Inspections'!$E$4:$E$503,_calc!$E$116))&amp;". ")&amp;IF(LEN(IF(LEN(INDEX('Inspections'!$F$4:$F$503,_calc!$E$116))=0,"",INDEX('Inspections'!$F$4:$F$503,_calc!$E$116)))=0,"","Done by: "&amp;IF(LEN(INDEX('Inspections'!$F$4:$F$503,_calc!$E$116))=0,"",INDEX('Inspections'!$F$4:$F$503,_calc!$E$116))&amp;". ")&amp;IF(LEN(IF(LEN(INDEX('Inspections'!$M$4:$M$503,_calc!$E$116))=0,"",INDEX('Inspections'!$M$4:$M$503,_calc!$E$116)))=0,"","Source: "&amp;IF(LEN(INDEX('Inspections'!$M$4:$M$503,_calc!$E$116))=0,"",INDEX('Inspections'!$M$4:$M$503,_calc!$E$116))&amp;". ")&amp;IF(LEN(IF(LEN(INDEX('Inspections'!$N$4:$N$503,_calc!$E$116))=0,"",INDEX('Inspections'!$N$4:$N$503,_calc!$E$116)))=0,"","Owner: "&amp;IF(LEN(INDEX('Inspections'!$N$4:$N$503,_calc!$E$116))=0,"",INDEX('Inspections'!$N$4:$N$503,_calc!$E$116))&amp;". ")&amp;IF(LEN(IF(LEN(INDEX('Inspections'!$O$4:$O$503,_calc!$E$116))=0,"",INDEX('Inspections'!$O$4:$O$503,_calc!$E$116)))=0,"","Backup: "&amp;IF(LEN(INDEX('Inspections'!$O$4:$O$503,_calc!$E$116))=0,"",INDEX('Inspections'!$O$4:$O$503,_calc!$E$116))&amp;". ")&amp;IF(LEN(IF(LEN(INDEX('Inspections'!$R$4:$R$503,_calc!$E$116))=0,"",INDEX('Inspections'!$R$4:$R$503,_calc!$E$116)))=0,"",IF(LEN(INDEX('Inspections'!$R$4:$R$503,_calc!$E$116))=0,"",INDEX('Inspections'!$R$4:$R$503,_calc!$E$116)))))</f>
        <v/>
      </c>
      <c r="G114" s="55">
        <f>IF(_calc!$E$116="","",IF(LEN(INDEX('Inspections'!$Q$4:$Q$503,_calc!$E$116))=0,"",INDEX('Inspections'!$Q$4:$Q$503,_calc!$E$116)))</f>
        <v/>
      </c>
      <c r="K114" s="55">
        <f>IF(_calc!$E$116="","",IF(LEN(INDEX('Inspections'!$P$4:$P$503,_calc!$E$116))=0,"",INDEX('Inspections'!$P$4:$P$503,_calc!$E$116)))</f>
        <v/>
      </c>
    </row>
    <row r="115">
      <c r="A115" s="55">
        <f>IF(_calc!$E$117="","",IF(LEN(INDEX('Inspections'!$C$4:$C$503,_calc!$E$117))=0,"",INDEX('Inspections'!$C$4:$C$503,_calc!$E$117))&amp;" – "&amp;IF(LEN(INDEX('Inspections'!$A$4:$A$503,_calc!$E$117))=0,"",INDEX('Inspections'!$A$4:$A$503,_calc!$E$117)))</f>
        <v/>
      </c>
      <c r="B115" s="55">
        <f>IF(_calc!$E$117="","",IF(ISNUMBER(INDEX('Inspections'!$H$4:$H$503,_calc!$E$117)),TEXT(INDEX('Inspections'!$H$4:$H$503,_calc!$E$117),"yyyy-mm-dd"),""))</f>
        <v/>
      </c>
      <c r="C115" s="55">
        <f>IF(_calc!$E$117="","","Inspection")</f>
        <v/>
      </c>
      <c r="D115" s="55">
        <f>IF(_calc!$E$117="","",IF(ISNUMBER(INDEX('Inspections'!$G$4:$G$503,_calc!$E$117)),TEXT(INDEX('Inspections'!$G$4:$G$503,_calc!$E$117),"yyyy-mm-dd"),""))</f>
        <v/>
      </c>
      <c r="F115" s="55">
        <f>IF(_calc!$E$117="","",TRIM(IF(LEN(IF(LEN(INDEX('Inspections'!$B$4:$B$503,_calc!$E$117))=0,"",INDEX('Inspections'!$B$4:$B$503,_calc!$E$117)))=0,"","System: "&amp;IF(LEN(INDEX('Inspections'!$B$4:$B$503,_calc!$E$117))=0,"",INDEX('Inspections'!$B$4:$B$503,_calc!$E$117))&amp;". ")&amp;IF(LEN(IF(LEN(INDEX('Inspections'!$D$4:$D$503,_calc!$E$117))=0,"",INDEX('Inspections'!$D$4:$D$503,_calc!$E$117)))=0,"","Every: "&amp;IF(LEN(INDEX('Inspections'!$D$4:$D$503,_calc!$E$117))=0,"",INDEX('Inspections'!$D$4:$D$503,_calc!$E$117))&amp;". ")&amp;IF(LEN(IF(LEN(INDEX('Inspections'!$E$4:$E$503,_calc!$E$117))=0,"",INDEX('Inspections'!$E$4:$E$503,_calc!$E$117)))=0,"","Unit: "&amp;IF(LEN(INDEX('Inspections'!$E$4:$E$503,_calc!$E$117))=0,"",INDEX('Inspections'!$E$4:$E$503,_calc!$E$117))&amp;". ")&amp;IF(LEN(IF(LEN(INDEX('Inspections'!$F$4:$F$503,_calc!$E$117))=0,"",INDEX('Inspections'!$F$4:$F$503,_calc!$E$117)))=0,"","Done by: "&amp;IF(LEN(INDEX('Inspections'!$F$4:$F$503,_calc!$E$117))=0,"",INDEX('Inspections'!$F$4:$F$503,_calc!$E$117))&amp;". ")&amp;IF(LEN(IF(LEN(INDEX('Inspections'!$M$4:$M$503,_calc!$E$117))=0,"",INDEX('Inspections'!$M$4:$M$503,_calc!$E$117)))=0,"","Source: "&amp;IF(LEN(INDEX('Inspections'!$M$4:$M$503,_calc!$E$117))=0,"",INDEX('Inspections'!$M$4:$M$503,_calc!$E$117))&amp;". ")&amp;IF(LEN(IF(LEN(INDEX('Inspections'!$N$4:$N$503,_calc!$E$117))=0,"",INDEX('Inspections'!$N$4:$N$503,_calc!$E$117)))=0,"","Owner: "&amp;IF(LEN(INDEX('Inspections'!$N$4:$N$503,_calc!$E$117))=0,"",INDEX('Inspections'!$N$4:$N$503,_calc!$E$117))&amp;". ")&amp;IF(LEN(IF(LEN(INDEX('Inspections'!$O$4:$O$503,_calc!$E$117))=0,"",INDEX('Inspections'!$O$4:$O$503,_calc!$E$117)))=0,"","Backup: "&amp;IF(LEN(INDEX('Inspections'!$O$4:$O$503,_calc!$E$117))=0,"",INDEX('Inspections'!$O$4:$O$503,_calc!$E$117))&amp;". ")&amp;IF(LEN(IF(LEN(INDEX('Inspections'!$R$4:$R$503,_calc!$E$117))=0,"",INDEX('Inspections'!$R$4:$R$503,_calc!$E$117)))=0,"",IF(LEN(INDEX('Inspections'!$R$4:$R$503,_calc!$E$117))=0,"",INDEX('Inspections'!$R$4:$R$503,_calc!$E$117)))))</f>
        <v/>
      </c>
      <c r="G115" s="55">
        <f>IF(_calc!$E$117="","",IF(LEN(INDEX('Inspections'!$Q$4:$Q$503,_calc!$E$117))=0,"",INDEX('Inspections'!$Q$4:$Q$503,_calc!$E$117)))</f>
        <v/>
      </c>
      <c r="K115" s="55">
        <f>IF(_calc!$E$117="","",IF(LEN(INDEX('Inspections'!$P$4:$P$503,_calc!$E$117))=0,"",INDEX('Inspections'!$P$4:$P$503,_calc!$E$117)))</f>
        <v/>
      </c>
    </row>
    <row r="116">
      <c r="A116" s="55">
        <f>IF(_calc!$E$118="","",IF(LEN(INDEX('Inspections'!$C$4:$C$503,_calc!$E$118))=0,"",INDEX('Inspections'!$C$4:$C$503,_calc!$E$118))&amp;" – "&amp;IF(LEN(INDEX('Inspections'!$A$4:$A$503,_calc!$E$118))=0,"",INDEX('Inspections'!$A$4:$A$503,_calc!$E$118)))</f>
        <v/>
      </c>
      <c r="B116" s="55">
        <f>IF(_calc!$E$118="","",IF(ISNUMBER(INDEX('Inspections'!$H$4:$H$503,_calc!$E$118)),TEXT(INDEX('Inspections'!$H$4:$H$503,_calc!$E$118),"yyyy-mm-dd"),""))</f>
        <v/>
      </c>
      <c r="C116" s="55">
        <f>IF(_calc!$E$118="","","Inspection")</f>
        <v/>
      </c>
      <c r="D116" s="55">
        <f>IF(_calc!$E$118="","",IF(ISNUMBER(INDEX('Inspections'!$G$4:$G$503,_calc!$E$118)),TEXT(INDEX('Inspections'!$G$4:$G$503,_calc!$E$118),"yyyy-mm-dd"),""))</f>
        <v/>
      </c>
      <c r="F116" s="55">
        <f>IF(_calc!$E$118="","",TRIM(IF(LEN(IF(LEN(INDEX('Inspections'!$B$4:$B$503,_calc!$E$118))=0,"",INDEX('Inspections'!$B$4:$B$503,_calc!$E$118)))=0,"","System: "&amp;IF(LEN(INDEX('Inspections'!$B$4:$B$503,_calc!$E$118))=0,"",INDEX('Inspections'!$B$4:$B$503,_calc!$E$118))&amp;". ")&amp;IF(LEN(IF(LEN(INDEX('Inspections'!$D$4:$D$503,_calc!$E$118))=0,"",INDEX('Inspections'!$D$4:$D$503,_calc!$E$118)))=0,"","Every: "&amp;IF(LEN(INDEX('Inspections'!$D$4:$D$503,_calc!$E$118))=0,"",INDEX('Inspections'!$D$4:$D$503,_calc!$E$118))&amp;". ")&amp;IF(LEN(IF(LEN(INDEX('Inspections'!$E$4:$E$503,_calc!$E$118))=0,"",INDEX('Inspections'!$E$4:$E$503,_calc!$E$118)))=0,"","Unit: "&amp;IF(LEN(INDEX('Inspections'!$E$4:$E$503,_calc!$E$118))=0,"",INDEX('Inspections'!$E$4:$E$503,_calc!$E$118))&amp;". ")&amp;IF(LEN(IF(LEN(INDEX('Inspections'!$F$4:$F$503,_calc!$E$118))=0,"",INDEX('Inspections'!$F$4:$F$503,_calc!$E$118)))=0,"","Done by: "&amp;IF(LEN(INDEX('Inspections'!$F$4:$F$503,_calc!$E$118))=0,"",INDEX('Inspections'!$F$4:$F$503,_calc!$E$118))&amp;". ")&amp;IF(LEN(IF(LEN(INDEX('Inspections'!$M$4:$M$503,_calc!$E$118))=0,"",INDEX('Inspections'!$M$4:$M$503,_calc!$E$118)))=0,"","Source: "&amp;IF(LEN(INDEX('Inspections'!$M$4:$M$503,_calc!$E$118))=0,"",INDEX('Inspections'!$M$4:$M$503,_calc!$E$118))&amp;". ")&amp;IF(LEN(IF(LEN(INDEX('Inspections'!$N$4:$N$503,_calc!$E$118))=0,"",INDEX('Inspections'!$N$4:$N$503,_calc!$E$118)))=0,"","Owner: "&amp;IF(LEN(INDEX('Inspections'!$N$4:$N$503,_calc!$E$118))=0,"",INDEX('Inspections'!$N$4:$N$503,_calc!$E$118))&amp;". ")&amp;IF(LEN(IF(LEN(INDEX('Inspections'!$O$4:$O$503,_calc!$E$118))=0,"",INDEX('Inspections'!$O$4:$O$503,_calc!$E$118)))=0,"","Backup: "&amp;IF(LEN(INDEX('Inspections'!$O$4:$O$503,_calc!$E$118))=0,"",INDEX('Inspections'!$O$4:$O$503,_calc!$E$118))&amp;". ")&amp;IF(LEN(IF(LEN(INDEX('Inspections'!$R$4:$R$503,_calc!$E$118))=0,"",INDEX('Inspections'!$R$4:$R$503,_calc!$E$118)))=0,"",IF(LEN(INDEX('Inspections'!$R$4:$R$503,_calc!$E$118))=0,"",INDEX('Inspections'!$R$4:$R$503,_calc!$E$118)))))</f>
        <v/>
      </c>
      <c r="G116" s="55">
        <f>IF(_calc!$E$118="","",IF(LEN(INDEX('Inspections'!$Q$4:$Q$503,_calc!$E$118))=0,"",INDEX('Inspections'!$Q$4:$Q$503,_calc!$E$118)))</f>
        <v/>
      </c>
      <c r="K116" s="55">
        <f>IF(_calc!$E$118="","",IF(LEN(INDEX('Inspections'!$P$4:$P$503,_calc!$E$118))=0,"",INDEX('Inspections'!$P$4:$P$503,_calc!$E$118)))</f>
        <v/>
      </c>
    </row>
    <row r="117">
      <c r="A117" s="55">
        <f>IF(_calc!$E$119="","",IF(LEN(INDEX('Inspections'!$C$4:$C$503,_calc!$E$119))=0,"",INDEX('Inspections'!$C$4:$C$503,_calc!$E$119))&amp;" – "&amp;IF(LEN(INDEX('Inspections'!$A$4:$A$503,_calc!$E$119))=0,"",INDEX('Inspections'!$A$4:$A$503,_calc!$E$119)))</f>
        <v/>
      </c>
      <c r="B117" s="55">
        <f>IF(_calc!$E$119="","",IF(ISNUMBER(INDEX('Inspections'!$H$4:$H$503,_calc!$E$119)),TEXT(INDEX('Inspections'!$H$4:$H$503,_calc!$E$119),"yyyy-mm-dd"),""))</f>
        <v/>
      </c>
      <c r="C117" s="55">
        <f>IF(_calc!$E$119="","","Inspection")</f>
        <v/>
      </c>
      <c r="D117" s="55">
        <f>IF(_calc!$E$119="","",IF(ISNUMBER(INDEX('Inspections'!$G$4:$G$503,_calc!$E$119)),TEXT(INDEX('Inspections'!$G$4:$G$503,_calc!$E$119),"yyyy-mm-dd"),""))</f>
        <v/>
      </c>
      <c r="F117" s="55">
        <f>IF(_calc!$E$119="","",TRIM(IF(LEN(IF(LEN(INDEX('Inspections'!$B$4:$B$503,_calc!$E$119))=0,"",INDEX('Inspections'!$B$4:$B$503,_calc!$E$119)))=0,"","System: "&amp;IF(LEN(INDEX('Inspections'!$B$4:$B$503,_calc!$E$119))=0,"",INDEX('Inspections'!$B$4:$B$503,_calc!$E$119))&amp;". ")&amp;IF(LEN(IF(LEN(INDEX('Inspections'!$D$4:$D$503,_calc!$E$119))=0,"",INDEX('Inspections'!$D$4:$D$503,_calc!$E$119)))=0,"","Every: "&amp;IF(LEN(INDEX('Inspections'!$D$4:$D$503,_calc!$E$119))=0,"",INDEX('Inspections'!$D$4:$D$503,_calc!$E$119))&amp;". ")&amp;IF(LEN(IF(LEN(INDEX('Inspections'!$E$4:$E$503,_calc!$E$119))=0,"",INDEX('Inspections'!$E$4:$E$503,_calc!$E$119)))=0,"","Unit: "&amp;IF(LEN(INDEX('Inspections'!$E$4:$E$503,_calc!$E$119))=0,"",INDEX('Inspections'!$E$4:$E$503,_calc!$E$119))&amp;". ")&amp;IF(LEN(IF(LEN(INDEX('Inspections'!$F$4:$F$503,_calc!$E$119))=0,"",INDEX('Inspections'!$F$4:$F$503,_calc!$E$119)))=0,"","Done by: "&amp;IF(LEN(INDEX('Inspections'!$F$4:$F$503,_calc!$E$119))=0,"",INDEX('Inspections'!$F$4:$F$503,_calc!$E$119))&amp;". ")&amp;IF(LEN(IF(LEN(INDEX('Inspections'!$M$4:$M$503,_calc!$E$119))=0,"",INDEX('Inspections'!$M$4:$M$503,_calc!$E$119)))=0,"","Source: "&amp;IF(LEN(INDEX('Inspections'!$M$4:$M$503,_calc!$E$119))=0,"",INDEX('Inspections'!$M$4:$M$503,_calc!$E$119))&amp;". ")&amp;IF(LEN(IF(LEN(INDEX('Inspections'!$N$4:$N$503,_calc!$E$119))=0,"",INDEX('Inspections'!$N$4:$N$503,_calc!$E$119)))=0,"","Owner: "&amp;IF(LEN(INDEX('Inspections'!$N$4:$N$503,_calc!$E$119))=0,"",INDEX('Inspections'!$N$4:$N$503,_calc!$E$119))&amp;". ")&amp;IF(LEN(IF(LEN(INDEX('Inspections'!$O$4:$O$503,_calc!$E$119))=0,"",INDEX('Inspections'!$O$4:$O$503,_calc!$E$119)))=0,"","Backup: "&amp;IF(LEN(INDEX('Inspections'!$O$4:$O$503,_calc!$E$119))=0,"",INDEX('Inspections'!$O$4:$O$503,_calc!$E$119))&amp;". ")&amp;IF(LEN(IF(LEN(INDEX('Inspections'!$R$4:$R$503,_calc!$E$119))=0,"",INDEX('Inspections'!$R$4:$R$503,_calc!$E$119)))=0,"",IF(LEN(INDEX('Inspections'!$R$4:$R$503,_calc!$E$119))=0,"",INDEX('Inspections'!$R$4:$R$503,_calc!$E$119)))))</f>
        <v/>
      </c>
      <c r="G117" s="55">
        <f>IF(_calc!$E$119="","",IF(LEN(INDEX('Inspections'!$Q$4:$Q$503,_calc!$E$119))=0,"",INDEX('Inspections'!$Q$4:$Q$503,_calc!$E$119)))</f>
        <v/>
      </c>
      <c r="K117" s="55">
        <f>IF(_calc!$E$119="","",IF(LEN(INDEX('Inspections'!$P$4:$P$503,_calc!$E$119))=0,"",INDEX('Inspections'!$P$4:$P$503,_calc!$E$119)))</f>
        <v/>
      </c>
    </row>
    <row r="118">
      <c r="A118" s="55">
        <f>IF(_calc!$E$120="","",IF(LEN(INDEX('Inspections'!$C$4:$C$503,_calc!$E$120))=0,"",INDEX('Inspections'!$C$4:$C$503,_calc!$E$120))&amp;" – "&amp;IF(LEN(INDEX('Inspections'!$A$4:$A$503,_calc!$E$120))=0,"",INDEX('Inspections'!$A$4:$A$503,_calc!$E$120)))</f>
        <v/>
      </c>
      <c r="B118" s="55">
        <f>IF(_calc!$E$120="","",IF(ISNUMBER(INDEX('Inspections'!$H$4:$H$503,_calc!$E$120)),TEXT(INDEX('Inspections'!$H$4:$H$503,_calc!$E$120),"yyyy-mm-dd"),""))</f>
        <v/>
      </c>
      <c r="C118" s="55">
        <f>IF(_calc!$E$120="","","Inspection")</f>
        <v/>
      </c>
      <c r="D118" s="55">
        <f>IF(_calc!$E$120="","",IF(ISNUMBER(INDEX('Inspections'!$G$4:$G$503,_calc!$E$120)),TEXT(INDEX('Inspections'!$G$4:$G$503,_calc!$E$120),"yyyy-mm-dd"),""))</f>
        <v/>
      </c>
      <c r="F118" s="55">
        <f>IF(_calc!$E$120="","",TRIM(IF(LEN(IF(LEN(INDEX('Inspections'!$B$4:$B$503,_calc!$E$120))=0,"",INDEX('Inspections'!$B$4:$B$503,_calc!$E$120)))=0,"","System: "&amp;IF(LEN(INDEX('Inspections'!$B$4:$B$503,_calc!$E$120))=0,"",INDEX('Inspections'!$B$4:$B$503,_calc!$E$120))&amp;". ")&amp;IF(LEN(IF(LEN(INDEX('Inspections'!$D$4:$D$503,_calc!$E$120))=0,"",INDEX('Inspections'!$D$4:$D$503,_calc!$E$120)))=0,"","Every: "&amp;IF(LEN(INDEX('Inspections'!$D$4:$D$503,_calc!$E$120))=0,"",INDEX('Inspections'!$D$4:$D$503,_calc!$E$120))&amp;". ")&amp;IF(LEN(IF(LEN(INDEX('Inspections'!$E$4:$E$503,_calc!$E$120))=0,"",INDEX('Inspections'!$E$4:$E$503,_calc!$E$120)))=0,"","Unit: "&amp;IF(LEN(INDEX('Inspections'!$E$4:$E$503,_calc!$E$120))=0,"",INDEX('Inspections'!$E$4:$E$503,_calc!$E$120))&amp;". ")&amp;IF(LEN(IF(LEN(INDEX('Inspections'!$F$4:$F$503,_calc!$E$120))=0,"",INDEX('Inspections'!$F$4:$F$503,_calc!$E$120)))=0,"","Done by: "&amp;IF(LEN(INDEX('Inspections'!$F$4:$F$503,_calc!$E$120))=0,"",INDEX('Inspections'!$F$4:$F$503,_calc!$E$120))&amp;". ")&amp;IF(LEN(IF(LEN(INDEX('Inspections'!$M$4:$M$503,_calc!$E$120))=0,"",INDEX('Inspections'!$M$4:$M$503,_calc!$E$120)))=0,"","Source: "&amp;IF(LEN(INDEX('Inspections'!$M$4:$M$503,_calc!$E$120))=0,"",INDEX('Inspections'!$M$4:$M$503,_calc!$E$120))&amp;". ")&amp;IF(LEN(IF(LEN(INDEX('Inspections'!$N$4:$N$503,_calc!$E$120))=0,"",INDEX('Inspections'!$N$4:$N$503,_calc!$E$120)))=0,"","Owner: "&amp;IF(LEN(INDEX('Inspections'!$N$4:$N$503,_calc!$E$120))=0,"",INDEX('Inspections'!$N$4:$N$503,_calc!$E$120))&amp;". ")&amp;IF(LEN(IF(LEN(INDEX('Inspections'!$O$4:$O$503,_calc!$E$120))=0,"",INDEX('Inspections'!$O$4:$O$503,_calc!$E$120)))=0,"","Backup: "&amp;IF(LEN(INDEX('Inspections'!$O$4:$O$503,_calc!$E$120))=0,"",INDEX('Inspections'!$O$4:$O$503,_calc!$E$120))&amp;". ")&amp;IF(LEN(IF(LEN(INDEX('Inspections'!$R$4:$R$503,_calc!$E$120))=0,"",INDEX('Inspections'!$R$4:$R$503,_calc!$E$120)))=0,"",IF(LEN(INDEX('Inspections'!$R$4:$R$503,_calc!$E$120))=0,"",INDEX('Inspections'!$R$4:$R$503,_calc!$E$120)))))</f>
        <v/>
      </c>
      <c r="G118" s="55">
        <f>IF(_calc!$E$120="","",IF(LEN(INDEX('Inspections'!$Q$4:$Q$503,_calc!$E$120))=0,"",INDEX('Inspections'!$Q$4:$Q$503,_calc!$E$120)))</f>
        <v/>
      </c>
      <c r="K118" s="55">
        <f>IF(_calc!$E$120="","",IF(LEN(INDEX('Inspections'!$P$4:$P$503,_calc!$E$120))=0,"",INDEX('Inspections'!$P$4:$P$503,_calc!$E$120)))</f>
        <v/>
      </c>
    </row>
    <row r="119">
      <c r="A119" s="55">
        <f>IF(_calc!$E$121="","",IF(LEN(INDEX('Inspections'!$C$4:$C$503,_calc!$E$121))=0,"",INDEX('Inspections'!$C$4:$C$503,_calc!$E$121))&amp;" – "&amp;IF(LEN(INDEX('Inspections'!$A$4:$A$503,_calc!$E$121))=0,"",INDEX('Inspections'!$A$4:$A$503,_calc!$E$121)))</f>
        <v/>
      </c>
      <c r="B119" s="55">
        <f>IF(_calc!$E$121="","",IF(ISNUMBER(INDEX('Inspections'!$H$4:$H$503,_calc!$E$121)),TEXT(INDEX('Inspections'!$H$4:$H$503,_calc!$E$121),"yyyy-mm-dd"),""))</f>
        <v/>
      </c>
      <c r="C119" s="55">
        <f>IF(_calc!$E$121="","","Inspection")</f>
        <v/>
      </c>
      <c r="D119" s="55">
        <f>IF(_calc!$E$121="","",IF(ISNUMBER(INDEX('Inspections'!$G$4:$G$503,_calc!$E$121)),TEXT(INDEX('Inspections'!$G$4:$G$503,_calc!$E$121),"yyyy-mm-dd"),""))</f>
        <v/>
      </c>
      <c r="F119" s="55">
        <f>IF(_calc!$E$121="","",TRIM(IF(LEN(IF(LEN(INDEX('Inspections'!$B$4:$B$503,_calc!$E$121))=0,"",INDEX('Inspections'!$B$4:$B$503,_calc!$E$121)))=0,"","System: "&amp;IF(LEN(INDEX('Inspections'!$B$4:$B$503,_calc!$E$121))=0,"",INDEX('Inspections'!$B$4:$B$503,_calc!$E$121))&amp;". ")&amp;IF(LEN(IF(LEN(INDEX('Inspections'!$D$4:$D$503,_calc!$E$121))=0,"",INDEX('Inspections'!$D$4:$D$503,_calc!$E$121)))=0,"","Every: "&amp;IF(LEN(INDEX('Inspections'!$D$4:$D$503,_calc!$E$121))=0,"",INDEX('Inspections'!$D$4:$D$503,_calc!$E$121))&amp;". ")&amp;IF(LEN(IF(LEN(INDEX('Inspections'!$E$4:$E$503,_calc!$E$121))=0,"",INDEX('Inspections'!$E$4:$E$503,_calc!$E$121)))=0,"","Unit: "&amp;IF(LEN(INDEX('Inspections'!$E$4:$E$503,_calc!$E$121))=0,"",INDEX('Inspections'!$E$4:$E$503,_calc!$E$121))&amp;". ")&amp;IF(LEN(IF(LEN(INDEX('Inspections'!$F$4:$F$503,_calc!$E$121))=0,"",INDEX('Inspections'!$F$4:$F$503,_calc!$E$121)))=0,"","Done by: "&amp;IF(LEN(INDEX('Inspections'!$F$4:$F$503,_calc!$E$121))=0,"",INDEX('Inspections'!$F$4:$F$503,_calc!$E$121))&amp;". ")&amp;IF(LEN(IF(LEN(INDEX('Inspections'!$M$4:$M$503,_calc!$E$121))=0,"",INDEX('Inspections'!$M$4:$M$503,_calc!$E$121)))=0,"","Source: "&amp;IF(LEN(INDEX('Inspections'!$M$4:$M$503,_calc!$E$121))=0,"",INDEX('Inspections'!$M$4:$M$503,_calc!$E$121))&amp;". ")&amp;IF(LEN(IF(LEN(INDEX('Inspections'!$N$4:$N$503,_calc!$E$121))=0,"",INDEX('Inspections'!$N$4:$N$503,_calc!$E$121)))=0,"","Owner: "&amp;IF(LEN(INDEX('Inspections'!$N$4:$N$503,_calc!$E$121))=0,"",INDEX('Inspections'!$N$4:$N$503,_calc!$E$121))&amp;". ")&amp;IF(LEN(IF(LEN(INDEX('Inspections'!$O$4:$O$503,_calc!$E$121))=0,"",INDEX('Inspections'!$O$4:$O$503,_calc!$E$121)))=0,"","Backup: "&amp;IF(LEN(INDEX('Inspections'!$O$4:$O$503,_calc!$E$121))=0,"",INDEX('Inspections'!$O$4:$O$503,_calc!$E$121))&amp;". ")&amp;IF(LEN(IF(LEN(INDEX('Inspections'!$R$4:$R$503,_calc!$E$121))=0,"",INDEX('Inspections'!$R$4:$R$503,_calc!$E$121)))=0,"",IF(LEN(INDEX('Inspections'!$R$4:$R$503,_calc!$E$121))=0,"",INDEX('Inspections'!$R$4:$R$503,_calc!$E$121)))))</f>
        <v/>
      </c>
      <c r="G119" s="55">
        <f>IF(_calc!$E$121="","",IF(LEN(INDEX('Inspections'!$Q$4:$Q$503,_calc!$E$121))=0,"",INDEX('Inspections'!$Q$4:$Q$503,_calc!$E$121)))</f>
        <v/>
      </c>
      <c r="K119" s="55">
        <f>IF(_calc!$E$121="","",IF(LEN(INDEX('Inspections'!$P$4:$P$503,_calc!$E$121))=0,"",INDEX('Inspections'!$P$4:$P$503,_calc!$E$121)))</f>
        <v/>
      </c>
    </row>
    <row r="120">
      <c r="A120" s="55">
        <f>IF(_calc!$E$122="","",IF(LEN(INDEX('Inspections'!$C$4:$C$503,_calc!$E$122))=0,"",INDEX('Inspections'!$C$4:$C$503,_calc!$E$122))&amp;" – "&amp;IF(LEN(INDEX('Inspections'!$A$4:$A$503,_calc!$E$122))=0,"",INDEX('Inspections'!$A$4:$A$503,_calc!$E$122)))</f>
        <v/>
      </c>
      <c r="B120" s="55">
        <f>IF(_calc!$E$122="","",IF(ISNUMBER(INDEX('Inspections'!$H$4:$H$503,_calc!$E$122)),TEXT(INDEX('Inspections'!$H$4:$H$503,_calc!$E$122),"yyyy-mm-dd"),""))</f>
        <v/>
      </c>
      <c r="C120" s="55">
        <f>IF(_calc!$E$122="","","Inspection")</f>
        <v/>
      </c>
      <c r="D120" s="55">
        <f>IF(_calc!$E$122="","",IF(ISNUMBER(INDEX('Inspections'!$G$4:$G$503,_calc!$E$122)),TEXT(INDEX('Inspections'!$G$4:$G$503,_calc!$E$122),"yyyy-mm-dd"),""))</f>
        <v/>
      </c>
      <c r="F120" s="55">
        <f>IF(_calc!$E$122="","",TRIM(IF(LEN(IF(LEN(INDEX('Inspections'!$B$4:$B$503,_calc!$E$122))=0,"",INDEX('Inspections'!$B$4:$B$503,_calc!$E$122)))=0,"","System: "&amp;IF(LEN(INDEX('Inspections'!$B$4:$B$503,_calc!$E$122))=0,"",INDEX('Inspections'!$B$4:$B$503,_calc!$E$122))&amp;". ")&amp;IF(LEN(IF(LEN(INDEX('Inspections'!$D$4:$D$503,_calc!$E$122))=0,"",INDEX('Inspections'!$D$4:$D$503,_calc!$E$122)))=0,"","Every: "&amp;IF(LEN(INDEX('Inspections'!$D$4:$D$503,_calc!$E$122))=0,"",INDEX('Inspections'!$D$4:$D$503,_calc!$E$122))&amp;". ")&amp;IF(LEN(IF(LEN(INDEX('Inspections'!$E$4:$E$503,_calc!$E$122))=0,"",INDEX('Inspections'!$E$4:$E$503,_calc!$E$122)))=0,"","Unit: "&amp;IF(LEN(INDEX('Inspections'!$E$4:$E$503,_calc!$E$122))=0,"",INDEX('Inspections'!$E$4:$E$503,_calc!$E$122))&amp;". ")&amp;IF(LEN(IF(LEN(INDEX('Inspections'!$F$4:$F$503,_calc!$E$122))=0,"",INDEX('Inspections'!$F$4:$F$503,_calc!$E$122)))=0,"","Done by: "&amp;IF(LEN(INDEX('Inspections'!$F$4:$F$503,_calc!$E$122))=0,"",INDEX('Inspections'!$F$4:$F$503,_calc!$E$122))&amp;". ")&amp;IF(LEN(IF(LEN(INDEX('Inspections'!$M$4:$M$503,_calc!$E$122))=0,"",INDEX('Inspections'!$M$4:$M$503,_calc!$E$122)))=0,"","Source: "&amp;IF(LEN(INDEX('Inspections'!$M$4:$M$503,_calc!$E$122))=0,"",INDEX('Inspections'!$M$4:$M$503,_calc!$E$122))&amp;". ")&amp;IF(LEN(IF(LEN(INDEX('Inspections'!$N$4:$N$503,_calc!$E$122))=0,"",INDEX('Inspections'!$N$4:$N$503,_calc!$E$122)))=0,"","Owner: "&amp;IF(LEN(INDEX('Inspections'!$N$4:$N$503,_calc!$E$122))=0,"",INDEX('Inspections'!$N$4:$N$503,_calc!$E$122))&amp;". ")&amp;IF(LEN(IF(LEN(INDEX('Inspections'!$O$4:$O$503,_calc!$E$122))=0,"",INDEX('Inspections'!$O$4:$O$503,_calc!$E$122)))=0,"","Backup: "&amp;IF(LEN(INDEX('Inspections'!$O$4:$O$503,_calc!$E$122))=0,"",INDEX('Inspections'!$O$4:$O$503,_calc!$E$122))&amp;". ")&amp;IF(LEN(IF(LEN(INDEX('Inspections'!$R$4:$R$503,_calc!$E$122))=0,"",INDEX('Inspections'!$R$4:$R$503,_calc!$E$122)))=0,"",IF(LEN(INDEX('Inspections'!$R$4:$R$503,_calc!$E$122))=0,"",INDEX('Inspections'!$R$4:$R$503,_calc!$E$122)))))</f>
        <v/>
      </c>
      <c r="G120" s="55">
        <f>IF(_calc!$E$122="","",IF(LEN(INDEX('Inspections'!$Q$4:$Q$503,_calc!$E$122))=0,"",INDEX('Inspections'!$Q$4:$Q$503,_calc!$E$122)))</f>
        <v/>
      </c>
      <c r="K120" s="55">
        <f>IF(_calc!$E$122="","",IF(LEN(INDEX('Inspections'!$P$4:$P$503,_calc!$E$122))=0,"",INDEX('Inspections'!$P$4:$P$503,_calc!$E$122)))</f>
        <v/>
      </c>
    </row>
    <row r="121">
      <c r="A121" s="55">
        <f>IF(_calc!$E$123="","",IF(LEN(INDEX('Inspections'!$C$4:$C$503,_calc!$E$123))=0,"",INDEX('Inspections'!$C$4:$C$503,_calc!$E$123))&amp;" – "&amp;IF(LEN(INDEX('Inspections'!$A$4:$A$503,_calc!$E$123))=0,"",INDEX('Inspections'!$A$4:$A$503,_calc!$E$123)))</f>
        <v/>
      </c>
      <c r="B121" s="55">
        <f>IF(_calc!$E$123="","",IF(ISNUMBER(INDEX('Inspections'!$H$4:$H$503,_calc!$E$123)),TEXT(INDEX('Inspections'!$H$4:$H$503,_calc!$E$123),"yyyy-mm-dd"),""))</f>
        <v/>
      </c>
      <c r="C121" s="55">
        <f>IF(_calc!$E$123="","","Inspection")</f>
        <v/>
      </c>
      <c r="D121" s="55">
        <f>IF(_calc!$E$123="","",IF(ISNUMBER(INDEX('Inspections'!$G$4:$G$503,_calc!$E$123)),TEXT(INDEX('Inspections'!$G$4:$G$503,_calc!$E$123),"yyyy-mm-dd"),""))</f>
        <v/>
      </c>
      <c r="F121" s="55">
        <f>IF(_calc!$E$123="","",TRIM(IF(LEN(IF(LEN(INDEX('Inspections'!$B$4:$B$503,_calc!$E$123))=0,"",INDEX('Inspections'!$B$4:$B$503,_calc!$E$123)))=0,"","System: "&amp;IF(LEN(INDEX('Inspections'!$B$4:$B$503,_calc!$E$123))=0,"",INDEX('Inspections'!$B$4:$B$503,_calc!$E$123))&amp;". ")&amp;IF(LEN(IF(LEN(INDEX('Inspections'!$D$4:$D$503,_calc!$E$123))=0,"",INDEX('Inspections'!$D$4:$D$503,_calc!$E$123)))=0,"","Every: "&amp;IF(LEN(INDEX('Inspections'!$D$4:$D$503,_calc!$E$123))=0,"",INDEX('Inspections'!$D$4:$D$503,_calc!$E$123))&amp;". ")&amp;IF(LEN(IF(LEN(INDEX('Inspections'!$E$4:$E$503,_calc!$E$123))=0,"",INDEX('Inspections'!$E$4:$E$503,_calc!$E$123)))=0,"","Unit: "&amp;IF(LEN(INDEX('Inspections'!$E$4:$E$503,_calc!$E$123))=0,"",INDEX('Inspections'!$E$4:$E$503,_calc!$E$123))&amp;". ")&amp;IF(LEN(IF(LEN(INDEX('Inspections'!$F$4:$F$503,_calc!$E$123))=0,"",INDEX('Inspections'!$F$4:$F$503,_calc!$E$123)))=0,"","Done by: "&amp;IF(LEN(INDEX('Inspections'!$F$4:$F$503,_calc!$E$123))=0,"",INDEX('Inspections'!$F$4:$F$503,_calc!$E$123))&amp;". ")&amp;IF(LEN(IF(LEN(INDEX('Inspections'!$M$4:$M$503,_calc!$E$123))=0,"",INDEX('Inspections'!$M$4:$M$503,_calc!$E$123)))=0,"","Source: "&amp;IF(LEN(INDEX('Inspections'!$M$4:$M$503,_calc!$E$123))=0,"",INDEX('Inspections'!$M$4:$M$503,_calc!$E$123))&amp;". ")&amp;IF(LEN(IF(LEN(INDEX('Inspections'!$N$4:$N$503,_calc!$E$123))=0,"",INDEX('Inspections'!$N$4:$N$503,_calc!$E$123)))=0,"","Owner: "&amp;IF(LEN(INDEX('Inspections'!$N$4:$N$503,_calc!$E$123))=0,"",INDEX('Inspections'!$N$4:$N$503,_calc!$E$123))&amp;". ")&amp;IF(LEN(IF(LEN(INDEX('Inspections'!$O$4:$O$503,_calc!$E$123))=0,"",INDEX('Inspections'!$O$4:$O$503,_calc!$E$123)))=0,"","Backup: "&amp;IF(LEN(INDEX('Inspections'!$O$4:$O$503,_calc!$E$123))=0,"",INDEX('Inspections'!$O$4:$O$503,_calc!$E$123))&amp;". ")&amp;IF(LEN(IF(LEN(INDEX('Inspections'!$R$4:$R$503,_calc!$E$123))=0,"",INDEX('Inspections'!$R$4:$R$503,_calc!$E$123)))=0,"",IF(LEN(INDEX('Inspections'!$R$4:$R$503,_calc!$E$123))=0,"",INDEX('Inspections'!$R$4:$R$503,_calc!$E$123)))))</f>
        <v/>
      </c>
      <c r="G121" s="55">
        <f>IF(_calc!$E$123="","",IF(LEN(INDEX('Inspections'!$Q$4:$Q$503,_calc!$E$123))=0,"",INDEX('Inspections'!$Q$4:$Q$503,_calc!$E$123)))</f>
        <v/>
      </c>
      <c r="K121" s="55">
        <f>IF(_calc!$E$123="","",IF(LEN(INDEX('Inspections'!$P$4:$P$503,_calc!$E$123))=0,"",INDEX('Inspections'!$P$4:$P$503,_calc!$E$123)))</f>
        <v/>
      </c>
    </row>
    <row r="122">
      <c r="A122" s="55">
        <f>IF(_calc!$E$124="","",IF(LEN(INDEX('Inspections'!$C$4:$C$503,_calc!$E$124))=0,"",INDEX('Inspections'!$C$4:$C$503,_calc!$E$124))&amp;" – "&amp;IF(LEN(INDEX('Inspections'!$A$4:$A$503,_calc!$E$124))=0,"",INDEX('Inspections'!$A$4:$A$503,_calc!$E$124)))</f>
        <v/>
      </c>
      <c r="B122" s="55">
        <f>IF(_calc!$E$124="","",IF(ISNUMBER(INDEX('Inspections'!$H$4:$H$503,_calc!$E$124)),TEXT(INDEX('Inspections'!$H$4:$H$503,_calc!$E$124),"yyyy-mm-dd"),""))</f>
        <v/>
      </c>
      <c r="C122" s="55">
        <f>IF(_calc!$E$124="","","Inspection")</f>
        <v/>
      </c>
      <c r="D122" s="55">
        <f>IF(_calc!$E$124="","",IF(ISNUMBER(INDEX('Inspections'!$G$4:$G$503,_calc!$E$124)),TEXT(INDEX('Inspections'!$G$4:$G$503,_calc!$E$124),"yyyy-mm-dd"),""))</f>
        <v/>
      </c>
      <c r="F122" s="55">
        <f>IF(_calc!$E$124="","",TRIM(IF(LEN(IF(LEN(INDEX('Inspections'!$B$4:$B$503,_calc!$E$124))=0,"",INDEX('Inspections'!$B$4:$B$503,_calc!$E$124)))=0,"","System: "&amp;IF(LEN(INDEX('Inspections'!$B$4:$B$503,_calc!$E$124))=0,"",INDEX('Inspections'!$B$4:$B$503,_calc!$E$124))&amp;". ")&amp;IF(LEN(IF(LEN(INDEX('Inspections'!$D$4:$D$503,_calc!$E$124))=0,"",INDEX('Inspections'!$D$4:$D$503,_calc!$E$124)))=0,"","Every: "&amp;IF(LEN(INDEX('Inspections'!$D$4:$D$503,_calc!$E$124))=0,"",INDEX('Inspections'!$D$4:$D$503,_calc!$E$124))&amp;". ")&amp;IF(LEN(IF(LEN(INDEX('Inspections'!$E$4:$E$503,_calc!$E$124))=0,"",INDEX('Inspections'!$E$4:$E$503,_calc!$E$124)))=0,"","Unit: "&amp;IF(LEN(INDEX('Inspections'!$E$4:$E$503,_calc!$E$124))=0,"",INDEX('Inspections'!$E$4:$E$503,_calc!$E$124))&amp;". ")&amp;IF(LEN(IF(LEN(INDEX('Inspections'!$F$4:$F$503,_calc!$E$124))=0,"",INDEX('Inspections'!$F$4:$F$503,_calc!$E$124)))=0,"","Done by: "&amp;IF(LEN(INDEX('Inspections'!$F$4:$F$503,_calc!$E$124))=0,"",INDEX('Inspections'!$F$4:$F$503,_calc!$E$124))&amp;". ")&amp;IF(LEN(IF(LEN(INDEX('Inspections'!$M$4:$M$503,_calc!$E$124))=0,"",INDEX('Inspections'!$M$4:$M$503,_calc!$E$124)))=0,"","Source: "&amp;IF(LEN(INDEX('Inspections'!$M$4:$M$503,_calc!$E$124))=0,"",INDEX('Inspections'!$M$4:$M$503,_calc!$E$124))&amp;". ")&amp;IF(LEN(IF(LEN(INDEX('Inspections'!$N$4:$N$503,_calc!$E$124))=0,"",INDEX('Inspections'!$N$4:$N$503,_calc!$E$124)))=0,"","Owner: "&amp;IF(LEN(INDEX('Inspections'!$N$4:$N$503,_calc!$E$124))=0,"",INDEX('Inspections'!$N$4:$N$503,_calc!$E$124))&amp;". ")&amp;IF(LEN(IF(LEN(INDEX('Inspections'!$O$4:$O$503,_calc!$E$124))=0,"",INDEX('Inspections'!$O$4:$O$503,_calc!$E$124)))=0,"","Backup: "&amp;IF(LEN(INDEX('Inspections'!$O$4:$O$503,_calc!$E$124))=0,"",INDEX('Inspections'!$O$4:$O$503,_calc!$E$124))&amp;". ")&amp;IF(LEN(IF(LEN(INDEX('Inspections'!$R$4:$R$503,_calc!$E$124))=0,"",INDEX('Inspections'!$R$4:$R$503,_calc!$E$124)))=0,"",IF(LEN(INDEX('Inspections'!$R$4:$R$503,_calc!$E$124))=0,"",INDEX('Inspections'!$R$4:$R$503,_calc!$E$124)))))</f>
        <v/>
      </c>
      <c r="G122" s="55">
        <f>IF(_calc!$E$124="","",IF(LEN(INDEX('Inspections'!$Q$4:$Q$503,_calc!$E$124))=0,"",INDEX('Inspections'!$Q$4:$Q$503,_calc!$E$124)))</f>
        <v/>
      </c>
      <c r="K122" s="55">
        <f>IF(_calc!$E$124="","",IF(LEN(INDEX('Inspections'!$P$4:$P$503,_calc!$E$124))=0,"",INDEX('Inspections'!$P$4:$P$503,_calc!$E$124)))</f>
        <v/>
      </c>
    </row>
    <row r="123">
      <c r="A123" s="55">
        <f>IF(_calc!$E$125="","",IF(LEN(INDEX('Inspections'!$C$4:$C$503,_calc!$E$125))=0,"",INDEX('Inspections'!$C$4:$C$503,_calc!$E$125))&amp;" – "&amp;IF(LEN(INDEX('Inspections'!$A$4:$A$503,_calc!$E$125))=0,"",INDEX('Inspections'!$A$4:$A$503,_calc!$E$125)))</f>
        <v/>
      </c>
      <c r="B123" s="55">
        <f>IF(_calc!$E$125="","",IF(ISNUMBER(INDEX('Inspections'!$H$4:$H$503,_calc!$E$125)),TEXT(INDEX('Inspections'!$H$4:$H$503,_calc!$E$125),"yyyy-mm-dd"),""))</f>
        <v/>
      </c>
      <c r="C123" s="55">
        <f>IF(_calc!$E$125="","","Inspection")</f>
        <v/>
      </c>
      <c r="D123" s="55">
        <f>IF(_calc!$E$125="","",IF(ISNUMBER(INDEX('Inspections'!$G$4:$G$503,_calc!$E$125)),TEXT(INDEX('Inspections'!$G$4:$G$503,_calc!$E$125),"yyyy-mm-dd"),""))</f>
        <v/>
      </c>
      <c r="F123" s="55">
        <f>IF(_calc!$E$125="","",TRIM(IF(LEN(IF(LEN(INDEX('Inspections'!$B$4:$B$503,_calc!$E$125))=0,"",INDEX('Inspections'!$B$4:$B$503,_calc!$E$125)))=0,"","System: "&amp;IF(LEN(INDEX('Inspections'!$B$4:$B$503,_calc!$E$125))=0,"",INDEX('Inspections'!$B$4:$B$503,_calc!$E$125))&amp;". ")&amp;IF(LEN(IF(LEN(INDEX('Inspections'!$D$4:$D$503,_calc!$E$125))=0,"",INDEX('Inspections'!$D$4:$D$503,_calc!$E$125)))=0,"","Every: "&amp;IF(LEN(INDEX('Inspections'!$D$4:$D$503,_calc!$E$125))=0,"",INDEX('Inspections'!$D$4:$D$503,_calc!$E$125))&amp;". ")&amp;IF(LEN(IF(LEN(INDEX('Inspections'!$E$4:$E$503,_calc!$E$125))=0,"",INDEX('Inspections'!$E$4:$E$503,_calc!$E$125)))=0,"","Unit: "&amp;IF(LEN(INDEX('Inspections'!$E$4:$E$503,_calc!$E$125))=0,"",INDEX('Inspections'!$E$4:$E$503,_calc!$E$125))&amp;". ")&amp;IF(LEN(IF(LEN(INDEX('Inspections'!$F$4:$F$503,_calc!$E$125))=0,"",INDEX('Inspections'!$F$4:$F$503,_calc!$E$125)))=0,"","Done by: "&amp;IF(LEN(INDEX('Inspections'!$F$4:$F$503,_calc!$E$125))=0,"",INDEX('Inspections'!$F$4:$F$503,_calc!$E$125))&amp;". ")&amp;IF(LEN(IF(LEN(INDEX('Inspections'!$M$4:$M$503,_calc!$E$125))=0,"",INDEX('Inspections'!$M$4:$M$503,_calc!$E$125)))=0,"","Source: "&amp;IF(LEN(INDEX('Inspections'!$M$4:$M$503,_calc!$E$125))=0,"",INDEX('Inspections'!$M$4:$M$503,_calc!$E$125))&amp;". ")&amp;IF(LEN(IF(LEN(INDEX('Inspections'!$N$4:$N$503,_calc!$E$125))=0,"",INDEX('Inspections'!$N$4:$N$503,_calc!$E$125)))=0,"","Owner: "&amp;IF(LEN(INDEX('Inspections'!$N$4:$N$503,_calc!$E$125))=0,"",INDEX('Inspections'!$N$4:$N$503,_calc!$E$125))&amp;". ")&amp;IF(LEN(IF(LEN(INDEX('Inspections'!$O$4:$O$503,_calc!$E$125))=0,"",INDEX('Inspections'!$O$4:$O$503,_calc!$E$125)))=0,"","Backup: "&amp;IF(LEN(INDEX('Inspections'!$O$4:$O$503,_calc!$E$125))=0,"",INDEX('Inspections'!$O$4:$O$503,_calc!$E$125))&amp;". ")&amp;IF(LEN(IF(LEN(INDEX('Inspections'!$R$4:$R$503,_calc!$E$125))=0,"",INDEX('Inspections'!$R$4:$R$503,_calc!$E$125)))=0,"",IF(LEN(INDEX('Inspections'!$R$4:$R$503,_calc!$E$125))=0,"",INDEX('Inspections'!$R$4:$R$503,_calc!$E$125)))))</f>
        <v/>
      </c>
      <c r="G123" s="55">
        <f>IF(_calc!$E$125="","",IF(LEN(INDEX('Inspections'!$Q$4:$Q$503,_calc!$E$125))=0,"",INDEX('Inspections'!$Q$4:$Q$503,_calc!$E$125)))</f>
        <v/>
      </c>
      <c r="K123" s="55">
        <f>IF(_calc!$E$125="","",IF(LEN(INDEX('Inspections'!$P$4:$P$503,_calc!$E$125))=0,"",INDEX('Inspections'!$P$4:$P$503,_calc!$E$125)))</f>
        <v/>
      </c>
    </row>
    <row r="124">
      <c r="A124" s="55">
        <f>IF(_calc!$E$126="","",IF(LEN(INDEX('Inspections'!$C$4:$C$503,_calc!$E$126))=0,"",INDEX('Inspections'!$C$4:$C$503,_calc!$E$126))&amp;" – "&amp;IF(LEN(INDEX('Inspections'!$A$4:$A$503,_calc!$E$126))=0,"",INDEX('Inspections'!$A$4:$A$503,_calc!$E$126)))</f>
        <v/>
      </c>
      <c r="B124" s="55">
        <f>IF(_calc!$E$126="","",IF(ISNUMBER(INDEX('Inspections'!$H$4:$H$503,_calc!$E$126)),TEXT(INDEX('Inspections'!$H$4:$H$503,_calc!$E$126),"yyyy-mm-dd"),""))</f>
        <v/>
      </c>
      <c r="C124" s="55">
        <f>IF(_calc!$E$126="","","Inspection")</f>
        <v/>
      </c>
      <c r="D124" s="55">
        <f>IF(_calc!$E$126="","",IF(ISNUMBER(INDEX('Inspections'!$G$4:$G$503,_calc!$E$126)),TEXT(INDEX('Inspections'!$G$4:$G$503,_calc!$E$126),"yyyy-mm-dd"),""))</f>
        <v/>
      </c>
      <c r="F124" s="55">
        <f>IF(_calc!$E$126="","",TRIM(IF(LEN(IF(LEN(INDEX('Inspections'!$B$4:$B$503,_calc!$E$126))=0,"",INDEX('Inspections'!$B$4:$B$503,_calc!$E$126)))=0,"","System: "&amp;IF(LEN(INDEX('Inspections'!$B$4:$B$503,_calc!$E$126))=0,"",INDEX('Inspections'!$B$4:$B$503,_calc!$E$126))&amp;". ")&amp;IF(LEN(IF(LEN(INDEX('Inspections'!$D$4:$D$503,_calc!$E$126))=0,"",INDEX('Inspections'!$D$4:$D$503,_calc!$E$126)))=0,"","Every: "&amp;IF(LEN(INDEX('Inspections'!$D$4:$D$503,_calc!$E$126))=0,"",INDEX('Inspections'!$D$4:$D$503,_calc!$E$126))&amp;". ")&amp;IF(LEN(IF(LEN(INDEX('Inspections'!$E$4:$E$503,_calc!$E$126))=0,"",INDEX('Inspections'!$E$4:$E$503,_calc!$E$126)))=0,"","Unit: "&amp;IF(LEN(INDEX('Inspections'!$E$4:$E$503,_calc!$E$126))=0,"",INDEX('Inspections'!$E$4:$E$503,_calc!$E$126))&amp;". ")&amp;IF(LEN(IF(LEN(INDEX('Inspections'!$F$4:$F$503,_calc!$E$126))=0,"",INDEX('Inspections'!$F$4:$F$503,_calc!$E$126)))=0,"","Done by: "&amp;IF(LEN(INDEX('Inspections'!$F$4:$F$503,_calc!$E$126))=0,"",INDEX('Inspections'!$F$4:$F$503,_calc!$E$126))&amp;". ")&amp;IF(LEN(IF(LEN(INDEX('Inspections'!$M$4:$M$503,_calc!$E$126))=0,"",INDEX('Inspections'!$M$4:$M$503,_calc!$E$126)))=0,"","Source: "&amp;IF(LEN(INDEX('Inspections'!$M$4:$M$503,_calc!$E$126))=0,"",INDEX('Inspections'!$M$4:$M$503,_calc!$E$126))&amp;". ")&amp;IF(LEN(IF(LEN(INDEX('Inspections'!$N$4:$N$503,_calc!$E$126))=0,"",INDEX('Inspections'!$N$4:$N$503,_calc!$E$126)))=0,"","Owner: "&amp;IF(LEN(INDEX('Inspections'!$N$4:$N$503,_calc!$E$126))=0,"",INDEX('Inspections'!$N$4:$N$503,_calc!$E$126))&amp;". ")&amp;IF(LEN(IF(LEN(INDEX('Inspections'!$O$4:$O$503,_calc!$E$126))=0,"",INDEX('Inspections'!$O$4:$O$503,_calc!$E$126)))=0,"","Backup: "&amp;IF(LEN(INDEX('Inspections'!$O$4:$O$503,_calc!$E$126))=0,"",INDEX('Inspections'!$O$4:$O$503,_calc!$E$126))&amp;". ")&amp;IF(LEN(IF(LEN(INDEX('Inspections'!$R$4:$R$503,_calc!$E$126))=0,"",INDEX('Inspections'!$R$4:$R$503,_calc!$E$126)))=0,"",IF(LEN(INDEX('Inspections'!$R$4:$R$503,_calc!$E$126))=0,"",INDEX('Inspections'!$R$4:$R$503,_calc!$E$126)))))</f>
        <v/>
      </c>
      <c r="G124" s="55">
        <f>IF(_calc!$E$126="","",IF(LEN(INDEX('Inspections'!$Q$4:$Q$503,_calc!$E$126))=0,"",INDEX('Inspections'!$Q$4:$Q$503,_calc!$E$126)))</f>
        <v/>
      </c>
      <c r="K124" s="55">
        <f>IF(_calc!$E$126="","",IF(LEN(INDEX('Inspections'!$P$4:$P$503,_calc!$E$126))=0,"",INDEX('Inspections'!$P$4:$P$503,_calc!$E$126)))</f>
        <v/>
      </c>
    </row>
    <row r="125">
      <c r="A125" s="55">
        <f>IF(_calc!$E$127="","",IF(LEN(INDEX('Inspections'!$C$4:$C$503,_calc!$E$127))=0,"",INDEX('Inspections'!$C$4:$C$503,_calc!$E$127))&amp;" – "&amp;IF(LEN(INDEX('Inspections'!$A$4:$A$503,_calc!$E$127))=0,"",INDEX('Inspections'!$A$4:$A$503,_calc!$E$127)))</f>
        <v/>
      </c>
      <c r="B125" s="55">
        <f>IF(_calc!$E$127="","",IF(ISNUMBER(INDEX('Inspections'!$H$4:$H$503,_calc!$E$127)),TEXT(INDEX('Inspections'!$H$4:$H$503,_calc!$E$127),"yyyy-mm-dd"),""))</f>
        <v/>
      </c>
      <c r="C125" s="55">
        <f>IF(_calc!$E$127="","","Inspection")</f>
        <v/>
      </c>
      <c r="D125" s="55">
        <f>IF(_calc!$E$127="","",IF(ISNUMBER(INDEX('Inspections'!$G$4:$G$503,_calc!$E$127)),TEXT(INDEX('Inspections'!$G$4:$G$503,_calc!$E$127),"yyyy-mm-dd"),""))</f>
        <v/>
      </c>
      <c r="F125" s="55">
        <f>IF(_calc!$E$127="","",TRIM(IF(LEN(IF(LEN(INDEX('Inspections'!$B$4:$B$503,_calc!$E$127))=0,"",INDEX('Inspections'!$B$4:$B$503,_calc!$E$127)))=0,"","System: "&amp;IF(LEN(INDEX('Inspections'!$B$4:$B$503,_calc!$E$127))=0,"",INDEX('Inspections'!$B$4:$B$503,_calc!$E$127))&amp;". ")&amp;IF(LEN(IF(LEN(INDEX('Inspections'!$D$4:$D$503,_calc!$E$127))=0,"",INDEX('Inspections'!$D$4:$D$503,_calc!$E$127)))=0,"","Every: "&amp;IF(LEN(INDEX('Inspections'!$D$4:$D$503,_calc!$E$127))=0,"",INDEX('Inspections'!$D$4:$D$503,_calc!$E$127))&amp;". ")&amp;IF(LEN(IF(LEN(INDEX('Inspections'!$E$4:$E$503,_calc!$E$127))=0,"",INDEX('Inspections'!$E$4:$E$503,_calc!$E$127)))=0,"","Unit: "&amp;IF(LEN(INDEX('Inspections'!$E$4:$E$503,_calc!$E$127))=0,"",INDEX('Inspections'!$E$4:$E$503,_calc!$E$127))&amp;". ")&amp;IF(LEN(IF(LEN(INDEX('Inspections'!$F$4:$F$503,_calc!$E$127))=0,"",INDEX('Inspections'!$F$4:$F$503,_calc!$E$127)))=0,"","Done by: "&amp;IF(LEN(INDEX('Inspections'!$F$4:$F$503,_calc!$E$127))=0,"",INDEX('Inspections'!$F$4:$F$503,_calc!$E$127))&amp;". ")&amp;IF(LEN(IF(LEN(INDEX('Inspections'!$M$4:$M$503,_calc!$E$127))=0,"",INDEX('Inspections'!$M$4:$M$503,_calc!$E$127)))=0,"","Source: "&amp;IF(LEN(INDEX('Inspections'!$M$4:$M$503,_calc!$E$127))=0,"",INDEX('Inspections'!$M$4:$M$503,_calc!$E$127))&amp;". ")&amp;IF(LEN(IF(LEN(INDEX('Inspections'!$N$4:$N$503,_calc!$E$127))=0,"",INDEX('Inspections'!$N$4:$N$503,_calc!$E$127)))=0,"","Owner: "&amp;IF(LEN(INDEX('Inspections'!$N$4:$N$503,_calc!$E$127))=0,"",INDEX('Inspections'!$N$4:$N$503,_calc!$E$127))&amp;". ")&amp;IF(LEN(IF(LEN(INDEX('Inspections'!$O$4:$O$503,_calc!$E$127))=0,"",INDEX('Inspections'!$O$4:$O$503,_calc!$E$127)))=0,"","Backup: "&amp;IF(LEN(INDEX('Inspections'!$O$4:$O$503,_calc!$E$127))=0,"",INDEX('Inspections'!$O$4:$O$503,_calc!$E$127))&amp;". ")&amp;IF(LEN(IF(LEN(INDEX('Inspections'!$R$4:$R$503,_calc!$E$127))=0,"",INDEX('Inspections'!$R$4:$R$503,_calc!$E$127)))=0,"",IF(LEN(INDEX('Inspections'!$R$4:$R$503,_calc!$E$127))=0,"",INDEX('Inspections'!$R$4:$R$503,_calc!$E$127)))))</f>
        <v/>
      </c>
      <c r="G125" s="55">
        <f>IF(_calc!$E$127="","",IF(LEN(INDEX('Inspections'!$Q$4:$Q$503,_calc!$E$127))=0,"",INDEX('Inspections'!$Q$4:$Q$503,_calc!$E$127)))</f>
        <v/>
      </c>
      <c r="K125" s="55">
        <f>IF(_calc!$E$127="","",IF(LEN(INDEX('Inspections'!$P$4:$P$503,_calc!$E$127))=0,"",INDEX('Inspections'!$P$4:$P$503,_calc!$E$127)))</f>
        <v/>
      </c>
    </row>
    <row r="126">
      <c r="A126" s="55">
        <f>IF(_calc!$E$128="","",IF(LEN(INDEX('Inspections'!$C$4:$C$503,_calc!$E$128))=0,"",INDEX('Inspections'!$C$4:$C$503,_calc!$E$128))&amp;" – "&amp;IF(LEN(INDEX('Inspections'!$A$4:$A$503,_calc!$E$128))=0,"",INDEX('Inspections'!$A$4:$A$503,_calc!$E$128)))</f>
        <v/>
      </c>
      <c r="B126" s="55">
        <f>IF(_calc!$E$128="","",IF(ISNUMBER(INDEX('Inspections'!$H$4:$H$503,_calc!$E$128)),TEXT(INDEX('Inspections'!$H$4:$H$503,_calc!$E$128),"yyyy-mm-dd"),""))</f>
        <v/>
      </c>
      <c r="C126" s="55">
        <f>IF(_calc!$E$128="","","Inspection")</f>
        <v/>
      </c>
      <c r="D126" s="55">
        <f>IF(_calc!$E$128="","",IF(ISNUMBER(INDEX('Inspections'!$G$4:$G$503,_calc!$E$128)),TEXT(INDEX('Inspections'!$G$4:$G$503,_calc!$E$128),"yyyy-mm-dd"),""))</f>
        <v/>
      </c>
      <c r="F126" s="55">
        <f>IF(_calc!$E$128="","",TRIM(IF(LEN(IF(LEN(INDEX('Inspections'!$B$4:$B$503,_calc!$E$128))=0,"",INDEX('Inspections'!$B$4:$B$503,_calc!$E$128)))=0,"","System: "&amp;IF(LEN(INDEX('Inspections'!$B$4:$B$503,_calc!$E$128))=0,"",INDEX('Inspections'!$B$4:$B$503,_calc!$E$128))&amp;". ")&amp;IF(LEN(IF(LEN(INDEX('Inspections'!$D$4:$D$503,_calc!$E$128))=0,"",INDEX('Inspections'!$D$4:$D$503,_calc!$E$128)))=0,"","Every: "&amp;IF(LEN(INDEX('Inspections'!$D$4:$D$503,_calc!$E$128))=0,"",INDEX('Inspections'!$D$4:$D$503,_calc!$E$128))&amp;". ")&amp;IF(LEN(IF(LEN(INDEX('Inspections'!$E$4:$E$503,_calc!$E$128))=0,"",INDEX('Inspections'!$E$4:$E$503,_calc!$E$128)))=0,"","Unit: "&amp;IF(LEN(INDEX('Inspections'!$E$4:$E$503,_calc!$E$128))=0,"",INDEX('Inspections'!$E$4:$E$503,_calc!$E$128))&amp;". ")&amp;IF(LEN(IF(LEN(INDEX('Inspections'!$F$4:$F$503,_calc!$E$128))=0,"",INDEX('Inspections'!$F$4:$F$503,_calc!$E$128)))=0,"","Done by: "&amp;IF(LEN(INDEX('Inspections'!$F$4:$F$503,_calc!$E$128))=0,"",INDEX('Inspections'!$F$4:$F$503,_calc!$E$128))&amp;". ")&amp;IF(LEN(IF(LEN(INDEX('Inspections'!$M$4:$M$503,_calc!$E$128))=0,"",INDEX('Inspections'!$M$4:$M$503,_calc!$E$128)))=0,"","Source: "&amp;IF(LEN(INDEX('Inspections'!$M$4:$M$503,_calc!$E$128))=0,"",INDEX('Inspections'!$M$4:$M$503,_calc!$E$128))&amp;". ")&amp;IF(LEN(IF(LEN(INDEX('Inspections'!$N$4:$N$503,_calc!$E$128))=0,"",INDEX('Inspections'!$N$4:$N$503,_calc!$E$128)))=0,"","Owner: "&amp;IF(LEN(INDEX('Inspections'!$N$4:$N$503,_calc!$E$128))=0,"",INDEX('Inspections'!$N$4:$N$503,_calc!$E$128))&amp;". ")&amp;IF(LEN(IF(LEN(INDEX('Inspections'!$O$4:$O$503,_calc!$E$128))=0,"",INDEX('Inspections'!$O$4:$O$503,_calc!$E$128)))=0,"","Backup: "&amp;IF(LEN(INDEX('Inspections'!$O$4:$O$503,_calc!$E$128))=0,"",INDEX('Inspections'!$O$4:$O$503,_calc!$E$128))&amp;". ")&amp;IF(LEN(IF(LEN(INDEX('Inspections'!$R$4:$R$503,_calc!$E$128))=0,"",INDEX('Inspections'!$R$4:$R$503,_calc!$E$128)))=0,"",IF(LEN(INDEX('Inspections'!$R$4:$R$503,_calc!$E$128))=0,"",INDEX('Inspections'!$R$4:$R$503,_calc!$E$128)))))</f>
        <v/>
      </c>
      <c r="G126" s="55">
        <f>IF(_calc!$E$128="","",IF(LEN(INDEX('Inspections'!$Q$4:$Q$503,_calc!$E$128))=0,"",INDEX('Inspections'!$Q$4:$Q$503,_calc!$E$128)))</f>
        <v/>
      </c>
      <c r="K126" s="55">
        <f>IF(_calc!$E$128="","",IF(LEN(INDEX('Inspections'!$P$4:$P$503,_calc!$E$128))=0,"",INDEX('Inspections'!$P$4:$P$503,_calc!$E$128)))</f>
        <v/>
      </c>
    </row>
    <row r="127">
      <c r="A127" s="55">
        <f>IF(_calc!$E$129="","",IF(LEN(INDEX('Inspections'!$C$4:$C$503,_calc!$E$129))=0,"",INDEX('Inspections'!$C$4:$C$503,_calc!$E$129))&amp;" – "&amp;IF(LEN(INDEX('Inspections'!$A$4:$A$503,_calc!$E$129))=0,"",INDEX('Inspections'!$A$4:$A$503,_calc!$E$129)))</f>
        <v/>
      </c>
      <c r="B127" s="55">
        <f>IF(_calc!$E$129="","",IF(ISNUMBER(INDEX('Inspections'!$H$4:$H$503,_calc!$E$129)),TEXT(INDEX('Inspections'!$H$4:$H$503,_calc!$E$129),"yyyy-mm-dd"),""))</f>
        <v/>
      </c>
      <c r="C127" s="55">
        <f>IF(_calc!$E$129="","","Inspection")</f>
        <v/>
      </c>
      <c r="D127" s="55">
        <f>IF(_calc!$E$129="","",IF(ISNUMBER(INDEX('Inspections'!$G$4:$G$503,_calc!$E$129)),TEXT(INDEX('Inspections'!$G$4:$G$503,_calc!$E$129),"yyyy-mm-dd"),""))</f>
        <v/>
      </c>
      <c r="F127" s="55">
        <f>IF(_calc!$E$129="","",TRIM(IF(LEN(IF(LEN(INDEX('Inspections'!$B$4:$B$503,_calc!$E$129))=0,"",INDEX('Inspections'!$B$4:$B$503,_calc!$E$129)))=0,"","System: "&amp;IF(LEN(INDEX('Inspections'!$B$4:$B$503,_calc!$E$129))=0,"",INDEX('Inspections'!$B$4:$B$503,_calc!$E$129))&amp;". ")&amp;IF(LEN(IF(LEN(INDEX('Inspections'!$D$4:$D$503,_calc!$E$129))=0,"",INDEX('Inspections'!$D$4:$D$503,_calc!$E$129)))=0,"","Every: "&amp;IF(LEN(INDEX('Inspections'!$D$4:$D$503,_calc!$E$129))=0,"",INDEX('Inspections'!$D$4:$D$503,_calc!$E$129))&amp;". ")&amp;IF(LEN(IF(LEN(INDEX('Inspections'!$E$4:$E$503,_calc!$E$129))=0,"",INDEX('Inspections'!$E$4:$E$503,_calc!$E$129)))=0,"","Unit: "&amp;IF(LEN(INDEX('Inspections'!$E$4:$E$503,_calc!$E$129))=0,"",INDEX('Inspections'!$E$4:$E$503,_calc!$E$129))&amp;". ")&amp;IF(LEN(IF(LEN(INDEX('Inspections'!$F$4:$F$503,_calc!$E$129))=0,"",INDEX('Inspections'!$F$4:$F$503,_calc!$E$129)))=0,"","Done by: "&amp;IF(LEN(INDEX('Inspections'!$F$4:$F$503,_calc!$E$129))=0,"",INDEX('Inspections'!$F$4:$F$503,_calc!$E$129))&amp;". ")&amp;IF(LEN(IF(LEN(INDEX('Inspections'!$M$4:$M$503,_calc!$E$129))=0,"",INDEX('Inspections'!$M$4:$M$503,_calc!$E$129)))=0,"","Source: "&amp;IF(LEN(INDEX('Inspections'!$M$4:$M$503,_calc!$E$129))=0,"",INDEX('Inspections'!$M$4:$M$503,_calc!$E$129))&amp;". ")&amp;IF(LEN(IF(LEN(INDEX('Inspections'!$N$4:$N$503,_calc!$E$129))=0,"",INDEX('Inspections'!$N$4:$N$503,_calc!$E$129)))=0,"","Owner: "&amp;IF(LEN(INDEX('Inspections'!$N$4:$N$503,_calc!$E$129))=0,"",INDEX('Inspections'!$N$4:$N$503,_calc!$E$129))&amp;". ")&amp;IF(LEN(IF(LEN(INDEX('Inspections'!$O$4:$O$503,_calc!$E$129))=0,"",INDEX('Inspections'!$O$4:$O$503,_calc!$E$129)))=0,"","Backup: "&amp;IF(LEN(INDEX('Inspections'!$O$4:$O$503,_calc!$E$129))=0,"",INDEX('Inspections'!$O$4:$O$503,_calc!$E$129))&amp;". ")&amp;IF(LEN(IF(LEN(INDEX('Inspections'!$R$4:$R$503,_calc!$E$129))=0,"",INDEX('Inspections'!$R$4:$R$503,_calc!$E$129)))=0,"",IF(LEN(INDEX('Inspections'!$R$4:$R$503,_calc!$E$129))=0,"",INDEX('Inspections'!$R$4:$R$503,_calc!$E$129)))))</f>
        <v/>
      </c>
      <c r="G127" s="55">
        <f>IF(_calc!$E$129="","",IF(LEN(INDEX('Inspections'!$Q$4:$Q$503,_calc!$E$129))=0,"",INDEX('Inspections'!$Q$4:$Q$503,_calc!$E$129)))</f>
        <v/>
      </c>
      <c r="K127" s="55">
        <f>IF(_calc!$E$129="","",IF(LEN(INDEX('Inspections'!$P$4:$P$503,_calc!$E$129))=0,"",INDEX('Inspections'!$P$4:$P$503,_calc!$E$129)))</f>
        <v/>
      </c>
    </row>
    <row r="128">
      <c r="A128" s="55">
        <f>IF(_calc!$E$130="","",IF(LEN(INDEX('Inspections'!$C$4:$C$503,_calc!$E$130))=0,"",INDEX('Inspections'!$C$4:$C$503,_calc!$E$130))&amp;" – "&amp;IF(LEN(INDEX('Inspections'!$A$4:$A$503,_calc!$E$130))=0,"",INDEX('Inspections'!$A$4:$A$503,_calc!$E$130)))</f>
        <v/>
      </c>
      <c r="B128" s="55">
        <f>IF(_calc!$E$130="","",IF(ISNUMBER(INDEX('Inspections'!$H$4:$H$503,_calc!$E$130)),TEXT(INDEX('Inspections'!$H$4:$H$503,_calc!$E$130),"yyyy-mm-dd"),""))</f>
        <v/>
      </c>
      <c r="C128" s="55">
        <f>IF(_calc!$E$130="","","Inspection")</f>
        <v/>
      </c>
      <c r="D128" s="55">
        <f>IF(_calc!$E$130="","",IF(ISNUMBER(INDEX('Inspections'!$G$4:$G$503,_calc!$E$130)),TEXT(INDEX('Inspections'!$G$4:$G$503,_calc!$E$130),"yyyy-mm-dd"),""))</f>
        <v/>
      </c>
      <c r="F128" s="55">
        <f>IF(_calc!$E$130="","",TRIM(IF(LEN(IF(LEN(INDEX('Inspections'!$B$4:$B$503,_calc!$E$130))=0,"",INDEX('Inspections'!$B$4:$B$503,_calc!$E$130)))=0,"","System: "&amp;IF(LEN(INDEX('Inspections'!$B$4:$B$503,_calc!$E$130))=0,"",INDEX('Inspections'!$B$4:$B$503,_calc!$E$130))&amp;". ")&amp;IF(LEN(IF(LEN(INDEX('Inspections'!$D$4:$D$503,_calc!$E$130))=0,"",INDEX('Inspections'!$D$4:$D$503,_calc!$E$130)))=0,"","Every: "&amp;IF(LEN(INDEX('Inspections'!$D$4:$D$503,_calc!$E$130))=0,"",INDEX('Inspections'!$D$4:$D$503,_calc!$E$130))&amp;". ")&amp;IF(LEN(IF(LEN(INDEX('Inspections'!$E$4:$E$503,_calc!$E$130))=0,"",INDEX('Inspections'!$E$4:$E$503,_calc!$E$130)))=0,"","Unit: "&amp;IF(LEN(INDEX('Inspections'!$E$4:$E$503,_calc!$E$130))=0,"",INDEX('Inspections'!$E$4:$E$503,_calc!$E$130))&amp;". ")&amp;IF(LEN(IF(LEN(INDEX('Inspections'!$F$4:$F$503,_calc!$E$130))=0,"",INDEX('Inspections'!$F$4:$F$503,_calc!$E$130)))=0,"","Done by: "&amp;IF(LEN(INDEX('Inspections'!$F$4:$F$503,_calc!$E$130))=0,"",INDEX('Inspections'!$F$4:$F$503,_calc!$E$130))&amp;". ")&amp;IF(LEN(IF(LEN(INDEX('Inspections'!$M$4:$M$503,_calc!$E$130))=0,"",INDEX('Inspections'!$M$4:$M$503,_calc!$E$130)))=0,"","Source: "&amp;IF(LEN(INDEX('Inspections'!$M$4:$M$503,_calc!$E$130))=0,"",INDEX('Inspections'!$M$4:$M$503,_calc!$E$130))&amp;". ")&amp;IF(LEN(IF(LEN(INDEX('Inspections'!$N$4:$N$503,_calc!$E$130))=0,"",INDEX('Inspections'!$N$4:$N$503,_calc!$E$130)))=0,"","Owner: "&amp;IF(LEN(INDEX('Inspections'!$N$4:$N$503,_calc!$E$130))=0,"",INDEX('Inspections'!$N$4:$N$503,_calc!$E$130))&amp;". ")&amp;IF(LEN(IF(LEN(INDEX('Inspections'!$O$4:$O$503,_calc!$E$130))=0,"",INDEX('Inspections'!$O$4:$O$503,_calc!$E$130)))=0,"","Backup: "&amp;IF(LEN(INDEX('Inspections'!$O$4:$O$503,_calc!$E$130))=0,"",INDEX('Inspections'!$O$4:$O$503,_calc!$E$130))&amp;". ")&amp;IF(LEN(IF(LEN(INDEX('Inspections'!$R$4:$R$503,_calc!$E$130))=0,"",INDEX('Inspections'!$R$4:$R$503,_calc!$E$130)))=0,"",IF(LEN(INDEX('Inspections'!$R$4:$R$503,_calc!$E$130))=0,"",INDEX('Inspections'!$R$4:$R$503,_calc!$E$130)))))</f>
        <v/>
      </c>
      <c r="G128" s="55">
        <f>IF(_calc!$E$130="","",IF(LEN(INDEX('Inspections'!$Q$4:$Q$503,_calc!$E$130))=0,"",INDEX('Inspections'!$Q$4:$Q$503,_calc!$E$130)))</f>
        <v/>
      </c>
      <c r="K128" s="55">
        <f>IF(_calc!$E$130="","",IF(LEN(INDEX('Inspections'!$P$4:$P$503,_calc!$E$130))=0,"",INDEX('Inspections'!$P$4:$P$503,_calc!$E$130)))</f>
        <v/>
      </c>
    </row>
    <row r="129">
      <c r="A129" s="55">
        <f>IF(_calc!$E$131="","",IF(LEN(INDEX('Inspections'!$C$4:$C$503,_calc!$E$131))=0,"",INDEX('Inspections'!$C$4:$C$503,_calc!$E$131))&amp;" – "&amp;IF(LEN(INDEX('Inspections'!$A$4:$A$503,_calc!$E$131))=0,"",INDEX('Inspections'!$A$4:$A$503,_calc!$E$131)))</f>
        <v/>
      </c>
      <c r="B129" s="55">
        <f>IF(_calc!$E$131="","",IF(ISNUMBER(INDEX('Inspections'!$H$4:$H$503,_calc!$E$131)),TEXT(INDEX('Inspections'!$H$4:$H$503,_calc!$E$131),"yyyy-mm-dd"),""))</f>
        <v/>
      </c>
      <c r="C129" s="55">
        <f>IF(_calc!$E$131="","","Inspection")</f>
        <v/>
      </c>
      <c r="D129" s="55">
        <f>IF(_calc!$E$131="","",IF(ISNUMBER(INDEX('Inspections'!$G$4:$G$503,_calc!$E$131)),TEXT(INDEX('Inspections'!$G$4:$G$503,_calc!$E$131),"yyyy-mm-dd"),""))</f>
        <v/>
      </c>
      <c r="F129" s="55">
        <f>IF(_calc!$E$131="","",TRIM(IF(LEN(IF(LEN(INDEX('Inspections'!$B$4:$B$503,_calc!$E$131))=0,"",INDEX('Inspections'!$B$4:$B$503,_calc!$E$131)))=0,"","System: "&amp;IF(LEN(INDEX('Inspections'!$B$4:$B$503,_calc!$E$131))=0,"",INDEX('Inspections'!$B$4:$B$503,_calc!$E$131))&amp;". ")&amp;IF(LEN(IF(LEN(INDEX('Inspections'!$D$4:$D$503,_calc!$E$131))=0,"",INDEX('Inspections'!$D$4:$D$503,_calc!$E$131)))=0,"","Every: "&amp;IF(LEN(INDEX('Inspections'!$D$4:$D$503,_calc!$E$131))=0,"",INDEX('Inspections'!$D$4:$D$503,_calc!$E$131))&amp;". ")&amp;IF(LEN(IF(LEN(INDEX('Inspections'!$E$4:$E$503,_calc!$E$131))=0,"",INDEX('Inspections'!$E$4:$E$503,_calc!$E$131)))=0,"","Unit: "&amp;IF(LEN(INDEX('Inspections'!$E$4:$E$503,_calc!$E$131))=0,"",INDEX('Inspections'!$E$4:$E$503,_calc!$E$131))&amp;". ")&amp;IF(LEN(IF(LEN(INDEX('Inspections'!$F$4:$F$503,_calc!$E$131))=0,"",INDEX('Inspections'!$F$4:$F$503,_calc!$E$131)))=0,"","Done by: "&amp;IF(LEN(INDEX('Inspections'!$F$4:$F$503,_calc!$E$131))=0,"",INDEX('Inspections'!$F$4:$F$503,_calc!$E$131))&amp;". ")&amp;IF(LEN(IF(LEN(INDEX('Inspections'!$M$4:$M$503,_calc!$E$131))=0,"",INDEX('Inspections'!$M$4:$M$503,_calc!$E$131)))=0,"","Source: "&amp;IF(LEN(INDEX('Inspections'!$M$4:$M$503,_calc!$E$131))=0,"",INDEX('Inspections'!$M$4:$M$503,_calc!$E$131))&amp;". ")&amp;IF(LEN(IF(LEN(INDEX('Inspections'!$N$4:$N$503,_calc!$E$131))=0,"",INDEX('Inspections'!$N$4:$N$503,_calc!$E$131)))=0,"","Owner: "&amp;IF(LEN(INDEX('Inspections'!$N$4:$N$503,_calc!$E$131))=0,"",INDEX('Inspections'!$N$4:$N$503,_calc!$E$131))&amp;". ")&amp;IF(LEN(IF(LEN(INDEX('Inspections'!$O$4:$O$503,_calc!$E$131))=0,"",INDEX('Inspections'!$O$4:$O$503,_calc!$E$131)))=0,"","Backup: "&amp;IF(LEN(INDEX('Inspections'!$O$4:$O$503,_calc!$E$131))=0,"",INDEX('Inspections'!$O$4:$O$503,_calc!$E$131))&amp;". ")&amp;IF(LEN(IF(LEN(INDEX('Inspections'!$R$4:$R$503,_calc!$E$131))=0,"",INDEX('Inspections'!$R$4:$R$503,_calc!$E$131)))=0,"",IF(LEN(INDEX('Inspections'!$R$4:$R$503,_calc!$E$131))=0,"",INDEX('Inspections'!$R$4:$R$503,_calc!$E$131)))))</f>
        <v/>
      </c>
      <c r="G129" s="55">
        <f>IF(_calc!$E$131="","",IF(LEN(INDEX('Inspections'!$Q$4:$Q$503,_calc!$E$131))=0,"",INDEX('Inspections'!$Q$4:$Q$503,_calc!$E$131)))</f>
        <v/>
      </c>
      <c r="K129" s="55">
        <f>IF(_calc!$E$131="","",IF(LEN(INDEX('Inspections'!$P$4:$P$503,_calc!$E$131))=0,"",INDEX('Inspections'!$P$4:$P$503,_calc!$E$131)))</f>
        <v/>
      </c>
    </row>
    <row r="130">
      <c r="A130" s="55">
        <f>IF(_calc!$E$132="","",IF(LEN(INDEX('Inspections'!$C$4:$C$503,_calc!$E$132))=0,"",INDEX('Inspections'!$C$4:$C$503,_calc!$E$132))&amp;" – "&amp;IF(LEN(INDEX('Inspections'!$A$4:$A$503,_calc!$E$132))=0,"",INDEX('Inspections'!$A$4:$A$503,_calc!$E$132)))</f>
        <v/>
      </c>
      <c r="B130" s="55">
        <f>IF(_calc!$E$132="","",IF(ISNUMBER(INDEX('Inspections'!$H$4:$H$503,_calc!$E$132)),TEXT(INDEX('Inspections'!$H$4:$H$503,_calc!$E$132),"yyyy-mm-dd"),""))</f>
        <v/>
      </c>
      <c r="C130" s="55">
        <f>IF(_calc!$E$132="","","Inspection")</f>
        <v/>
      </c>
      <c r="D130" s="55">
        <f>IF(_calc!$E$132="","",IF(ISNUMBER(INDEX('Inspections'!$G$4:$G$503,_calc!$E$132)),TEXT(INDEX('Inspections'!$G$4:$G$503,_calc!$E$132),"yyyy-mm-dd"),""))</f>
        <v/>
      </c>
      <c r="F130" s="55">
        <f>IF(_calc!$E$132="","",TRIM(IF(LEN(IF(LEN(INDEX('Inspections'!$B$4:$B$503,_calc!$E$132))=0,"",INDEX('Inspections'!$B$4:$B$503,_calc!$E$132)))=0,"","System: "&amp;IF(LEN(INDEX('Inspections'!$B$4:$B$503,_calc!$E$132))=0,"",INDEX('Inspections'!$B$4:$B$503,_calc!$E$132))&amp;". ")&amp;IF(LEN(IF(LEN(INDEX('Inspections'!$D$4:$D$503,_calc!$E$132))=0,"",INDEX('Inspections'!$D$4:$D$503,_calc!$E$132)))=0,"","Every: "&amp;IF(LEN(INDEX('Inspections'!$D$4:$D$503,_calc!$E$132))=0,"",INDEX('Inspections'!$D$4:$D$503,_calc!$E$132))&amp;". ")&amp;IF(LEN(IF(LEN(INDEX('Inspections'!$E$4:$E$503,_calc!$E$132))=0,"",INDEX('Inspections'!$E$4:$E$503,_calc!$E$132)))=0,"","Unit: "&amp;IF(LEN(INDEX('Inspections'!$E$4:$E$503,_calc!$E$132))=0,"",INDEX('Inspections'!$E$4:$E$503,_calc!$E$132))&amp;". ")&amp;IF(LEN(IF(LEN(INDEX('Inspections'!$F$4:$F$503,_calc!$E$132))=0,"",INDEX('Inspections'!$F$4:$F$503,_calc!$E$132)))=0,"","Done by: "&amp;IF(LEN(INDEX('Inspections'!$F$4:$F$503,_calc!$E$132))=0,"",INDEX('Inspections'!$F$4:$F$503,_calc!$E$132))&amp;". ")&amp;IF(LEN(IF(LEN(INDEX('Inspections'!$M$4:$M$503,_calc!$E$132))=0,"",INDEX('Inspections'!$M$4:$M$503,_calc!$E$132)))=0,"","Source: "&amp;IF(LEN(INDEX('Inspections'!$M$4:$M$503,_calc!$E$132))=0,"",INDEX('Inspections'!$M$4:$M$503,_calc!$E$132))&amp;". ")&amp;IF(LEN(IF(LEN(INDEX('Inspections'!$N$4:$N$503,_calc!$E$132))=0,"",INDEX('Inspections'!$N$4:$N$503,_calc!$E$132)))=0,"","Owner: "&amp;IF(LEN(INDEX('Inspections'!$N$4:$N$503,_calc!$E$132))=0,"",INDEX('Inspections'!$N$4:$N$503,_calc!$E$132))&amp;". ")&amp;IF(LEN(IF(LEN(INDEX('Inspections'!$O$4:$O$503,_calc!$E$132))=0,"",INDEX('Inspections'!$O$4:$O$503,_calc!$E$132)))=0,"","Backup: "&amp;IF(LEN(INDEX('Inspections'!$O$4:$O$503,_calc!$E$132))=0,"",INDEX('Inspections'!$O$4:$O$503,_calc!$E$132))&amp;". ")&amp;IF(LEN(IF(LEN(INDEX('Inspections'!$R$4:$R$503,_calc!$E$132))=0,"",INDEX('Inspections'!$R$4:$R$503,_calc!$E$132)))=0,"",IF(LEN(INDEX('Inspections'!$R$4:$R$503,_calc!$E$132))=0,"",INDEX('Inspections'!$R$4:$R$503,_calc!$E$132)))))</f>
        <v/>
      </c>
      <c r="G130" s="55">
        <f>IF(_calc!$E$132="","",IF(LEN(INDEX('Inspections'!$Q$4:$Q$503,_calc!$E$132))=0,"",INDEX('Inspections'!$Q$4:$Q$503,_calc!$E$132)))</f>
        <v/>
      </c>
      <c r="K130" s="55">
        <f>IF(_calc!$E$132="","",IF(LEN(INDEX('Inspections'!$P$4:$P$503,_calc!$E$132))=0,"",INDEX('Inspections'!$P$4:$P$503,_calc!$E$132)))</f>
        <v/>
      </c>
    </row>
    <row r="131">
      <c r="A131" s="55">
        <f>IF(_calc!$E$133="","",IF(LEN(INDEX('Inspections'!$C$4:$C$503,_calc!$E$133))=0,"",INDEX('Inspections'!$C$4:$C$503,_calc!$E$133))&amp;" – "&amp;IF(LEN(INDEX('Inspections'!$A$4:$A$503,_calc!$E$133))=0,"",INDEX('Inspections'!$A$4:$A$503,_calc!$E$133)))</f>
        <v/>
      </c>
      <c r="B131" s="55">
        <f>IF(_calc!$E$133="","",IF(ISNUMBER(INDEX('Inspections'!$H$4:$H$503,_calc!$E$133)),TEXT(INDEX('Inspections'!$H$4:$H$503,_calc!$E$133),"yyyy-mm-dd"),""))</f>
        <v/>
      </c>
      <c r="C131" s="55">
        <f>IF(_calc!$E$133="","","Inspection")</f>
        <v/>
      </c>
      <c r="D131" s="55">
        <f>IF(_calc!$E$133="","",IF(ISNUMBER(INDEX('Inspections'!$G$4:$G$503,_calc!$E$133)),TEXT(INDEX('Inspections'!$G$4:$G$503,_calc!$E$133),"yyyy-mm-dd"),""))</f>
        <v/>
      </c>
      <c r="F131" s="55">
        <f>IF(_calc!$E$133="","",TRIM(IF(LEN(IF(LEN(INDEX('Inspections'!$B$4:$B$503,_calc!$E$133))=0,"",INDEX('Inspections'!$B$4:$B$503,_calc!$E$133)))=0,"","System: "&amp;IF(LEN(INDEX('Inspections'!$B$4:$B$503,_calc!$E$133))=0,"",INDEX('Inspections'!$B$4:$B$503,_calc!$E$133))&amp;". ")&amp;IF(LEN(IF(LEN(INDEX('Inspections'!$D$4:$D$503,_calc!$E$133))=0,"",INDEX('Inspections'!$D$4:$D$503,_calc!$E$133)))=0,"","Every: "&amp;IF(LEN(INDEX('Inspections'!$D$4:$D$503,_calc!$E$133))=0,"",INDEX('Inspections'!$D$4:$D$503,_calc!$E$133))&amp;". ")&amp;IF(LEN(IF(LEN(INDEX('Inspections'!$E$4:$E$503,_calc!$E$133))=0,"",INDEX('Inspections'!$E$4:$E$503,_calc!$E$133)))=0,"","Unit: "&amp;IF(LEN(INDEX('Inspections'!$E$4:$E$503,_calc!$E$133))=0,"",INDEX('Inspections'!$E$4:$E$503,_calc!$E$133))&amp;". ")&amp;IF(LEN(IF(LEN(INDEX('Inspections'!$F$4:$F$503,_calc!$E$133))=0,"",INDEX('Inspections'!$F$4:$F$503,_calc!$E$133)))=0,"","Done by: "&amp;IF(LEN(INDEX('Inspections'!$F$4:$F$503,_calc!$E$133))=0,"",INDEX('Inspections'!$F$4:$F$503,_calc!$E$133))&amp;". ")&amp;IF(LEN(IF(LEN(INDEX('Inspections'!$M$4:$M$503,_calc!$E$133))=0,"",INDEX('Inspections'!$M$4:$M$503,_calc!$E$133)))=0,"","Source: "&amp;IF(LEN(INDEX('Inspections'!$M$4:$M$503,_calc!$E$133))=0,"",INDEX('Inspections'!$M$4:$M$503,_calc!$E$133))&amp;". ")&amp;IF(LEN(IF(LEN(INDEX('Inspections'!$N$4:$N$503,_calc!$E$133))=0,"",INDEX('Inspections'!$N$4:$N$503,_calc!$E$133)))=0,"","Owner: "&amp;IF(LEN(INDEX('Inspections'!$N$4:$N$503,_calc!$E$133))=0,"",INDEX('Inspections'!$N$4:$N$503,_calc!$E$133))&amp;". ")&amp;IF(LEN(IF(LEN(INDEX('Inspections'!$O$4:$O$503,_calc!$E$133))=0,"",INDEX('Inspections'!$O$4:$O$503,_calc!$E$133)))=0,"","Backup: "&amp;IF(LEN(INDEX('Inspections'!$O$4:$O$503,_calc!$E$133))=0,"",INDEX('Inspections'!$O$4:$O$503,_calc!$E$133))&amp;". ")&amp;IF(LEN(IF(LEN(INDEX('Inspections'!$R$4:$R$503,_calc!$E$133))=0,"",INDEX('Inspections'!$R$4:$R$503,_calc!$E$133)))=0,"",IF(LEN(INDEX('Inspections'!$R$4:$R$503,_calc!$E$133))=0,"",INDEX('Inspections'!$R$4:$R$503,_calc!$E$133)))))</f>
        <v/>
      </c>
      <c r="G131" s="55">
        <f>IF(_calc!$E$133="","",IF(LEN(INDEX('Inspections'!$Q$4:$Q$503,_calc!$E$133))=0,"",INDEX('Inspections'!$Q$4:$Q$503,_calc!$E$133)))</f>
        <v/>
      </c>
      <c r="K131" s="55">
        <f>IF(_calc!$E$133="","",IF(LEN(INDEX('Inspections'!$P$4:$P$503,_calc!$E$133))=0,"",INDEX('Inspections'!$P$4:$P$503,_calc!$E$133)))</f>
        <v/>
      </c>
    </row>
    <row r="132">
      <c r="A132" s="55">
        <f>IF(_calc!$E$134="","",IF(LEN(INDEX('Inspections'!$C$4:$C$503,_calc!$E$134))=0,"",INDEX('Inspections'!$C$4:$C$503,_calc!$E$134))&amp;" – "&amp;IF(LEN(INDEX('Inspections'!$A$4:$A$503,_calc!$E$134))=0,"",INDEX('Inspections'!$A$4:$A$503,_calc!$E$134)))</f>
        <v/>
      </c>
      <c r="B132" s="55">
        <f>IF(_calc!$E$134="","",IF(ISNUMBER(INDEX('Inspections'!$H$4:$H$503,_calc!$E$134)),TEXT(INDEX('Inspections'!$H$4:$H$503,_calc!$E$134),"yyyy-mm-dd"),""))</f>
        <v/>
      </c>
      <c r="C132" s="55">
        <f>IF(_calc!$E$134="","","Inspection")</f>
        <v/>
      </c>
      <c r="D132" s="55">
        <f>IF(_calc!$E$134="","",IF(ISNUMBER(INDEX('Inspections'!$G$4:$G$503,_calc!$E$134)),TEXT(INDEX('Inspections'!$G$4:$G$503,_calc!$E$134),"yyyy-mm-dd"),""))</f>
        <v/>
      </c>
      <c r="F132" s="55">
        <f>IF(_calc!$E$134="","",TRIM(IF(LEN(IF(LEN(INDEX('Inspections'!$B$4:$B$503,_calc!$E$134))=0,"",INDEX('Inspections'!$B$4:$B$503,_calc!$E$134)))=0,"","System: "&amp;IF(LEN(INDEX('Inspections'!$B$4:$B$503,_calc!$E$134))=0,"",INDEX('Inspections'!$B$4:$B$503,_calc!$E$134))&amp;". ")&amp;IF(LEN(IF(LEN(INDEX('Inspections'!$D$4:$D$503,_calc!$E$134))=0,"",INDEX('Inspections'!$D$4:$D$503,_calc!$E$134)))=0,"","Every: "&amp;IF(LEN(INDEX('Inspections'!$D$4:$D$503,_calc!$E$134))=0,"",INDEX('Inspections'!$D$4:$D$503,_calc!$E$134))&amp;". ")&amp;IF(LEN(IF(LEN(INDEX('Inspections'!$E$4:$E$503,_calc!$E$134))=0,"",INDEX('Inspections'!$E$4:$E$503,_calc!$E$134)))=0,"","Unit: "&amp;IF(LEN(INDEX('Inspections'!$E$4:$E$503,_calc!$E$134))=0,"",INDEX('Inspections'!$E$4:$E$503,_calc!$E$134))&amp;". ")&amp;IF(LEN(IF(LEN(INDEX('Inspections'!$F$4:$F$503,_calc!$E$134))=0,"",INDEX('Inspections'!$F$4:$F$503,_calc!$E$134)))=0,"","Done by: "&amp;IF(LEN(INDEX('Inspections'!$F$4:$F$503,_calc!$E$134))=0,"",INDEX('Inspections'!$F$4:$F$503,_calc!$E$134))&amp;". ")&amp;IF(LEN(IF(LEN(INDEX('Inspections'!$M$4:$M$503,_calc!$E$134))=0,"",INDEX('Inspections'!$M$4:$M$503,_calc!$E$134)))=0,"","Source: "&amp;IF(LEN(INDEX('Inspections'!$M$4:$M$503,_calc!$E$134))=0,"",INDEX('Inspections'!$M$4:$M$503,_calc!$E$134))&amp;". ")&amp;IF(LEN(IF(LEN(INDEX('Inspections'!$N$4:$N$503,_calc!$E$134))=0,"",INDEX('Inspections'!$N$4:$N$503,_calc!$E$134)))=0,"","Owner: "&amp;IF(LEN(INDEX('Inspections'!$N$4:$N$503,_calc!$E$134))=0,"",INDEX('Inspections'!$N$4:$N$503,_calc!$E$134))&amp;". ")&amp;IF(LEN(IF(LEN(INDEX('Inspections'!$O$4:$O$503,_calc!$E$134))=0,"",INDEX('Inspections'!$O$4:$O$503,_calc!$E$134)))=0,"","Backup: "&amp;IF(LEN(INDEX('Inspections'!$O$4:$O$503,_calc!$E$134))=0,"",INDEX('Inspections'!$O$4:$O$503,_calc!$E$134))&amp;". ")&amp;IF(LEN(IF(LEN(INDEX('Inspections'!$R$4:$R$503,_calc!$E$134))=0,"",INDEX('Inspections'!$R$4:$R$503,_calc!$E$134)))=0,"",IF(LEN(INDEX('Inspections'!$R$4:$R$503,_calc!$E$134))=0,"",INDEX('Inspections'!$R$4:$R$503,_calc!$E$134)))))</f>
        <v/>
      </c>
      <c r="G132" s="55">
        <f>IF(_calc!$E$134="","",IF(LEN(INDEX('Inspections'!$Q$4:$Q$503,_calc!$E$134))=0,"",INDEX('Inspections'!$Q$4:$Q$503,_calc!$E$134)))</f>
        <v/>
      </c>
      <c r="K132" s="55">
        <f>IF(_calc!$E$134="","",IF(LEN(INDEX('Inspections'!$P$4:$P$503,_calc!$E$134))=0,"",INDEX('Inspections'!$P$4:$P$503,_calc!$E$134)))</f>
        <v/>
      </c>
    </row>
    <row r="133">
      <c r="A133" s="55">
        <f>IF(_calc!$E$135="","",IF(LEN(INDEX('Inspections'!$C$4:$C$503,_calc!$E$135))=0,"",INDEX('Inspections'!$C$4:$C$503,_calc!$E$135))&amp;" – "&amp;IF(LEN(INDEX('Inspections'!$A$4:$A$503,_calc!$E$135))=0,"",INDEX('Inspections'!$A$4:$A$503,_calc!$E$135)))</f>
        <v/>
      </c>
      <c r="B133" s="55">
        <f>IF(_calc!$E$135="","",IF(ISNUMBER(INDEX('Inspections'!$H$4:$H$503,_calc!$E$135)),TEXT(INDEX('Inspections'!$H$4:$H$503,_calc!$E$135),"yyyy-mm-dd"),""))</f>
        <v/>
      </c>
      <c r="C133" s="55">
        <f>IF(_calc!$E$135="","","Inspection")</f>
        <v/>
      </c>
      <c r="D133" s="55">
        <f>IF(_calc!$E$135="","",IF(ISNUMBER(INDEX('Inspections'!$G$4:$G$503,_calc!$E$135)),TEXT(INDEX('Inspections'!$G$4:$G$503,_calc!$E$135),"yyyy-mm-dd"),""))</f>
        <v/>
      </c>
      <c r="F133" s="55">
        <f>IF(_calc!$E$135="","",TRIM(IF(LEN(IF(LEN(INDEX('Inspections'!$B$4:$B$503,_calc!$E$135))=0,"",INDEX('Inspections'!$B$4:$B$503,_calc!$E$135)))=0,"","System: "&amp;IF(LEN(INDEX('Inspections'!$B$4:$B$503,_calc!$E$135))=0,"",INDEX('Inspections'!$B$4:$B$503,_calc!$E$135))&amp;". ")&amp;IF(LEN(IF(LEN(INDEX('Inspections'!$D$4:$D$503,_calc!$E$135))=0,"",INDEX('Inspections'!$D$4:$D$503,_calc!$E$135)))=0,"","Every: "&amp;IF(LEN(INDEX('Inspections'!$D$4:$D$503,_calc!$E$135))=0,"",INDEX('Inspections'!$D$4:$D$503,_calc!$E$135))&amp;". ")&amp;IF(LEN(IF(LEN(INDEX('Inspections'!$E$4:$E$503,_calc!$E$135))=0,"",INDEX('Inspections'!$E$4:$E$503,_calc!$E$135)))=0,"","Unit: "&amp;IF(LEN(INDEX('Inspections'!$E$4:$E$503,_calc!$E$135))=0,"",INDEX('Inspections'!$E$4:$E$503,_calc!$E$135))&amp;". ")&amp;IF(LEN(IF(LEN(INDEX('Inspections'!$F$4:$F$503,_calc!$E$135))=0,"",INDEX('Inspections'!$F$4:$F$503,_calc!$E$135)))=0,"","Done by: "&amp;IF(LEN(INDEX('Inspections'!$F$4:$F$503,_calc!$E$135))=0,"",INDEX('Inspections'!$F$4:$F$503,_calc!$E$135))&amp;". ")&amp;IF(LEN(IF(LEN(INDEX('Inspections'!$M$4:$M$503,_calc!$E$135))=0,"",INDEX('Inspections'!$M$4:$M$503,_calc!$E$135)))=0,"","Source: "&amp;IF(LEN(INDEX('Inspections'!$M$4:$M$503,_calc!$E$135))=0,"",INDEX('Inspections'!$M$4:$M$503,_calc!$E$135))&amp;". ")&amp;IF(LEN(IF(LEN(INDEX('Inspections'!$N$4:$N$503,_calc!$E$135))=0,"",INDEX('Inspections'!$N$4:$N$503,_calc!$E$135)))=0,"","Owner: "&amp;IF(LEN(INDEX('Inspections'!$N$4:$N$503,_calc!$E$135))=0,"",INDEX('Inspections'!$N$4:$N$503,_calc!$E$135))&amp;". ")&amp;IF(LEN(IF(LEN(INDEX('Inspections'!$O$4:$O$503,_calc!$E$135))=0,"",INDEX('Inspections'!$O$4:$O$503,_calc!$E$135)))=0,"","Backup: "&amp;IF(LEN(INDEX('Inspections'!$O$4:$O$503,_calc!$E$135))=0,"",INDEX('Inspections'!$O$4:$O$503,_calc!$E$135))&amp;". ")&amp;IF(LEN(IF(LEN(INDEX('Inspections'!$R$4:$R$503,_calc!$E$135))=0,"",INDEX('Inspections'!$R$4:$R$503,_calc!$E$135)))=0,"",IF(LEN(INDEX('Inspections'!$R$4:$R$503,_calc!$E$135))=0,"",INDEX('Inspections'!$R$4:$R$503,_calc!$E$135)))))</f>
        <v/>
      </c>
      <c r="G133" s="55">
        <f>IF(_calc!$E$135="","",IF(LEN(INDEX('Inspections'!$Q$4:$Q$503,_calc!$E$135))=0,"",INDEX('Inspections'!$Q$4:$Q$503,_calc!$E$135)))</f>
        <v/>
      </c>
      <c r="K133" s="55">
        <f>IF(_calc!$E$135="","",IF(LEN(INDEX('Inspections'!$P$4:$P$503,_calc!$E$135))=0,"",INDEX('Inspections'!$P$4:$P$503,_calc!$E$135)))</f>
        <v/>
      </c>
    </row>
    <row r="134">
      <c r="A134" s="55">
        <f>IF(_calc!$E$136="","",IF(LEN(INDEX('Inspections'!$C$4:$C$503,_calc!$E$136))=0,"",INDEX('Inspections'!$C$4:$C$503,_calc!$E$136))&amp;" – "&amp;IF(LEN(INDEX('Inspections'!$A$4:$A$503,_calc!$E$136))=0,"",INDEX('Inspections'!$A$4:$A$503,_calc!$E$136)))</f>
        <v/>
      </c>
      <c r="B134" s="55">
        <f>IF(_calc!$E$136="","",IF(ISNUMBER(INDEX('Inspections'!$H$4:$H$503,_calc!$E$136)),TEXT(INDEX('Inspections'!$H$4:$H$503,_calc!$E$136),"yyyy-mm-dd"),""))</f>
        <v/>
      </c>
      <c r="C134" s="55">
        <f>IF(_calc!$E$136="","","Inspection")</f>
        <v/>
      </c>
      <c r="D134" s="55">
        <f>IF(_calc!$E$136="","",IF(ISNUMBER(INDEX('Inspections'!$G$4:$G$503,_calc!$E$136)),TEXT(INDEX('Inspections'!$G$4:$G$503,_calc!$E$136),"yyyy-mm-dd"),""))</f>
        <v/>
      </c>
      <c r="F134" s="55">
        <f>IF(_calc!$E$136="","",TRIM(IF(LEN(IF(LEN(INDEX('Inspections'!$B$4:$B$503,_calc!$E$136))=0,"",INDEX('Inspections'!$B$4:$B$503,_calc!$E$136)))=0,"","System: "&amp;IF(LEN(INDEX('Inspections'!$B$4:$B$503,_calc!$E$136))=0,"",INDEX('Inspections'!$B$4:$B$503,_calc!$E$136))&amp;". ")&amp;IF(LEN(IF(LEN(INDEX('Inspections'!$D$4:$D$503,_calc!$E$136))=0,"",INDEX('Inspections'!$D$4:$D$503,_calc!$E$136)))=0,"","Every: "&amp;IF(LEN(INDEX('Inspections'!$D$4:$D$503,_calc!$E$136))=0,"",INDEX('Inspections'!$D$4:$D$503,_calc!$E$136))&amp;". ")&amp;IF(LEN(IF(LEN(INDEX('Inspections'!$E$4:$E$503,_calc!$E$136))=0,"",INDEX('Inspections'!$E$4:$E$503,_calc!$E$136)))=0,"","Unit: "&amp;IF(LEN(INDEX('Inspections'!$E$4:$E$503,_calc!$E$136))=0,"",INDEX('Inspections'!$E$4:$E$503,_calc!$E$136))&amp;". ")&amp;IF(LEN(IF(LEN(INDEX('Inspections'!$F$4:$F$503,_calc!$E$136))=0,"",INDEX('Inspections'!$F$4:$F$503,_calc!$E$136)))=0,"","Done by: "&amp;IF(LEN(INDEX('Inspections'!$F$4:$F$503,_calc!$E$136))=0,"",INDEX('Inspections'!$F$4:$F$503,_calc!$E$136))&amp;". ")&amp;IF(LEN(IF(LEN(INDEX('Inspections'!$M$4:$M$503,_calc!$E$136))=0,"",INDEX('Inspections'!$M$4:$M$503,_calc!$E$136)))=0,"","Source: "&amp;IF(LEN(INDEX('Inspections'!$M$4:$M$503,_calc!$E$136))=0,"",INDEX('Inspections'!$M$4:$M$503,_calc!$E$136))&amp;". ")&amp;IF(LEN(IF(LEN(INDEX('Inspections'!$N$4:$N$503,_calc!$E$136))=0,"",INDEX('Inspections'!$N$4:$N$503,_calc!$E$136)))=0,"","Owner: "&amp;IF(LEN(INDEX('Inspections'!$N$4:$N$503,_calc!$E$136))=0,"",INDEX('Inspections'!$N$4:$N$503,_calc!$E$136))&amp;". ")&amp;IF(LEN(IF(LEN(INDEX('Inspections'!$O$4:$O$503,_calc!$E$136))=0,"",INDEX('Inspections'!$O$4:$O$503,_calc!$E$136)))=0,"","Backup: "&amp;IF(LEN(INDEX('Inspections'!$O$4:$O$503,_calc!$E$136))=0,"",INDEX('Inspections'!$O$4:$O$503,_calc!$E$136))&amp;". ")&amp;IF(LEN(IF(LEN(INDEX('Inspections'!$R$4:$R$503,_calc!$E$136))=0,"",INDEX('Inspections'!$R$4:$R$503,_calc!$E$136)))=0,"",IF(LEN(INDEX('Inspections'!$R$4:$R$503,_calc!$E$136))=0,"",INDEX('Inspections'!$R$4:$R$503,_calc!$E$136)))))</f>
        <v/>
      </c>
      <c r="G134" s="55">
        <f>IF(_calc!$E$136="","",IF(LEN(INDEX('Inspections'!$Q$4:$Q$503,_calc!$E$136))=0,"",INDEX('Inspections'!$Q$4:$Q$503,_calc!$E$136)))</f>
        <v/>
      </c>
      <c r="K134" s="55">
        <f>IF(_calc!$E$136="","",IF(LEN(INDEX('Inspections'!$P$4:$P$503,_calc!$E$136))=0,"",INDEX('Inspections'!$P$4:$P$503,_calc!$E$136)))</f>
        <v/>
      </c>
    </row>
    <row r="135">
      <c r="A135" s="55">
        <f>IF(_calc!$E$137="","",IF(LEN(INDEX('Inspections'!$C$4:$C$503,_calc!$E$137))=0,"",INDEX('Inspections'!$C$4:$C$503,_calc!$E$137))&amp;" – "&amp;IF(LEN(INDEX('Inspections'!$A$4:$A$503,_calc!$E$137))=0,"",INDEX('Inspections'!$A$4:$A$503,_calc!$E$137)))</f>
        <v/>
      </c>
      <c r="B135" s="55">
        <f>IF(_calc!$E$137="","",IF(ISNUMBER(INDEX('Inspections'!$H$4:$H$503,_calc!$E$137)),TEXT(INDEX('Inspections'!$H$4:$H$503,_calc!$E$137),"yyyy-mm-dd"),""))</f>
        <v/>
      </c>
      <c r="C135" s="55">
        <f>IF(_calc!$E$137="","","Inspection")</f>
        <v/>
      </c>
      <c r="D135" s="55">
        <f>IF(_calc!$E$137="","",IF(ISNUMBER(INDEX('Inspections'!$G$4:$G$503,_calc!$E$137)),TEXT(INDEX('Inspections'!$G$4:$G$503,_calc!$E$137),"yyyy-mm-dd"),""))</f>
        <v/>
      </c>
      <c r="F135" s="55">
        <f>IF(_calc!$E$137="","",TRIM(IF(LEN(IF(LEN(INDEX('Inspections'!$B$4:$B$503,_calc!$E$137))=0,"",INDEX('Inspections'!$B$4:$B$503,_calc!$E$137)))=0,"","System: "&amp;IF(LEN(INDEX('Inspections'!$B$4:$B$503,_calc!$E$137))=0,"",INDEX('Inspections'!$B$4:$B$503,_calc!$E$137))&amp;". ")&amp;IF(LEN(IF(LEN(INDEX('Inspections'!$D$4:$D$503,_calc!$E$137))=0,"",INDEX('Inspections'!$D$4:$D$503,_calc!$E$137)))=0,"","Every: "&amp;IF(LEN(INDEX('Inspections'!$D$4:$D$503,_calc!$E$137))=0,"",INDEX('Inspections'!$D$4:$D$503,_calc!$E$137))&amp;". ")&amp;IF(LEN(IF(LEN(INDEX('Inspections'!$E$4:$E$503,_calc!$E$137))=0,"",INDEX('Inspections'!$E$4:$E$503,_calc!$E$137)))=0,"","Unit: "&amp;IF(LEN(INDEX('Inspections'!$E$4:$E$503,_calc!$E$137))=0,"",INDEX('Inspections'!$E$4:$E$503,_calc!$E$137))&amp;". ")&amp;IF(LEN(IF(LEN(INDEX('Inspections'!$F$4:$F$503,_calc!$E$137))=0,"",INDEX('Inspections'!$F$4:$F$503,_calc!$E$137)))=0,"","Done by: "&amp;IF(LEN(INDEX('Inspections'!$F$4:$F$503,_calc!$E$137))=0,"",INDEX('Inspections'!$F$4:$F$503,_calc!$E$137))&amp;". ")&amp;IF(LEN(IF(LEN(INDEX('Inspections'!$M$4:$M$503,_calc!$E$137))=0,"",INDEX('Inspections'!$M$4:$M$503,_calc!$E$137)))=0,"","Source: "&amp;IF(LEN(INDEX('Inspections'!$M$4:$M$503,_calc!$E$137))=0,"",INDEX('Inspections'!$M$4:$M$503,_calc!$E$137))&amp;". ")&amp;IF(LEN(IF(LEN(INDEX('Inspections'!$N$4:$N$503,_calc!$E$137))=0,"",INDEX('Inspections'!$N$4:$N$503,_calc!$E$137)))=0,"","Owner: "&amp;IF(LEN(INDEX('Inspections'!$N$4:$N$503,_calc!$E$137))=0,"",INDEX('Inspections'!$N$4:$N$503,_calc!$E$137))&amp;". ")&amp;IF(LEN(IF(LEN(INDEX('Inspections'!$O$4:$O$503,_calc!$E$137))=0,"",INDEX('Inspections'!$O$4:$O$503,_calc!$E$137)))=0,"","Backup: "&amp;IF(LEN(INDEX('Inspections'!$O$4:$O$503,_calc!$E$137))=0,"",INDEX('Inspections'!$O$4:$O$503,_calc!$E$137))&amp;". ")&amp;IF(LEN(IF(LEN(INDEX('Inspections'!$R$4:$R$503,_calc!$E$137))=0,"",INDEX('Inspections'!$R$4:$R$503,_calc!$E$137)))=0,"",IF(LEN(INDEX('Inspections'!$R$4:$R$503,_calc!$E$137))=0,"",INDEX('Inspections'!$R$4:$R$503,_calc!$E$137)))))</f>
        <v/>
      </c>
      <c r="G135" s="55">
        <f>IF(_calc!$E$137="","",IF(LEN(INDEX('Inspections'!$Q$4:$Q$503,_calc!$E$137))=0,"",INDEX('Inspections'!$Q$4:$Q$503,_calc!$E$137)))</f>
        <v/>
      </c>
      <c r="K135" s="55">
        <f>IF(_calc!$E$137="","",IF(LEN(INDEX('Inspections'!$P$4:$P$503,_calc!$E$137))=0,"",INDEX('Inspections'!$P$4:$P$503,_calc!$E$137)))</f>
        <v/>
      </c>
    </row>
    <row r="136">
      <c r="A136" s="55">
        <f>IF(_calc!$E$138="","",IF(LEN(INDEX('Inspections'!$C$4:$C$503,_calc!$E$138))=0,"",INDEX('Inspections'!$C$4:$C$503,_calc!$E$138))&amp;" – "&amp;IF(LEN(INDEX('Inspections'!$A$4:$A$503,_calc!$E$138))=0,"",INDEX('Inspections'!$A$4:$A$503,_calc!$E$138)))</f>
        <v/>
      </c>
      <c r="B136" s="55">
        <f>IF(_calc!$E$138="","",IF(ISNUMBER(INDEX('Inspections'!$H$4:$H$503,_calc!$E$138)),TEXT(INDEX('Inspections'!$H$4:$H$503,_calc!$E$138),"yyyy-mm-dd"),""))</f>
        <v/>
      </c>
      <c r="C136" s="55">
        <f>IF(_calc!$E$138="","","Inspection")</f>
        <v/>
      </c>
      <c r="D136" s="55">
        <f>IF(_calc!$E$138="","",IF(ISNUMBER(INDEX('Inspections'!$G$4:$G$503,_calc!$E$138)),TEXT(INDEX('Inspections'!$G$4:$G$503,_calc!$E$138),"yyyy-mm-dd"),""))</f>
        <v/>
      </c>
      <c r="F136" s="55">
        <f>IF(_calc!$E$138="","",TRIM(IF(LEN(IF(LEN(INDEX('Inspections'!$B$4:$B$503,_calc!$E$138))=0,"",INDEX('Inspections'!$B$4:$B$503,_calc!$E$138)))=0,"","System: "&amp;IF(LEN(INDEX('Inspections'!$B$4:$B$503,_calc!$E$138))=0,"",INDEX('Inspections'!$B$4:$B$503,_calc!$E$138))&amp;". ")&amp;IF(LEN(IF(LEN(INDEX('Inspections'!$D$4:$D$503,_calc!$E$138))=0,"",INDEX('Inspections'!$D$4:$D$503,_calc!$E$138)))=0,"","Every: "&amp;IF(LEN(INDEX('Inspections'!$D$4:$D$503,_calc!$E$138))=0,"",INDEX('Inspections'!$D$4:$D$503,_calc!$E$138))&amp;". ")&amp;IF(LEN(IF(LEN(INDEX('Inspections'!$E$4:$E$503,_calc!$E$138))=0,"",INDEX('Inspections'!$E$4:$E$503,_calc!$E$138)))=0,"","Unit: "&amp;IF(LEN(INDEX('Inspections'!$E$4:$E$503,_calc!$E$138))=0,"",INDEX('Inspections'!$E$4:$E$503,_calc!$E$138))&amp;". ")&amp;IF(LEN(IF(LEN(INDEX('Inspections'!$F$4:$F$503,_calc!$E$138))=0,"",INDEX('Inspections'!$F$4:$F$503,_calc!$E$138)))=0,"","Done by: "&amp;IF(LEN(INDEX('Inspections'!$F$4:$F$503,_calc!$E$138))=0,"",INDEX('Inspections'!$F$4:$F$503,_calc!$E$138))&amp;". ")&amp;IF(LEN(IF(LEN(INDEX('Inspections'!$M$4:$M$503,_calc!$E$138))=0,"",INDEX('Inspections'!$M$4:$M$503,_calc!$E$138)))=0,"","Source: "&amp;IF(LEN(INDEX('Inspections'!$M$4:$M$503,_calc!$E$138))=0,"",INDEX('Inspections'!$M$4:$M$503,_calc!$E$138))&amp;". ")&amp;IF(LEN(IF(LEN(INDEX('Inspections'!$N$4:$N$503,_calc!$E$138))=0,"",INDEX('Inspections'!$N$4:$N$503,_calc!$E$138)))=0,"","Owner: "&amp;IF(LEN(INDEX('Inspections'!$N$4:$N$503,_calc!$E$138))=0,"",INDEX('Inspections'!$N$4:$N$503,_calc!$E$138))&amp;". ")&amp;IF(LEN(IF(LEN(INDEX('Inspections'!$O$4:$O$503,_calc!$E$138))=0,"",INDEX('Inspections'!$O$4:$O$503,_calc!$E$138)))=0,"","Backup: "&amp;IF(LEN(INDEX('Inspections'!$O$4:$O$503,_calc!$E$138))=0,"",INDEX('Inspections'!$O$4:$O$503,_calc!$E$138))&amp;". ")&amp;IF(LEN(IF(LEN(INDEX('Inspections'!$R$4:$R$503,_calc!$E$138))=0,"",INDEX('Inspections'!$R$4:$R$503,_calc!$E$138)))=0,"",IF(LEN(INDEX('Inspections'!$R$4:$R$503,_calc!$E$138))=0,"",INDEX('Inspections'!$R$4:$R$503,_calc!$E$138)))))</f>
        <v/>
      </c>
      <c r="G136" s="55">
        <f>IF(_calc!$E$138="","",IF(LEN(INDEX('Inspections'!$Q$4:$Q$503,_calc!$E$138))=0,"",INDEX('Inspections'!$Q$4:$Q$503,_calc!$E$138)))</f>
        <v/>
      </c>
      <c r="K136" s="55">
        <f>IF(_calc!$E$138="","",IF(LEN(INDEX('Inspections'!$P$4:$P$503,_calc!$E$138))=0,"",INDEX('Inspections'!$P$4:$P$503,_calc!$E$138)))</f>
        <v/>
      </c>
    </row>
    <row r="137">
      <c r="A137" s="55">
        <f>IF(_calc!$E$139="","",IF(LEN(INDEX('Inspections'!$C$4:$C$503,_calc!$E$139))=0,"",INDEX('Inspections'!$C$4:$C$503,_calc!$E$139))&amp;" – "&amp;IF(LEN(INDEX('Inspections'!$A$4:$A$503,_calc!$E$139))=0,"",INDEX('Inspections'!$A$4:$A$503,_calc!$E$139)))</f>
        <v/>
      </c>
      <c r="B137" s="55">
        <f>IF(_calc!$E$139="","",IF(ISNUMBER(INDEX('Inspections'!$H$4:$H$503,_calc!$E$139)),TEXT(INDEX('Inspections'!$H$4:$H$503,_calc!$E$139),"yyyy-mm-dd"),""))</f>
        <v/>
      </c>
      <c r="C137" s="55">
        <f>IF(_calc!$E$139="","","Inspection")</f>
        <v/>
      </c>
      <c r="D137" s="55">
        <f>IF(_calc!$E$139="","",IF(ISNUMBER(INDEX('Inspections'!$G$4:$G$503,_calc!$E$139)),TEXT(INDEX('Inspections'!$G$4:$G$503,_calc!$E$139),"yyyy-mm-dd"),""))</f>
        <v/>
      </c>
      <c r="F137" s="55">
        <f>IF(_calc!$E$139="","",TRIM(IF(LEN(IF(LEN(INDEX('Inspections'!$B$4:$B$503,_calc!$E$139))=0,"",INDEX('Inspections'!$B$4:$B$503,_calc!$E$139)))=0,"","System: "&amp;IF(LEN(INDEX('Inspections'!$B$4:$B$503,_calc!$E$139))=0,"",INDEX('Inspections'!$B$4:$B$503,_calc!$E$139))&amp;". ")&amp;IF(LEN(IF(LEN(INDEX('Inspections'!$D$4:$D$503,_calc!$E$139))=0,"",INDEX('Inspections'!$D$4:$D$503,_calc!$E$139)))=0,"","Every: "&amp;IF(LEN(INDEX('Inspections'!$D$4:$D$503,_calc!$E$139))=0,"",INDEX('Inspections'!$D$4:$D$503,_calc!$E$139))&amp;". ")&amp;IF(LEN(IF(LEN(INDEX('Inspections'!$E$4:$E$503,_calc!$E$139))=0,"",INDEX('Inspections'!$E$4:$E$503,_calc!$E$139)))=0,"","Unit: "&amp;IF(LEN(INDEX('Inspections'!$E$4:$E$503,_calc!$E$139))=0,"",INDEX('Inspections'!$E$4:$E$503,_calc!$E$139))&amp;". ")&amp;IF(LEN(IF(LEN(INDEX('Inspections'!$F$4:$F$503,_calc!$E$139))=0,"",INDEX('Inspections'!$F$4:$F$503,_calc!$E$139)))=0,"","Done by: "&amp;IF(LEN(INDEX('Inspections'!$F$4:$F$503,_calc!$E$139))=0,"",INDEX('Inspections'!$F$4:$F$503,_calc!$E$139))&amp;". ")&amp;IF(LEN(IF(LEN(INDEX('Inspections'!$M$4:$M$503,_calc!$E$139))=0,"",INDEX('Inspections'!$M$4:$M$503,_calc!$E$139)))=0,"","Source: "&amp;IF(LEN(INDEX('Inspections'!$M$4:$M$503,_calc!$E$139))=0,"",INDEX('Inspections'!$M$4:$M$503,_calc!$E$139))&amp;". ")&amp;IF(LEN(IF(LEN(INDEX('Inspections'!$N$4:$N$503,_calc!$E$139))=0,"",INDEX('Inspections'!$N$4:$N$503,_calc!$E$139)))=0,"","Owner: "&amp;IF(LEN(INDEX('Inspections'!$N$4:$N$503,_calc!$E$139))=0,"",INDEX('Inspections'!$N$4:$N$503,_calc!$E$139))&amp;". ")&amp;IF(LEN(IF(LEN(INDEX('Inspections'!$O$4:$O$503,_calc!$E$139))=0,"",INDEX('Inspections'!$O$4:$O$503,_calc!$E$139)))=0,"","Backup: "&amp;IF(LEN(INDEX('Inspections'!$O$4:$O$503,_calc!$E$139))=0,"",INDEX('Inspections'!$O$4:$O$503,_calc!$E$139))&amp;". ")&amp;IF(LEN(IF(LEN(INDEX('Inspections'!$R$4:$R$503,_calc!$E$139))=0,"",INDEX('Inspections'!$R$4:$R$503,_calc!$E$139)))=0,"",IF(LEN(INDEX('Inspections'!$R$4:$R$503,_calc!$E$139))=0,"",INDEX('Inspections'!$R$4:$R$503,_calc!$E$139)))))</f>
        <v/>
      </c>
      <c r="G137" s="55">
        <f>IF(_calc!$E$139="","",IF(LEN(INDEX('Inspections'!$Q$4:$Q$503,_calc!$E$139))=0,"",INDEX('Inspections'!$Q$4:$Q$503,_calc!$E$139)))</f>
        <v/>
      </c>
      <c r="K137" s="55">
        <f>IF(_calc!$E$139="","",IF(LEN(INDEX('Inspections'!$P$4:$P$503,_calc!$E$139))=0,"",INDEX('Inspections'!$P$4:$P$503,_calc!$E$139)))</f>
        <v/>
      </c>
    </row>
    <row r="138">
      <c r="A138" s="55">
        <f>IF(_calc!$E$140="","",IF(LEN(INDEX('Inspections'!$C$4:$C$503,_calc!$E$140))=0,"",INDEX('Inspections'!$C$4:$C$503,_calc!$E$140))&amp;" – "&amp;IF(LEN(INDEX('Inspections'!$A$4:$A$503,_calc!$E$140))=0,"",INDEX('Inspections'!$A$4:$A$503,_calc!$E$140)))</f>
        <v/>
      </c>
      <c r="B138" s="55">
        <f>IF(_calc!$E$140="","",IF(ISNUMBER(INDEX('Inspections'!$H$4:$H$503,_calc!$E$140)),TEXT(INDEX('Inspections'!$H$4:$H$503,_calc!$E$140),"yyyy-mm-dd"),""))</f>
        <v/>
      </c>
      <c r="C138" s="55">
        <f>IF(_calc!$E$140="","","Inspection")</f>
        <v/>
      </c>
      <c r="D138" s="55">
        <f>IF(_calc!$E$140="","",IF(ISNUMBER(INDEX('Inspections'!$G$4:$G$503,_calc!$E$140)),TEXT(INDEX('Inspections'!$G$4:$G$503,_calc!$E$140),"yyyy-mm-dd"),""))</f>
        <v/>
      </c>
      <c r="F138" s="55">
        <f>IF(_calc!$E$140="","",TRIM(IF(LEN(IF(LEN(INDEX('Inspections'!$B$4:$B$503,_calc!$E$140))=0,"",INDEX('Inspections'!$B$4:$B$503,_calc!$E$140)))=0,"","System: "&amp;IF(LEN(INDEX('Inspections'!$B$4:$B$503,_calc!$E$140))=0,"",INDEX('Inspections'!$B$4:$B$503,_calc!$E$140))&amp;". ")&amp;IF(LEN(IF(LEN(INDEX('Inspections'!$D$4:$D$503,_calc!$E$140))=0,"",INDEX('Inspections'!$D$4:$D$503,_calc!$E$140)))=0,"","Every: "&amp;IF(LEN(INDEX('Inspections'!$D$4:$D$503,_calc!$E$140))=0,"",INDEX('Inspections'!$D$4:$D$503,_calc!$E$140))&amp;". ")&amp;IF(LEN(IF(LEN(INDEX('Inspections'!$E$4:$E$503,_calc!$E$140))=0,"",INDEX('Inspections'!$E$4:$E$503,_calc!$E$140)))=0,"","Unit: "&amp;IF(LEN(INDEX('Inspections'!$E$4:$E$503,_calc!$E$140))=0,"",INDEX('Inspections'!$E$4:$E$503,_calc!$E$140))&amp;". ")&amp;IF(LEN(IF(LEN(INDEX('Inspections'!$F$4:$F$503,_calc!$E$140))=0,"",INDEX('Inspections'!$F$4:$F$503,_calc!$E$140)))=0,"","Done by: "&amp;IF(LEN(INDEX('Inspections'!$F$4:$F$503,_calc!$E$140))=0,"",INDEX('Inspections'!$F$4:$F$503,_calc!$E$140))&amp;". ")&amp;IF(LEN(IF(LEN(INDEX('Inspections'!$M$4:$M$503,_calc!$E$140))=0,"",INDEX('Inspections'!$M$4:$M$503,_calc!$E$140)))=0,"","Source: "&amp;IF(LEN(INDEX('Inspections'!$M$4:$M$503,_calc!$E$140))=0,"",INDEX('Inspections'!$M$4:$M$503,_calc!$E$140))&amp;". ")&amp;IF(LEN(IF(LEN(INDEX('Inspections'!$N$4:$N$503,_calc!$E$140))=0,"",INDEX('Inspections'!$N$4:$N$503,_calc!$E$140)))=0,"","Owner: "&amp;IF(LEN(INDEX('Inspections'!$N$4:$N$503,_calc!$E$140))=0,"",INDEX('Inspections'!$N$4:$N$503,_calc!$E$140))&amp;". ")&amp;IF(LEN(IF(LEN(INDEX('Inspections'!$O$4:$O$503,_calc!$E$140))=0,"",INDEX('Inspections'!$O$4:$O$503,_calc!$E$140)))=0,"","Backup: "&amp;IF(LEN(INDEX('Inspections'!$O$4:$O$503,_calc!$E$140))=0,"",INDEX('Inspections'!$O$4:$O$503,_calc!$E$140))&amp;". ")&amp;IF(LEN(IF(LEN(INDEX('Inspections'!$R$4:$R$503,_calc!$E$140))=0,"",INDEX('Inspections'!$R$4:$R$503,_calc!$E$140)))=0,"",IF(LEN(INDEX('Inspections'!$R$4:$R$503,_calc!$E$140))=0,"",INDEX('Inspections'!$R$4:$R$503,_calc!$E$140)))))</f>
        <v/>
      </c>
      <c r="G138" s="55">
        <f>IF(_calc!$E$140="","",IF(LEN(INDEX('Inspections'!$Q$4:$Q$503,_calc!$E$140))=0,"",INDEX('Inspections'!$Q$4:$Q$503,_calc!$E$140)))</f>
        <v/>
      </c>
      <c r="K138" s="55">
        <f>IF(_calc!$E$140="","",IF(LEN(INDEX('Inspections'!$P$4:$P$503,_calc!$E$140))=0,"",INDEX('Inspections'!$P$4:$P$503,_calc!$E$140)))</f>
        <v/>
      </c>
    </row>
    <row r="139">
      <c r="A139" s="55">
        <f>IF(_calc!$E$141="","",IF(LEN(INDEX('Inspections'!$C$4:$C$503,_calc!$E$141))=0,"",INDEX('Inspections'!$C$4:$C$503,_calc!$E$141))&amp;" – "&amp;IF(LEN(INDEX('Inspections'!$A$4:$A$503,_calc!$E$141))=0,"",INDEX('Inspections'!$A$4:$A$503,_calc!$E$141)))</f>
        <v/>
      </c>
      <c r="B139" s="55">
        <f>IF(_calc!$E$141="","",IF(ISNUMBER(INDEX('Inspections'!$H$4:$H$503,_calc!$E$141)),TEXT(INDEX('Inspections'!$H$4:$H$503,_calc!$E$141),"yyyy-mm-dd"),""))</f>
        <v/>
      </c>
      <c r="C139" s="55">
        <f>IF(_calc!$E$141="","","Inspection")</f>
        <v/>
      </c>
      <c r="D139" s="55">
        <f>IF(_calc!$E$141="","",IF(ISNUMBER(INDEX('Inspections'!$G$4:$G$503,_calc!$E$141)),TEXT(INDEX('Inspections'!$G$4:$G$503,_calc!$E$141),"yyyy-mm-dd"),""))</f>
        <v/>
      </c>
      <c r="F139" s="55">
        <f>IF(_calc!$E$141="","",TRIM(IF(LEN(IF(LEN(INDEX('Inspections'!$B$4:$B$503,_calc!$E$141))=0,"",INDEX('Inspections'!$B$4:$B$503,_calc!$E$141)))=0,"","System: "&amp;IF(LEN(INDEX('Inspections'!$B$4:$B$503,_calc!$E$141))=0,"",INDEX('Inspections'!$B$4:$B$503,_calc!$E$141))&amp;". ")&amp;IF(LEN(IF(LEN(INDEX('Inspections'!$D$4:$D$503,_calc!$E$141))=0,"",INDEX('Inspections'!$D$4:$D$503,_calc!$E$141)))=0,"","Every: "&amp;IF(LEN(INDEX('Inspections'!$D$4:$D$503,_calc!$E$141))=0,"",INDEX('Inspections'!$D$4:$D$503,_calc!$E$141))&amp;". ")&amp;IF(LEN(IF(LEN(INDEX('Inspections'!$E$4:$E$503,_calc!$E$141))=0,"",INDEX('Inspections'!$E$4:$E$503,_calc!$E$141)))=0,"","Unit: "&amp;IF(LEN(INDEX('Inspections'!$E$4:$E$503,_calc!$E$141))=0,"",INDEX('Inspections'!$E$4:$E$503,_calc!$E$141))&amp;". ")&amp;IF(LEN(IF(LEN(INDEX('Inspections'!$F$4:$F$503,_calc!$E$141))=0,"",INDEX('Inspections'!$F$4:$F$503,_calc!$E$141)))=0,"","Done by: "&amp;IF(LEN(INDEX('Inspections'!$F$4:$F$503,_calc!$E$141))=0,"",INDEX('Inspections'!$F$4:$F$503,_calc!$E$141))&amp;". ")&amp;IF(LEN(IF(LEN(INDEX('Inspections'!$M$4:$M$503,_calc!$E$141))=0,"",INDEX('Inspections'!$M$4:$M$503,_calc!$E$141)))=0,"","Source: "&amp;IF(LEN(INDEX('Inspections'!$M$4:$M$503,_calc!$E$141))=0,"",INDEX('Inspections'!$M$4:$M$503,_calc!$E$141))&amp;". ")&amp;IF(LEN(IF(LEN(INDEX('Inspections'!$N$4:$N$503,_calc!$E$141))=0,"",INDEX('Inspections'!$N$4:$N$503,_calc!$E$141)))=0,"","Owner: "&amp;IF(LEN(INDEX('Inspections'!$N$4:$N$503,_calc!$E$141))=0,"",INDEX('Inspections'!$N$4:$N$503,_calc!$E$141))&amp;". ")&amp;IF(LEN(IF(LEN(INDEX('Inspections'!$O$4:$O$503,_calc!$E$141))=0,"",INDEX('Inspections'!$O$4:$O$503,_calc!$E$141)))=0,"","Backup: "&amp;IF(LEN(INDEX('Inspections'!$O$4:$O$503,_calc!$E$141))=0,"",INDEX('Inspections'!$O$4:$O$503,_calc!$E$141))&amp;". ")&amp;IF(LEN(IF(LEN(INDEX('Inspections'!$R$4:$R$503,_calc!$E$141))=0,"",INDEX('Inspections'!$R$4:$R$503,_calc!$E$141)))=0,"",IF(LEN(INDEX('Inspections'!$R$4:$R$503,_calc!$E$141))=0,"",INDEX('Inspections'!$R$4:$R$503,_calc!$E$141)))))</f>
        <v/>
      </c>
      <c r="G139" s="55">
        <f>IF(_calc!$E$141="","",IF(LEN(INDEX('Inspections'!$Q$4:$Q$503,_calc!$E$141))=0,"",INDEX('Inspections'!$Q$4:$Q$503,_calc!$E$141)))</f>
        <v/>
      </c>
      <c r="K139" s="55">
        <f>IF(_calc!$E$141="","",IF(LEN(INDEX('Inspections'!$P$4:$P$503,_calc!$E$141))=0,"",INDEX('Inspections'!$P$4:$P$503,_calc!$E$141)))</f>
        <v/>
      </c>
    </row>
    <row r="140">
      <c r="A140" s="55">
        <f>IF(_calc!$E$142="","",IF(LEN(INDEX('Inspections'!$C$4:$C$503,_calc!$E$142))=0,"",INDEX('Inspections'!$C$4:$C$503,_calc!$E$142))&amp;" – "&amp;IF(LEN(INDEX('Inspections'!$A$4:$A$503,_calc!$E$142))=0,"",INDEX('Inspections'!$A$4:$A$503,_calc!$E$142)))</f>
        <v/>
      </c>
      <c r="B140" s="55">
        <f>IF(_calc!$E$142="","",IF(ISNUMBER(INDEX('Inspections'!$H$4:$H$503,_calc!$E$142)),TEXT(INDEX('Inspections'!$H$4:$H$503,_calc!$E$142),"yyyy-mm-dd"),""))</f>
        <v/>
      </c>
      <c r="C140" s="55">
        <f>IF(_calc!$E$142="","","Inspection")</f>
        <v/>
      </c>
      <c r="D140" s="55">
        <f>IF(_calc!$E$142="","",IF(ISNUMBER(INDEX('Inspections'!$G$4:$G$503,_calc!$E$142)),TEXT(INDEX('Inspections'!$G$4:$G$503,_calc!$E$142),"yyyy-mm-dd"),""))</f>
        <v/>
      </c>
      <c r="F140" s="55">
        <f>IF(_calc!$E$142="","",TRIM(IF(LEN(IF(LEN(INDEX('Inspections'!$B$4:$B$503,_calc!$E$142))=0,"",INDEX('Inspections'!$B$4:$B$503,_calc!$E$142)))=0,"","System: "&amp;IF(LEN(INDEX('Inspections'!$B$4:$B$503,_calc!$E$142))=0,"",INDEX('Inspections'!$B$4:$B$503,_calc!$E$142))&amp;". ")&amp;IF(LEN(IF(LEN(INDEX('Inspections'!$D$4:$D$503,_calc!$E$142))=0,"",INDEX('Inspections'!$D$4:$D$503,_calc!$E$142)))=0,"","Every: "&amp;IF(LEN(INDEX('Inspections'!$D$4:$D$503,_calc!$E$142))=0,"",INDEX('Inspections'!$D$4:$D$503,_calc!$E$142))&amp;". ")&amp;IF(LEN(IF(LEN(INDEX('Inspections'!$E$4:$E$503,_calc!$E$142))=0,"",INDEX('Inspections'!$E$4:$E$503,_calc!$E$142)))=0,"","Unit: "&amp;IF(LEN(INDEX('Inspections'!$E$4:$E$503,_calc!$E$142))=0,"",INDEX('Inspections'!$E$4:$E$503,_calc!$E$142))&amp;". ")&amp;IF(LEN(IF(LEN(INDEX('Inspections'!$F$4:$F$503,_calc!$E$142))=0,"",INDEX('Inspections'!$F$4:$F$503,_calc!$E$142)))=0,"","Done by: "&amp;IF(LEN(INDEX('Inspections'!$F$4:$F$503,_calc!$E$142))=0,"",INDEX('Inspections'!$F$4:$F$503,_calc!$E$142))&amp;". ")&amp;IF(LEN(IF(LEN(INDEX('Inspections'!$M$4:$M$503,_calc!$E$142))=0,"",INDEX('Inspections'!$M$4:$M$503,_calc!$E$142)))=0,"","Source: "&amp;IF(LEN(INDEX('Inspections'!$M$4:$M$503,_calc!$E$142))=0,"",INDEX('Inspections'!$M$4:$M$503,_calc!$E$142))&amp;". ")&amp;IF(LEN(IF(LEN(INDEX('Inspections'!$N$4:$N$503,_calc!$E$142))=0,"",INDEX('Inspections'!$N$4:$N$503,_calc!$E$142)))=0,"","Owner: "&amp;IF(LEN(INDEX('Inspections'!$N$4:$N$503,_calc!$E$142))=0,"",INDEX('Inspections'!$N$4:$N$503,_calc!$E$142))&amp;". ")&amp;IF(LEN(IF(LEN(INDEX('Inspections'!$O$4:$O$503,_calc!$E$142))=0,"",INDEX('Inspections'!$O$4:$O$503,_calc!$E$142)))=0,"","Backup: "&amp;IF(LEN(INDEX('Inspections'!$O$4:$O$503,_calc!$E$142))=0,"",INDEX('Inspections'!$O$4:$O$503,_calc!$E$142))&amp;". ")&amp;IF(LEN(IF(LEN(INDEX('Inspections'!$R$4:$R$503,_calc!$E$142))=0,"",INDEX('Inspections'!$R$4:$R$503,_calc!$E$142)))=0,"",IF(LEN(INDEX('Inspections'!$R$4:$R$503,_calc!$E$142))=0,"",INDEX('Inspections'!$R$4:$R$503,_calc!$E$142)))))</f>
        <v/>
      </c>
      <c r="G140" s="55">
        <f>IF(_calc!$E$142="","",IF(LEN(INDEX('Inspections'!$Q$4:$Q$503,_calc!$E$142))=0,"",INDEX('Inspections'!$Q$4:$Q$503,_calc!$E$142)))</f>
        <v/>
      </c>
      <c r="K140" s="55">
        <f>IF(_calc!$E$142="","",IF(LEN(INDEX('Inspections'!$P$4:$P$503,_calc!$E$142))=0,"",INDEX('Inspections'!$P$4:$P$503,_calc!$E$142)))</f>
        <v/>
      </c>
    </row>
    <row r="141">
      <c r="A141" s="55">
        <f>IF(_calc!$E$143="","",IF(LEN(INDEX('Inspections'!$C$4:$C$503,_calc!$E$143))=0,"",INDEX('Inspections'!$C$4:$C$503,_calc!$E$143))&amp;" – "&amp;IF(LEN(INDEX('Inspections'!$A$4:$A$503,_calc!$E$143))=0,"",INDEX('Inspections'!$A$4:$A$503,_calc!$E$143)))</f>
        <v/>
      </c>
      <c r="B141" s="55">
        <f>IF(_calc!$E$143="","",IF(ISNUMBER(INDEX('Inspections'!$H$4:$H$503,_calc!$E$143)),TEXT(INDEX('Inspections'!$H$4:$H$503,_calc!$E$143),"yyyy-mm-dd"),""))</f>
        <v/>
      </c>
      <c r="C141" s="55">
        <f>IF(_calc!$E$143="","","Inspection")</f>
        <v/>
      </c>
      <c r="D141" s="55">
        <f>IF(_calc!$E$143="","",IF(ISNUMBER(INDEX('Inspections'!$G$4:$G$503,_calc!$E$143)),TEXT(INDEX('Inspections'!$G$4:$G$503,_calc!$E$143),"yyyy-mm-dd"),""))</f>
        <v/>
      </c>
      <c r="F141" s="55">
        <f>IF(_calc!$E$143="","",TRIM(IF(LEN(IF(LEN(INDEX('Inspections'!$B$4:$B$503,_calc!$E$143))=0,"",INDEX('Inspections'!$B$4:$B$503,_calc!$E$143)))=0,"","System: "&amp;IF(LEN(INDEX('Inspections'!$B$4:$B$503,_calc!$E$143))=0,"",INDEX('Inspections'!$B$4:$B$503,_calc!$E$143))&amp;". ")&amp;IF(LEN(IF(LEN(INDEX('Inspections'!$D$4:$D$503,_calc!$E$143))=0,"",INDEX('Inspections'!$D$4:$D$503,_calc!$E$143)))=0,"","Every: "&amp;IF(LEN(INDEX('Inspections'!$D$4:$D$503,_calc!$E$143))=0,"",INDEX('Inspections'!$D$4:$D$503,_calc!$E$143))&amp;". ")&amp;IF(LEN(IF(LEN(INDEX('Inspections'!$E$4:$E$503,_calc!$E$143))=0,"",INDEX('Inspections'!$E$4:$E$503,_calc!$E$143)))=0,"","Unit: "&amp;IF(LEN(INDEX('Inspections'!$E$4:$E$503,_calc!$E$143))=0,"",INDEX('Inspections'!$E$4:$E$503,_calc!$E$143))&amp;". ")&amp;IF(LEN(IF(LEN(INDEX('Inspections'!$F$4:$F$503,_calc!$E$143))=0,"",INDEX('Inspections'!$F$4:$F$503,_calc!$E$143)))=0,"","Done by: "&amp;IF(LEN(INDEX('Inspections'!$F$4:$F$503,_calc!$E$143))=0,"",INDEX('Inspections'!$F$4:$F$503,_calc!$E$143))&amp;". ")&amp;IF(LEN(IF(LEN(INDEX('Inspections'!$M$4:$M$503,_calc!$E$143))=0,"",INDEX('Inspections'!$M$4:$M$503,_calc!$E$143)))=0,"","Source: "&amp;IF(LEN(INDEX('Inspections'!$M$4:$M$503,_calc!$E$143))=0,"",INDEX('Inspections'!$M$4:$M$503,_calc!$E$143))&amp;". ")&amp;IF(LEN(IF(LEN(INDEX('Inspections'!$N$4:$N$503,_calc!$E$143))=0,"",INDEX('Inspections'!$N$4:$N$503,_calc!$E$143)))=0,"","Owner: "&amp;IF(LEN(INDEX('Inspections'!$N$4:$N$503,_calc!$E$143))=0,"",INDEX('Inspections'!$N$4:$N$503,_calc!$E$143))&amp;". ")&amp;IF(LEN(IF(LEN(INDEX('Inspections'!$O$4:$O$503,_calc!$E$143))=0,"",INDEX('Inspections'!$O$4:$O$503,_calc!$E$143)))=0,"","Backup: "&amp;IF(LEN(INDEX('Inspections'!$O$4:$O$503,_calc!$E$143))=0,"",INDEX('Inspections'!$O$4:$O$503,_calc!$E$143))&amp;". ")&amp;IF(LEN(IF(LEN(INDEX('Inspections'!$R$4:$R$503,_calc!$E$143))=0,"",INDEX('Inspections'!$R$4:$R$503,_calc!$E$143)))=0,"",IF(LEN(INDEX('Inspections'!$R$4:$R$503,_calc!$E$143))=0,"",INDEX('Inspections'!$R$4:$R$503,_calc!$E$143)))))</f>
        <v/>
      </c>
      <c r="G141" s="55">
        <f>IF(_calc!$E$143="","",IF(LEN(INDEX('Inspections'!$Q$4:$Q$503,_calc!$E$143))=0,"",INDEX('Inspections'!$Q$4:$Q$503,_calc!$E$143)))</f>
        <v/>
      </c>
      <c r="K141" s="55">
        <f>IF(_calc!$E$143="","",IF(LEN(INDEX('Inspections'!$P$4:$P$503,_calc!$E$143))=0,"",INDEX('Inspections'!$P$4:$P$503,_calc!$E$143)))</f>
        <v/>
      </c>
    </row>
    <row r="142">
      <c r="A142" s="55">
        <f>IF(_calc!$E$144="","",IF(LEN(INDEX('Inspections'!$C$4:$C$503,_calc!$E$144))=0,"",INDEX('Inspections'!$C$4:$C$503,_calc!$E$144))&amp;" – "&amp;IF(LEN(INDEX('Inspections'!$A$4:$A$503,_calc!$E$144))=0,"",INDEX('Inspections'!$A$4:$A$503,_calc!$E$144)))</f>
        <v/>
      </c>
      <c r="B142" s="55">
        <f>IF(_calc!$E$144="","",IF(ISNUMBER(INDEX('Inspections'!$H$4:$H$503,_calc!$E$144)),TEXT(INDEX('Inspections'!$H$4:$H$503,_calc!$E$144),"yyyy-mm-dd"),""))</f>
        <v/>
      </c>
      <c r="C142" s="55">
        <f>IF(_calc!$E$144="","","Inspection")</f>
        <v/>
      </c>
      <c r="D142" s="55">
        <f>IF(_calc!$E$144="","",IF(ISNUMBER(INDEX('Inspections'!$G$4:$G$503,_calc!$E$144)),TEXT(INDEX('Inspections'!$G$4:$G$503,_calc!$E$144),"yyyy-mm-dd"),""))</f>
        <v/>
      </c>
      <c r="F142" s="55">
        <f>IF(_calc!$E$144="","",TRIM(IF(LEN(IF(LEN(INDEX('Inspections'!$B$4:$B$503,_calc!$E$144))=0,"",INDEX('Inspections'!$B$4:$B$503,_calc!$E$144)))=0,"","System: "&amp;IF(LEN(INDEX('Inspections'!$B$4:$B$503,_calc!$E$144))=0,"",INDEX('Inspections'!$B$4:$B$503,_calc!$E$144))&amp;". ")&amp;IF(LEN(IF(LEN(INDEX('Inspections'!$D$4:$D$503,_calc!$E$144))=0,"",INDEX('Inspections'!$D$4:$D$503,_calc!$E$144)))=0,"","Every: "&amp;IF(LEN(INDEX('Inspections'!$D$4:$D$503,_calc!$E$144))=0,"",INDEX('Inspections'!$D$4:$D$503,_calc!$E$144))&amp;". ")&amp;IF(LEN(IF(LEN(INDEX('Inspections'!$E$4:$E$503,_calc!$E$144))=0,"",INDEX('Inspections'!$E$4:$E$503,_calc!$E$144)))=0,"","Unit: "&amp;IF(LEN(INDEX('Inspections'!$E$4:$E$503,_calc!$E$144))=0,"",INDEX('Inspections'!$E$4:$E$503,_calc!$E$144))&amp;". ")&amp;IF(LEN(IF(LEN(INDEX('Inspections'!$F$4:$F$503,_calc!$E$144))=0,"",INDEX('Inspections'!$F$4:$F$503,_calc!$E$144)))=0,"","Done by: "&amp;IF(LEN(INDEX('Inspections'!$F$4:$F$503,_calc!$E$144))=0,"",INDEX('Inspections'!$F$4:$F$503,_calc!$E$144))&amp;". ")&amp;IF(LEN(IF(LEN(INDEX('Inspections'!$M$4:$M$503,_calc!$E$144))=0,"",INDEX('Inspections'!$M$4:$M$503,_calc!$E$144)))=0,"","Source: "&amp;IF(LEN(INDEX('Inspections'!$M$4:$M$503,_calc!$E$144))=0,"",INDEX('Inspections'!$M$4:$M$503,_calc!$E$144))&amp;". ")&amp;IF(LEN(IF(LEN(INDEX('Inspections'!$N$4:$N$503,_calc!$E$144))=0,"",INDEX('Inspections'!$N$4:$N$503,_calc!$E$144)))=0,"","Owner: "&amp;IF(LEN(INDEX('Inspections'!$N$4:$N$503,_calc!$E$144))=0,"",INDEX('Inspections'!$N$4:$N$503,_calc!$E$144))&amp;". ")&amp;IF(LEN(IF(LEN(INDEX('Inspections'!$O$4:$O$503,_calc!$E$144))=0,"",INDEX('Inspections'!$O$4:$O$503,_calc!$E$144)))=0,"","Backup: "&amp;IF(LEN(INDEX('Inspections'!$O$4:$O$503,_calc!$E$144))=0,"",INDEX('Inspections'!$O$4:$O$503,_calc!$E$144))&amp;". ")&amp;IF(LEN(IF(LEN(INDEX('Inspections'!$R$4:$R$503,_calc!$E$144))=0,"",INDEX('Inspections'!$R$4:$R$503,_calc!$E$144)))=0,"",IF(LEN(INDEX('Inspections'!$R$4:$R$503,_calc!$E$144))=0,"",INDEX('Inspections'!$R$4:$R$503,_calc!$E$144)))))</f>
        <v/>
      </c>
      <c r="G142" s="55">
        <f>IF(_calc!$E$144="","",IF(LEN(INDEX('Inspections'!$Q$4:$Q$503,_calc!$E$144))=0,"",INDEX('Inspections'!$Q$4:$Q$503,_calc!$E$144)))</f>
        <v/>
      </c>
      <c r="K142" s="55">
        <f>IF(_calc!$E$144="","",IF(LEN(INDEX('Inspections'!$P$4:$P$503,_calc!$E$144))=0,"",INDEX('Inspections'!$P$4:$P$503,_calc!$E$144)))</f>
        <v/>
      </c>
    </row>
    <row r="143">
      <c r="A143" s="55">
        <f>IF(_calc!$E$145="","",IF(LEN(INDEX('Inspections'!$C$4:$C$503,_calc!$E$145))=0,"",INDEX('Inspections'!$C$4:$C$503,_calc!$E$145))&amp;" – "&amp;IF(LEN(INDEX('Inspections'!$A$4:$A$503,_calc!$E$145))=0,"",INDEX('Inspections'!$A$4:$A$503,_calc!$E$145)))</f>
        <v/>
      </c>
      <c r="B143" s="55">
        <f>IF(_calc!$E$145="","",IF(ISNUMBER(INDEX('Inspections'!$H$4:$H$503,_calc!$E$145)),TEXT(INDEX('Inspections'!$H$4:$H$503,_calc!$E$145),"yyyy-mm-dd"),""))</f>
        <v/>
      </c>
      <c r="C143" s="55">
        <f>IF(_calc!$E$145="","","Inspection")</f>
        <v/>
      </c>
      <c r="D143" s="55">
        <f>IF(_calc!$E$145="","",IF(ISNUMBER(INDEX('Inspections'!$G$4:$G$503,_calc!$E$145)),TEXT(INDEX('Inspections'!$G$4:$G$503,_calc!$E$145),"yyyy-mm-dd"),""))</f>
        <v/>
      </c>
      <c r="F143" s="55">
        <f>IF(_calc!$E$145="","",TRIM(IF(LEN(IF(LEN(INDEX('Inspections'!$B$4:$B$503,_calc!$E$145))=0,"",INDEX('Inspections'!$B$4:$B$503,_calc!$E$145)))=0,"","System: "&amp;IF(LEN(INDEX('Inspections'!$B$4:$B$503,_calc!$E$145))=0,"",INDEX('Inspections'!$B$4:$B$503,_calc!$E$145))&amp;". ")&amp;IF(LEN(IF(LEN(INDEX('Inspections'!$D$4:$D$503,_calc!$E$145))=0,"",INDEX('Inspections'!$D$4:$D$503,_calc!$E$145)))=0,"","Every: "&amp;IF(LEN(INDEX('Inspections'!$D$4:$D$503,_calc!$E$145))=0,"",INDEX('Inspections'!$D$4:$D$503,_calc!$E$145))&amp;". ")&amp;IF(LEN(IF(LEN(INDEX('Inspections'!$E$4:$E$503,_calc!$E$145))=0,"",INDEX('Inspections'!$E$4:$E$503,_calc!$E$145)))=0,"","Unit: "&amp;IF(LEN(INDEX('Inspections'!$E$4:$E$503,_calc!$E$145))=0,"",INDEX('Inspections'!$E$4:$E$503,_calc!$E$145))&amp;". ")&amp;IF(LEN(IF(LEN(INDEX('Inspections'!$F$4:$F$503,_calc!$E$145))=0,"",INDEX('Inspections'!$F$4:$F$503,_calc!$E$145)))=0,"","Done by: "&amp;IF(LEN(INDEX('Inspections'!$F$4:$F$503,_calc!$E$145))=0,"",INDEX('Inspections'!$F$4:$F$503,_calc!$E$145))&amp;". ")&amp;IF(LEN(IF(LEN(INDEX('Inspections'!$M$4:$M$503,_calc!$E$145))=0,"",INDEX('Inspections'!$M$4:$M$503,_calc!$E$145)))=0,"","Source: "&amp;IF(LEN(INDEX('Inspections'!$M$4:$M$503,_calc!$E$145))=0,"",INDEX('Inspections'!$M$4:$M$503,_calc!$E$145))&amp;". ")&amp;IF(LEN(IF(LEN(INDEX('Inspections'!$N$4:$N$503,_calc!$E$145))=0,"",INDEX('Inspections'!$N$4:$N$503,_calc!$E$145)))=0,"","Owner: "&amp;IF(LEN(INDEX('Inspections'!$N$4:$N$503,_calc!$E$145))=0,"",INDEX('Inspections'!$N$4:$N$503,_calc!$E$145))&amp;". ")&amp;IF(LEN(IF(LEN(INDEX('Inspections'!$O$4:$O$503,_calc!$E$145))=0,"",INDEX('Inspections'!$O$4:$O$503,_calc!$E$145)))=0,"","Backup: "&amp;IF(LEN(INDEX('Inspections'!$O$4:$O$503,_calc!$E$145))=0,"",INDEX('Inspections'!$O$4:$O$503,_calc!$E$145))&amp;". ")&amp;IF(LEN(IF(LEN(INDEX('Inspections'!$R$4:$R$503,_calc!$E$145))=0,"",INDEX('Inspections'!$R$4:$R$503,_calc!$E$145)))=0,"",IF(LEN(INDEX('Inspections'!$R$4:$R$503,_calc!$E$145))=0,"",INDEX('Inspections'!$R$4:$R$503,_calc!$E$145)))))</f>
        <v/>
      </c>
      <c r="G143" s="55">
        <f>IF(_calc!$E$145="","",IF(LEN(INDEX('Inspections'!$Q$4:$Q$503,_calc!$E$145))=0,"",INDEX('Inspections'!$Q$4:$Q$503,_calc!$E$145)))</f>
        <v/>
      </c>
      <c r="K143" s="55">
        <f>IF(_calc!$E$145="","",IF(LEN(INDEX('Inspections'!$P$4:$P$503,_calc!$E$145))=0,"",INDEX('Inspections'!$P$4:$P$503,_calc!$E$145)))</f>
        <v/>
      </c>
    </row>
    <row r="144">
      <c r="A144" s="55">
        <f>IF(_calc!$E$146="","",IF(LEN(INDEX('Inspections'!$C$4:$C$503,_calc!$E$146))=0,"",INDEX('Inspections'!$C$4:$C$503,_calc!$E$146))&amp;" – "&amp;IF(LEN(INDEX('Inspections'!$A$4:$A$503,_calc!$E$146))=0,"",INDEX('Inspections'!$A$4:$A$503,_calc!$E$146)))</f>
        <v/>
      </c>
      <c r="B144" s="55">
        <f>IF(_calc!$E$146="","",IF(ISNUMBER(INDEX('Inspections'!$H$4:$H$503,_calc!$E$146)),TEXT(INDEX('Inspections'!$H$4:$H$503,_calc!$E$146),"yyyy-mm-dd"),""))</f>
        <v/>
      </c>
      <c r="C144" s="55">
        <f>IF(_calc!$E$146="","","Inspection")</f>
        <v/>
      </c>
      <c r="D144" s="55">
        <f>IF(_calc!$E$146="","",IF(ISNUMBER(INDEX('Inspections'!$G$4:$G$503,_calc!$E$146)),TEXT(INDEX('Inspections'!$G$4:$G$503,_calc!$E$146),"yyyy-mm-dd"),""))</f>
        <v/>
      </c>
      <c r="F144" s="55">
        <f>IF(_calc!$E$146="","",TRIM(IF(LEN(IF(LEN(INDEX('Inspections'!$B$4:$B$503,_calc!$E$146))=0,"",INDEX('Inspections'!$B$4:$B$503,_calc!$E$146)))=0,"","System: "&amp;IF(LEN(INDEX('Inspections'!$B$4:$B$503,_calc!$E$146))=0,"",INDEX('Inspections'!$B$4:$B$503,_calc!$E$146))&amp;". ")&amp;IF(LEN(IF(LEN(INDEX('Inspections'!$D$4:$D$503,_calc!$E$146))=0,"",INDEX('Inspections'!$D$4:$D$503,_calc!$E$146)))=0,"","Every: "&amp;IF(LEN(INDEX('Inspections'!$D$4:$D$503,_calc!$E$146))=0,"",INDEX('Inspections'!$D$4:$D$503,_calc!$E$146))&amp;". ")&amp;IF(LEN(IF(LEN(INDEX('Inspections'!$E$4:$E$503,_calc!$E$146))=0,"",INDEX('Inspections'!$E$4:$E$503,_calc!$E$146)))=0,"","Unit: "&amp;IF(LEN(INDEX('Inspections'!$E$4:$E$503,_calc!$E$146))=0,"",INDEX('Inspections'!$E$4:$E$503,_calc!$E$146))&amp;". ")&amp;IF(LEN(IF(LEN(INDEX('Inspections'!$F$4:$F$503,_calc!$E$146))=0,"",INDEX('Inspections'!$F$4:$F$503,_calc!$E$146)))=0,"","Done by: "&amp;IF(LEN(INDEX('Inspections'!$F$4:$F$503,_calc!$E$146))=0,"",INDEX('Inspections'!$F$4:$F$503,_calc!$E$146))&amp;". ")&amp;IF(LEN(IF(LEN(INDEX('Inspections'!$M$4:$M$503,_calc!$E$146))=0,"",INDEX('Inspections'!$M$4:$M$503,_calc!$E$146)))=0,"","Source: "&amp;IF(LEN(INDEX('Inspections'!$M$4:$M$503,_calc!$E$146))=0,"",INDEX('Inspections'!$M$4:$M$503,_calc!$E$146))&amp;". ")&amp;IF(LEN(IF(LEN(INDEX('Inspections'!$N$4:$N$503,_calc!$E$146))=0,"",INDEX('Inspections'!$N$4:$N$503,_calc!$E$146)))=0,"","Owner: "&amp;IF(LEN(INDEX('Inspections'!$N$4:$N$503,_calc!$E$146))=0,"",INDEX('Inspections'!$N$4:$N$503,_calc!$E$146))&amp;". ")&amp;IF(LEN(IF(LEN(INDEX('Inspections'!$O$4:$O$503,_calc!$E$146))=0,"",INDEX('Inspections'!$O$4:$O$503,_calc!$E$146)))=0,"","Backup: "&amp;IF(LEN(INDEX('Inspections'!$O$4:$O$503,_calc!$E$146))=0,"",INDEX('Inspections'!$O$4:$O$503,_calc!$E$146))&amp;". ")&amp;IF(LEN(IF(LEN(INDEX('Inspections'!$R$4:$R$503,_calc!$E$146))=0,"",INDEX('Inspections'!$R$4:$R$503,_calc!$E$146)))=0,"",IF(LEN(INDEX('Inspections'!$R$4:$R$503,_calc!$E$146))=0,"",INDEX('Inspections'!$R$4:$R$503,_calc!$E$146)))))</f>
        <v/>
      </c>
      <c r="G144" s="55">
        <f>IF(_calc!$E$146="","",IF(LEN(INDEX('Inspections'!$Q$4:$Q$503,_calc!$E$146))=0,"",INDEX('Inspections'!$Q$4:$Q$503,_calc!$E$146)))</f>
        <v/>
      </c>
      <c r="K144" s="55">
        <f>IF(_calc!$E$146="","",IF(LEN(INDEX('Inspections'!$P$4:$P$503,_calc!$E$146))=0,"",INDEX('Inspections'!$P$4:$P$503,_calc!$E$146)))</f>
        <v/>
      </c>
    </row>
    <row r="145">
      <c r="A145" s="55">
        <f>IF(_calc!$E$147="","",IF(LEN(INDEX('Inspections'!$C$4:$C$503,_calc!$E$147))=0,"",INDEX('Inspections'!$C$4:$C$503,_calc!$E$147))&amp;" – "&amp;IF(LEN(INDEX('Inspections'!$A$4:$A$503,_calc!$E$147))=0,"",INDEX('Inspections'!$A$4:$A$503,_calc!$E$147)))</f>
        <v/>
      </c>
      <c r="B145" s="55">
        <f>IF(_calc!$E$147="","",IF(ISNUMBER(INDEX('Inspections'!$H$4:$H$503,_calc!$E$147)),TEXT(INDEX('Inspections'!$H$4:$H$503,_calc!$E$147),"yyyy-mm-dd"),""))</f>
        <v/>
      </c>
      <c r="C145" s="55">
        <f>IF(_calc!$E$147="","","Inspection")</f>
        <v/>
      </c>
      <c r="D145" s="55">
        <f>IF(_calc!$E$147="","",IF(ISNUMBER(INDEX('Inspections'!$G$4:$G$503,_calc!$E$147)),TEXT(INDEX('Inspections'!$G$4:$G$503,_calc!$E$147),"yyyy-mm-dd"),""))</f>
        <v/>
      </c>
      <c r="F145" s="55">
        <f>IF(_calc!$E$147="","",TRIM(IF(LEN(IF(LEN(INDEX('Inspections'!$B$4:$B$503,_calc!$E$147))=0,"",INDEX('Inspections'!$B$4:$B$503,_calc!$E$147)))=0,"","System: "&amp;IF(LEN(INDEX('Inspections'!$B$4:$B$503,_calc!$E$147))=0,"",INDEX('Inspections'!$B$4:$B$503,_calc!$E$147))&amp;". ")&amp;IF(LEN(IF(LEN(INDEX('Inspections'!$D$4:$D$503,_calc!$E$147))=0,"",INDEX('Inspections'!$D$4:$D$503,_calc!$E$147)))=0,"","Every: "&amp;IF(LEN(INDEX('Inspections'!$D$4:$D$503,_calc!$E$147))=0,"",INDEX('Inspections'!$D$4:$D$503,_calc!$E$147))&amp;". ")&amp;IF(LEN(IF(LEN(INDEX('Inspections'!$E$4:$E$503,_calc!$E$147))=0,"",INDEX('Inspections'!$E$4:$E$503,_calc!$E$147)))=0,"","Unit: "&amp;IF(LEN(INDEX('Inspections'!$E$4:$E$503,_calc!$E$147))=0,"",INDEX('Inspections'!$E$4:$E$503,_calc!$E$147))&amp;". ")&amp;IF(LEN(IF(LEN(INDEX('Inspections'!$F$4:$F$503,_calc!$E$147))=0,"",INDEX('Inspections'!$F$4:$F$503,_calc!$E$147)))=0,"","Done by: "&amp;IF(LEN(INDEX('Inspections'!$F$4:$F$503,_calc!$E$147))=0,"",INDEX('Inspections'!$F$4:$F$503,_calc!$E$147))&amp;". ")&amp;IF(LEN(IF(LEN(INDEX('Inspections'!$M$4:$M$503,_calc!$E$147))=0,"",INDEX('Inspections'!$M$4:$M$503,_calc!$E$147)))=0,"","Source: "&amp;IF(LEN(INDEX('Inspections'!$M$4:$M$503,_calc!$E$147))=0,"",INDEX('Inspections'!$M$4:$M$503,_calc!$E$147))&amp;". ")&amp;IF(LEN(IF(LEN(INDEX('Inspections'!$N$4:$N$503,_calc!$E$147))=0,"",INDEX('Inspections'!$N$4:$N$503,_calc!$E$147)))=0,"","Owner: "&amp;IF(LEN(INDEX('Inspections'!$N$4:$N$503,_calc!$E$147))=0,"",INDEX('Inspections'!$N$4:$N$503,_calc!$E$147))&amp;". ")&amp;IF(LEN(IF(LEN(INDEX('Inspections'!$O$4:$O$503,_calc!$E$147))=0,"",INDEX('Inspections'!$O$4:$O$503,_calc!$E$147)))=0,"","Backup: "&amp;IF(LEN(INDEX('Inspections'!$O$4:$O$503,_calc!$E$147))=0,"",INDEX('Inspections'!$O$4:$O$503,_calc!$E$147))&amp;". ")&amp;IF(LEN(IF(LEN(INDEX('Inspections'!$R$4:$R$503,_calc!$E$147))=0,"",INDEX('Inspections'!$R$4:$R$503,_calc!$E$147)))=0,"",IF(LEN(INDEX('Inspections'!$R$4:$R$503,_calc!$E$147))=0,"",INDEX('Inspections'!$R$4:$R$503,_calc!$E$147)))))</f>
        <v/>
      </c>
      <c r="G145" s="55">
        <f>IF(_calc!$E$147="","",IF(LEN(INDEX('Inspections'!$Q$4:$Q$503,_calc!$E$147))=0,"",INDEX('Inspections'!$Q$4:$Q$503,_calc!$E$147)))</f>
        <v/>
      </c>
      <c r="K145" s="55">
        <f>IF(_calc!$E$147="","",IF(LEN(INDEX('Inspections'!$P$4:$P$503,_calc!$E$147))=0,"",INDEX('Inspections'!$P$4:$P$503,_calc!$E$147)))</f>
        <v/>
      </c>
    </row>
    <row r="146">
      <c r="A146" s="55">
        <f>IF(_calc!$E$148="","",IF(LEN(INDEX('Inspections'!$C$4:$C$503,_calc!$E$148))=0,"",INDEX('Inspections'!$C$4:$C$503,_calc!$E$148))&amp;" – "&amp;IF(LEN(INDEX('Inspections'!$A$4:$A$503,_calc!$E$148))=0,"",INDEX('Inspections'!$A$4:$A$503,_calc!$E$148)))</f>
        <v/>
      </c>
      <c r="B146" s="55">
        <f>IF(_calc!$E$148="","",IF(ISNUMBER(INDEX('Inspections'!$H$4:$H$503,_calc!$E$148)),TEXT(INDEX('Inspections'!$H$4:$H$503,_calc!$E$148),"yyyy-mm-dd"),""))</f>
        <v/>
      </c>
      <c r="C146" s="55">
        <f>IF(_calc!$E$148="","","Inspection")</f>
        <v/>
      </c>
      <c r="D146" s="55">
        <f>IF(_calc!$E$148="","",IF(ISNUMBER(INDEX('Inspections'!$G$4:$G$503,_calc!$E$148)),TEXT(INDEX('Inspections'!$G$4:$G$503,_calc!$E$148),"yyyy-mm-dd"),""))</f>
        <v/>
      </c>
      <c r="F146" s="55">
        <f>IF(_calc!$E$148="","",TRIM(IF(LEN(IF(LEN(INDEX('Inspections'!$B$4:$B$503,_calc!$E$148))=0,"",INDEX('Inspections'!$B$4:$B$503,_calc!$E$148)))=0,"","System: "&amp;IF(LEN(INDEX('Inspections'!$B$4:$B$503,_calc!$E$148))=0,"",INDEX('Inspections'!$B$4:$B$503,_calc!$E$148))&amp;". ")&amp;IF(LEN(IF(LEN(INDEX('Inspections'!$D$4:$D$503,_calc!$E$148))=0,"",INDEX('Inspections'!$D$4:$D$503,_calc!$E$148)))=0,"","Every: "&amp;IF(LEN(INDEX('Inspections'!$D$4:$D$503,_calc!$E$148))=0,"",INDEX('Inspections'!$D$4:$D$503,_calc!$E$148))&amp;". ")&amp;IF(LEN(IF(LEN(INDEX('Inspections'!$E$4:$E$503,_calc!$E$148))=0,"",INDEX('Inspections'!$E$4:$E$503,_calc!$E$148)))=0,"","Unit: "&amp;IF(LEN(INDEX('Inspections'!$E$4:$E$503,_calc!$E$148))=0,"",INDEX('Inspections'!$E$4:$E$503,_calc!$E$148))&amp;". ")&amp;IF(LEN(IF(LEN(INDEX('Inspections'!$F$4:$F$503,_calc!$E$148))=0,"",INDEX('Inspections'!$F$4:$F$503,_calc!$E$148)))=0,"","Done by: "&amp;IF(LEN(INDEX('Inspections'!$F$4:$F$503,_calc!$E$148))=0,"",INDEX('Inspections'!$F$4:$F$503,_calc!$E$148))&amp;". ")&amp;IF(LEN(IF(LEN(INDEX('Inspections'!$M$4:$M$503,_calc!$E$148))=0,"",INDEX('Inspections'!$M$4:$M$503,_calc!$E$148)))=0,"","Source: "&amp;IF(LEN(INDEX('Inspections'!$M$4:$M$503,_calc!$E$148))=0,"",INDEX('Inspections'!$M$4:$M$503,_calc!$E$148))&amp;". ")&amp;IF(LEN(IF(LEN(INDEX('Inspections'!$N$4:$N$503,_calc!$E$148))=0,"",INDEX('Inspections'!$N$4:$N$503,_calc!$E$148)))=0,"","Owner: "&amp;IF(LEN(INDEX('Inspections'!$N$4:$N$503,_calc!$E$148))=0,"",INDEX('Inspections'!$N$4:$N$503,_calc!$E$148))&amp;". ")&amp;IF(LEN(IF(LEN(INDEX('Inspections'!$O$4:$O$503,_calc!$E$148))=0,"",INDEX('Inspections'!$O$4:$O$503,_calc!$E$148)))=0,"","Backup: "&amp;IF(LEN(INDEX('Inspections'!$O$4:$O$503,_calc!$E$148))=0,"",INDEX('Inspections'!$O$4:$O$503,_calc!$E$148))&amp;". ")&amp;IF(LEN(IF(LEN(INDEX('Inspections'!$R$4:$R$503,_calc!$E$148))=0,"",INDEX('Inspections'!$R$4:$R$503,_calc!$E$148)))=0,"",IF(LEN(INDEX('Inspections'!$R$4:$R$503,_calc!$E$148))=0,"",INDEX('Inspections'!$R$4:$R$503,_calc!$E$148)))))</f>
        <v/>
      </c>
      <c r="G146" s="55">
        <f>IF(_calc!$E$148="","",IF(LEN(INDEX('Inspections'!$Q$4:$Q$503,_calc!$E$148))=0,"",INDEX('Inspections'!$Q$4:$Q$503,_calc!$E$148)))</f>
        <v/>
      </c>
      <c r="K146" s="55">
        <f>IF(_calc!$E$148="","",IF(LEN(INDEX('Inspections'!$P$4:$P$503,_calc!$E$148))=0,"",INDEX('Inspections'!$P$4:$P$503,_calc!$E$148)))</f>
        <v/>
      </c>
    </row>
    <row r="147">
      <c r="A147" s="55">
        <f>IF(_calc!$E$149="","",IF(LEN(INDEX('Inspections'!$C$4:$C$503,_calc!$E$149))=0,"",INDEX('Inspections'!$C$4:$C$503,_calc!$E$149))&amp;" – "&amp;IF(LEN(INDEX('Inspections'!$A$4:$A$503,_calc!$E$149))=0,"",INDEX('Inspections'!$A$4:$A$503,_calc!$E$149)))</f>
        <v/>
      </c>
      <c r="B147" s="55">
        <f>IF(_calc!$E$149="","",IF(ISNUMBER(INDEX('Inspections'!$H$4:$H$503,_calc!$E$149)),TEXT(INDEX('Inspections'!$H$4:$H$503,_calc!$E$149),"yyyy-mm-dd"),""))</f>
        <v/>
      </c>
      <c r="C147" s="55">
        <f>IF(_calc!$E$149="","","Inspection")</f>
        <v/>
      </c>
      <c r="D147" s="55">
        <f>IF(_calc!$E$149="","",IF(ISNUMBER(INDEX('Inspections'!$G$4:$G$503,_calc!$E$149)),TEXT(INDEX('Inspections'!$G$4:$G$503,_calc!$E$149),"yyyy-mm-dd"),""))</f>
        <v/>
      </c>
      <c r="F147" s="55">
        <f>IF(_calc!$E$149="","",TRIM(IF(LEN(IF(LEN(INDEX('Inspections'!$B$4:$B$503,_calc!$E$149))=0,"",INDEX('Inspections'!$B$4:$B$503,_calc!$E$149)))=0,"","System: "&amp;IF(LEN(INDEX('Inspections'!$B$4:$B$503,_calc!$E$149))=0,"",INDEX('Inspections'!$B$4:$B$503,_calc!$E$149))&amp;". ")&amp;IF(LEN(IF(LEN(INDEX('Inspections'!$D$4:$D$503,_calc!$E$149))=0,"",INDEX('Inspections'!$D$4:$D$503,_calc!$E$149)))=0,"","Every: "&amp;IF(LEN(INDEX('Inspections'!$D$4:$D$503,_calc!$E$149))=0,"",INDEX('Inspections'!$D$4:$D$503,_calc!$E$149))&amp;". ")&amp;IF(LEN(IF(LEN(INDEX('Inspections'!$E$4:$E$503,_calc!$E$149))=0,"",INDEX('Inspections'!$E$4:$E$503,_calc!$E$149)))=0,"","Unit: "&amp;IF(LEN(INDEX('Inspections'!$E$4:$E$503,_calc!$E$149))=0,"",INDEX('Inspections'!$E$4:$E$503,_calc!$E$149))&amp;". ")&amp;IF(LEN(IF(LEN(INDEX('Inspections'!$F$4:$F$503,_calc!$E$149))=0,"",INDEX('Inspections'!$F$4:$F$503,_calc!$E$149)))=0,"","Done by: "&amp;IF(LEN(INDEX('Inspections'!$F$4:$F$503,_calc!$E$149))=0,"",INDEX('Inspections'!$F$4:$F$503,_calc!$E$149))&amp;". ")&amp;IF(LEN(IF(LEN(INDEX('Inspections'!$M$4:$M$503,_calc!$E$149))=0,"",INDEX('Inspections'!$M$4:$M$503,_calc!$E$149)))=0,"","Source: "&amp;IF(LEN(INDEX('Inspections'!$M$4:$M$503,_calc!$E$149))=0,"",INDEX('Inspections'!$M$4:$M$503,_calc!$E$149))&amp;". ")&amp;IF(LEN(IF(LEN(INDEX('Inspections'!$N$4:$N$503,_calc!$E$149))=0,"",INDEX('Inspections'!$N$4:$N$503,_calc!$E$149)))=0,"","Owner: "&amp;IF(LEN(INDEX('Inspections'!$N$4:$N$503,_calc!$E$149))=0,"",INDEX('Inspections'!$N$4:$N$503,_calc!$E$149))&amp;". ")&amp;IF(LEN(IF(LEN(INDEX('Inspections'!$O$4:$O$503,_calc!$E$149))=0,"",INDEX('Inspections'!$O$4:$O$503,_calc!$E$149)))=0,"","Backup: "&amp;IF(LEN(INDEX('Inspections'!$O$4:$O$503,_calc!$E$149))=0,"",INDEX('Inspections'!$O$4:$O$503,_calc!$E$149))&amp;". ")&amp;IF(LEN(IF(LEN(INDEX('Inspections'!$R$4:$R$503,_calc!$E$149))=0,"",INDEX('Inspections'!$R$4:$R$503,_calc!$E$149)))=0,"",IF(LEN(INDEX('Inspections'!$R$4:$R$503,_calc!$E$149))=0,"",INDEX('Inspections'!$R$4:$R$503,_calc!$E$149)))))</f>
        <v/>
      </c>
      <c r="G147" s="55">
        <f>IF(_calc!$E$149="","",IF(LEN(INDEX('Inspections'!$Q$4:$Q$503,_calc!$E$149))=0,"",INDEX('Inspections'!$Q$4:$Q$503,_calc!$E$149)))</f>
        <v/>
      </c>
      <c r="K147" s="55">
        <f>IF(_calc!$E$149="","",IF(LEN(INDEX('Inspections'!$P$4:$P$503,_calc!$E$149))=0,"",INDEX('Inspections'!$P$4:$P$503,_calc!$E$149)))</f>
        <v/>
      </c>
    </row>
    <row r="148">
      <c r="A148" s="55">
        <f>IF(_calc!$E$150="","",IF(LEN(INDEX('Inspections'!$C$4:$C$503,_calc!$E$150))=0,"",INDEX('Inspections'!$C$4:$C$503,_calc!$E$150))&amp;" – "&amp;IF(LEN(INDEX('Inspections'!$A$4:$A$503,_calc!$E$150))=0,"",INDEX('Inspections'!$A$4:$A$503,_calc!$E$150)))</f>
        <v/>
      </c>
      <c r="B148" s="55">
        <f>IF(_calc!$E$150="","",IF(ISNUMBER(INDEX('Inspections'!$H$4:$H$503,_calc!$E$150)),TEXT(INDEX('Inspections'!$H$4:$H$503,_calc!$E$150),"yyyy-mm-dd"),""))</f>
        <v/>
      </c>
      <c r="C148" s="55">
        <f>IF(_calc!$E$150="","","Inspection")</f>
        <v/>
      </c>
      <c r="D148" s="55">
        <f>IF(_calc!$E$150="","",IF(ISNUMBER(INDEX('Inspections'!$G$4:$G$503,_calc!$E$150)),TEXT(INDEX('Inspections'!$G$4:$G$503,_calc!$E$150),"yyyy-mm-dd"),""))</f>
        <v/>
      </c>
      <c r="F148" s="55">
        <f>IF(_calc!$E$150="","",TRIM(IF(LEN(IF(LEN(INDEX('Inspections'!$B$4:$B$503,_calc!$E$150))=0,"",INDEX('Inspections'!$B$4:$B$503,_calc!$E$150)))=0,"","System: "&amp;IF(LEN(INDEX('Inspections'!$B$4:$B$503,_calc!$E$150))=0,"",INDEX('Inspections'!$B$4:$B$503,_calc!$E$150))&amp;". ")&amp;IF(LEN(IF(LEN(INDEX('Inspections'!$D$4:$D$503,_calc!$E$150))=0,"",INDEX('Inspections'!$D$4:$D$503,_calc!$E$150)))=0,"","Every: "&amp;IF(LEN(INDEX('Inspections'!$D$4:$D$503,_calc!$E$150))=0,"",INDEX('Inspections'!$D$4:$D$503,_calc!$E$150))&amp;". ")&amp;IF(LEN(IF(LEN(INDEX('Inspections'!$E$4:$E$503,_calc!$E$150))=0,"",INDEX('Inspections'!$E$4:$E$503,_calc!$E$150)))=0,"","Unit: "&amp;IF(LEN(INDEX('Inspections'!$E$4:$E$503,_calc!$E$150))=0,"",INDEX('Inspections'!$E$4:$E$503,_calc!$E$150))&amp;". ")&amp;IF(LEN(IF(LEN(INDEX('Inspections'!$F$4:$F$503,_calc!$E$150))=0,"",INDEX('Inspections'!$F$4:$F$503,_calc!$E$150)))=0,"","Done by: "&amp;IF(LEN(INDEX('Inspections'!$F$4:$F$503,_calc!$E$150))=0,"",INDEX('Inspections'!$F$4:$F$503,_calc!$E$150))&amp;". ")&amp;IF(LEN(IF(LEN(INDEX('Inspections'!$M$4:$M$503,_calc!$E$150))=0,"",INDEX('Inspections'!$M$4:$M$503,_calc!$E$150)))=0,"","Source: "&amp;IF(LEN(INDEX('Inspections'!$M$4:$M$503,_calc!$E$150))=0,"",INDEX('Inspections'!$M$4:$M$503,_calc!$E$150))&amp;". ")&amp;IF(LEN(IF(LEN(INDEX('Inspections'!$N$4:$N$503,_calc!$E$150))=0,"",INDEX('Inspections'!$N$4:$N$503,_calc!$E$150)))=0,"","Owner: "&amp;IF(LEN(INDEX('Inspections'!$N$4:$N$503,_calc!$E$150))=0,"",INDEX('Inspections'!$N$4:$N$503,_calc!$E$150))&amp;". ")&amp;IF(LEN(IF(LEN(INDEX('Inspections'!$O$4:$O$503,_calc!$E$150))=0,"",INDEX('Inspections'!$O$4:$O$503,_calc!$E$150)))=0,"","Backup: "&amp;IF(LEN(INDEX('Inspections'!$O$4:$O$503,_calc!$E$150))=0,"",INDEX('Inspections'!$O$4:$O$503,_calc!$E$150))&amp;". ")&amp;IF(LEN(IF(LEN(INDEX('Inspections'!$R$4:$R$503,_calc!$E$150))=0,"",INDEX('Inspections'!$R$4:$R$503,_calc!$E$150)))=0,"",IF(LEN(INDEX('Inspections'!$R$4:$R$503,_calc!$E$150))=0,"",INDEX('Inspections'!$R$4:$R$503,_calc!$E$150)))))</f>
        <v/>
      </c>
      <c r="G148" s="55">
        <f>IF(_calc!$E$150="","",IF(LEN(INDEX('Inspections'!$Q$4:$Q$503,_calc!$E$150))=0,"",INDEX('Inspections'!$Q$4:$Q$503,_calc!$E$150)))</f>
        <v/>
      </c>
      <c r="K148" s="55">
        <f>IF(_calc!$E$150="","",IF(LEN(INDEX('Inspections'!$P$4:$P$503,_calc!$E$150))=0,"",INDEX('Inspections'!$P$4:$P$503,_calc!$E$150)))</f>
        <v/>
      </c>
    </row>
    <row r="149">
      <c r="A149" s="55">
        <f>IF(_calc!$E$151="","",IF(LEN(INDEX('Inspections'!$C$4:$C$503,_calc!$E$151))=0,"",INDEX('Inspections'!$C$4:$C$503,_calc!$E$151))&amp;" – "&amp;IF(LEN(INDEX('Inspections'!$A$4:$A$503,_calc!$E$151))=0,"",INDEX('Inspections'!$A$4:$A$503,_calc!$E$151)))</f>
        <v/>
      </c>
      <c r="B149" s="55">
        <f>IF(_calc!$E$151="","",IF(ISNUMBER(INDEX('Inspections'!$H$4:$H$503,_calc!$E$151)),TEXT(INDEX('Inspections'!$H$4:$H$503,_calc!$E$151),"yyyy-mm-dd"),""))</f>
        <v/>
      </c>
      <c r="C149" s="55">
        <f>IF(_calc!$E$151="","","Inspection")</f>
        <v/>
      </c>
      <c r="D149" s="55">
        <f>IF(_calc!$E$151="","",IF(ISNUMBER(INDEX('Inspections'!$G$4:$G$503,_calc!$E$151)),TEXT(INDEX('Inspections'!$G$4:$G$503,_calc!$E$151),"yyyy-mm-dd"),""))</f>
        <v/>
      </c>
      <c r="F149" s="55">
        <f>IF(_calc!$E$151="","",TRIM(IF(LEN(IF(LEN(INDEX('Inspections'!$B$4:$B$503,_calc!$E$151))=0,"",INDEX('Inspections'!$B$4:$B$503,_calc!$E$151)))=0,"","System: "&amp;IF(LEN(INDEX('Inspections'!$B$4:$B$503,_calc!$E$151))=0,"",INDEX('Inspections'!$B$4:$B$503,_calc!$E$151))&amp;". ")&amp;IF(LEN(IF(LEN(INDEX('Inspections'!$D$4:$D$503,_calc!$E$151))=0,"",INDEX('Inspections'!$D$4:$D$503,_calc!$E$151)))=0,"","Every: "&amp;IF(LEN(INDEX('Inspections'!$D$4:$D$503,_calc!$E$151))=0,"",INDEX('Inspections'!$D$4:$D$503,_calc!$E$151))&amp;". ")&amp;IF(LEN(IF(LEN(INDEX('Inspections'!$E$4:$E$503,_calc!$E$151))=0,"",INDEX('Inspections'!$E$4:$E$503,_calc!$E$151)))=0,"","Unit: "&amp;IF(LEN(INDEX('Inspections'!$E$4:$E$503,_calc!$E$151))=0,"",INDEX('Inspections'!$E$4:$E$503,_calc!$E$151))&amp;". ")&amp;IF(LEN(IF(LEN(INDEX('Inspections'!$F$4:$F$503,_calc!$E$151))=0,"",INDEX('Inspections'!$F$4:$F$503,_calc!$E$151)))=0,"","Done by: "&amp;IF(LEN(INDEX('Inspections'!$F$4:$F$503,_calc!$E$151))=0,"",INDEX('Inspections'!$F$4:$F$503,_calc!$E$151))&amp;". ")&amp;IF(LEN(IF(LEN(INDEX('Inspections'!$M$4:$M$503,_calc!$E$151))=0,"",INDEX('Inspections'!$M$4:$M$503,_calc!$E$151)))=0,"","Source: "&amp;IF(LEN(INDEX('Inspections'!$M$4:$M$503,_calc!$E$151))=0,"",INDEX('Inspections'!$M$4:$M$503,_calc!$E$151))&amp;". ")&amp;IF(LEN(IF(LEN(INDEX('Inspections'!$N$4:$N$503,_calc!$E$151))=0,"",INDEX('Inspections'!$N$4:$N$503,_calc!$E$151)))=0,"","Owner: "&amp;IF(LEN(INDEX('Inspections'!$N$4:$N$503,_calc!$E$151))=0,"",INDEX('Inspections'!$N$4:$N$503,_calc!$E$151))&amp;". ")&amp;IF(LEN(IF(LEN(INDEX('Inspections'!$O$4:$O$503,_calc!$E$151))=0,"",INDEX('Inspections'!$O$4:$O$503,_calc!$E$151)))=0,"","Backup: "&amp;IF(LEN(INDEX('Inspections'!$O$4:$O$503,_calc!$E$151))=0,"",INDEX('Inspections'!$O$4:$O$503,_calc!$E$151))&amp;". ")&amp;IF(LEN(IF(LEN(INDEX('Inspections'!$R$4:$R$503,_calc!$E$151))=0,"",INDEX('Inspections'!$R$4:$R$503,_calc!$E$151)))=0,"",IF(LEN(INDEX('Inspections'!$R$4:$R$503,_calc!$E$151))=0,"",INDEX('Inspections'!$R$4:$R$503,_calc!$E$151)))))</f>
        <v/>
      </c>
      <c r="G149" s="55">
        <f>IF(_calc!$E$151="","",IF(LEN(INDEX('Inspections'!$Q$4:$Q$503,_calc!$E$151))=0,"",INDEX('Inspections'!$Q$4:$Q$503,_calc!$E$151)))</f>
        <v/>
      </c>
      <c r="K149" s="55">
        <f>IF(_calc!$E$151="","",IF(LEN(INDEX('Inspections'!$P$4:$P$503,_calc!$E$151))=0,"",INDEX('Inspections'!$P$4:$P$503,_calc!$E$151)))</f>
        <v/>
      </c>
    </row>
    <row r="150">
      <c r="A150" s="55">
        <f>IF(_calc!$E$152="","",IF(LEN(INDEX('Inspections'!$C$4:$C$503,_calc!$E$152))=0,"",INDEX('Inspections'!$C$4:$C$503,_calc!$E$152))&amp;" – "&amp;IF(LEN(INDEX('Inspections'!$A$4:$A$503,_calc!$E$152))=0,"",INDEX('Inspections'!$A$4:$A$503,_calc!$E$152)))</f>
        <v/>
      </c>
      <c r="B150" s="55">
        <f>IF(_calc!$E$152="","",IF(ISNUMBER(INDEX('Inspections'!$H$4:$H$503,_calc!$E$152)),TEXT(INDEX('Inspections'!$H$4:$H$503,_calc!$E$152),"yyyy-mm-dd"),""))</f>
        <v/>
      </c>
      <c r="C150" s="55">
        <f>IF(_calc!$E$152="","","Inspection")</f>
        <v/>
      </c>
      <c r="D150" s="55">
        <f>IF(_calc!$E$152="","",IF(ISNUMBER(INDEX('Inspections'!$G$4:$G$503,_calc!$E$152)),TEXT(INDEX('Inspections'!$G$4:$G$503,_calc!$E$152),"yyyy-mm-dd"),""))</f>
        <v/>
      </c>
      <c r="F150" s="55">
        <f>IF(_calc!$E$152="","",TRIM(IF(LEN(IF(LEN(INDEX('Inspections'!$B$4:$B$503,_calc!$E$152))=0,"",INDEX('Inspections'!$B$4:$B$503,_calc!$E$152)))=0,"","System: "&amp;IF(LEN(INDEX('Inspections'!$B$4:$B$503,_calc!$E$152))=0,"",INDEX('Inspections'!$B$4:$B$503,_calc!$E$152))&amp;". ")&amp;IF(LEN(IF(LEN(INDEX('Inspections'!$D$4:$D$503,_calc!$E$152))=0,"",INDEX('Inspections'!$D$4:$D$503,_calc!$E$152)))=0,"","Every: "&amp;IF(LEN(INDEX('Inspections'!$D$4:$D$503,_calc!$E$152))=0,"",INDEX('Inspections'!$D$4:$D$503,_calc!$E$152))&amp;". ")&amp;IF(LEN(IF(LEN(INDEX('Inspections'!$E$4:$E$503,_calc!$E$152))=0,"",INDEX('Inspections'!$E$4:$E$503,_calc!$E$152)))=0,"","Unit: "&amp;IF(LEN(INDEX('Inspections'!$E$4:$E$503,_calc!$E$152))=0,"",INDEX('Inspections'!$E$4:$E$503,_calc!$E$152))&amp;". ")&amp;IF(LEN(IF(LEN(INDEX('Inspections'!$F$4:$F$503,_calc!$E$152))=0,"",INDEX('Inspections'!$F$4:$F$503,_calc!$E$152)))=0,"","Done by: "&amp;IF(LEN(INDEX('Inspections'!$F$4:$F$503,_calc!$E$152))=0,"",INDEX('Inspections'!$F$4:$F$503,_calc!$E$152))&amp;". ")&amp;IF(LEN(IF(LEN(INDEX('Inspections'!$M$4:$M$503,_calc!$E$152))=0,"",INDEX('Inspections'!$M$4:$M$503,_calc!$E$152)))=0,"","Source: "&amp;IF(LEN(INDEX('Inspections'!$M$4:$M$503,_calc!$E$152))=0,"",INDEX('Inspections'!$M$4:$M$503,_calc!$E$152))&amp;". ")&amp;IF(LEN(IF(LEN(INDEX('Inspections'!$N$4:$N$503,_calc!$E$152))=0,"",INDEX('Inspections'!$N$4:$N$503,_calc!$E$152)))=0,"","Owner: "&amp;IF(LEN(INDEX('Inspections'!$N$4:$N$503,_calc!$E$152))=0,"",INDEX('Inspections'!$N$4:$N$503,_calc!$E$152))&amp;". ")&amp;IF(LEN(IF(LEN(INDEX('Inspections'!$O$4:$O$503,_calc!$E$152))=0,"",INDEX('Inspections'!$O$4:$O$503,_calc!$E$152)))=0,"","Backup: "&amp;IF(LEN(INDEX('Inspections'!$O$4:$O$503,_calc!$E$152))=0,"",INDEX('Inspections'!$O$4:$O$503,_calc!$E$152))&amp;". ")&amp;IF(LEN(IF(LEN(INDEX('Inspections'!$R$4:$R$503,_calc!$E$152))=0,"",INDEX('Inspections'!$R$4:$R$503,_calc!$E$152)))=0,"",IF(LEN(INDEX('Inspections'!$R$4:$R$503,_calc!$E$152))=0,"",INDEX('Inspections'!$R$4:$R$503,_calc!$E$152)))))</f>
        <v/>
      </c>
      <c r="G150" s="55">
        <f>IF(_calc!$E$152="","",IF(LEN(INDEX('Inspections'!$Q$4:$Q$503,_calc!$E$152))=0,"",INDEX('Inspections'!$Q$4:$Q$503,_calc!$E$152)))</f>
        <v/>
      </c>
      <c r="K150" s="55">
        <f>IF(_calc!$E$152="","",IF(LEN(INDEX('Inspections'!$P$4:$P$503,_calc!$E$152))=0,"",INDEX('Inspections'!$P$4:$P$503,_calc!$E$152)))</f>
        <v/>
      </c>
    </row>
    <row r="151">
      <c r="A151" s="55">
        <f>IF(_calc!$E$153="","",IF(LEN(INDEX('Inspections'!$C$4:$C$503,_calc!$E$153))=0,"",INDEX('Inspections'!$C$4:$C$503,_calc!$E$153))&amp;" – "&amp;IF(LEN(INDEX('Inspections'!$A$4:$A$503,_calc!$E$153))=0,"",INDEX('Inspections'!$A$4:$A$503,_calc!$E$153)))</f>
        <v/>
      </c>
      <c r="B151" s="55">
        <f>IF(_calc!$E$153="","",IF(ISNUMBER(INDEX('Inspections'!$H$4:$H$503,_calc!$E$153)),TEXT(INDEX('Inspections'!$H$4:$H$503,_calc!$E$153),"yyyy-mm-dd"),""))</f>
        <v/>
      </c>
      <c r="C151" s="55">
        <f>IF(_calc!$E$153="","","Inspection")</f>
        <v/>
      </c>
      <c r="D151" s="55">
        <f>IF(_calc!$E$153="","",IF(ISNUMBER(INDEX('Inspections'!$G$4:$G$503,_calc!$E$153)),TEXT(INDEX('Inspections'!$G$4:$G$503,_calc!$E$153),"yyyy-mm-dd"),""))</f>
        <v/>
      </c>
      <c r="F151" s="55">
        <f>IF(_calc!$E$153="","",TRIM(IF(LEN(IF(LEN(INDEX('Inspections'!$B$4:$B$503,_calc!$E$153))=0,"",INDEX('Inspections'!$B$4:$B$503,_calc!$E$153)))=0,"","System: "&amp;IF(LEN(INDEX('Inspections'!$B$4:$B$503,_calc!$E$153))=0,"",INDEX('Inspections'!$B$4:$B$503,_calc!$E$153))&amp;". ")&amp;IF(LEN(IF(LEN(INDEX('Inspections'!$D$4:$D$503,_calc!$E$153))=0,"",INDEX('Inspections'!$D$4:$D$503,_calc!$E$153)))=0,"","Every: "&amp;IF(LEN(INDEX('Inspections'!$D$4:$D$503,_calc!$E$153))=0,"",INDEX('Inspections'!$D$4:$D$503,_calc!$E$153))&amp;". ")&amp;IF(LEN(IF(LEN(INDEX('Inspections'!$E$4:$E$503,_calc!$E$153))=0,"",INDEX('Inspections'!$E$4:$E$503,_calc!$E$153)))=0,"","Unit: "&amp;IF(LEN(INDEX('Inspections'!$E$4:$E$503,_calc!$E$153))=0,"",INDEX('Inspections'!$E$4:$E$503,_calc!$E$153))&amp;". ")&amp;IF(LEN(IF(LEN(INDEX('Inspections'!$F$4:$F$503,_calc!$E$153))=0,"",INDEX('Inspections'!$F$4:$F$503,_calc!$E$153)))=0,"","Done by: "&amp;IF(LEN(INDEX('Inspections'!$F$4:$F$503,_calc!$E$153))=0,"",INDEX('Inspections'!$F$4:$F$503,_calc!$E$153))&amp;". ")&amp;IF(LEN(IF(LEN(INDEX('Inspections'!$M$4:$M$503,_calc!$E$153))=0,"",INDEX('Inspections'!$M$4:$M$503,_calc!$E$153)))=0,"","Source: "&amp;IF(LEN(INDEX('Inspections'!$M$4:$M$503,_calc!$E$153))=0,"",INDEX('Inspections'!$M$4:$M$503,_calc!$E$153))&amp;". ")&amp;IF(LEN(IF(LEN(INDEX('Inspections'!$N$4:$N$503,_calc!$E$153))=0,"",INDEX('Inspections'!$N$4:$N$503,_calc!$E$153)))=0,"","Owner: "&amp;IF(LEN(INDEX('Inspections'!$N$4:$N$503,_calc!$E$153))=0,"",INDEX('Inspections'!$N$4:$N$503,_calc!$E$153))&amp;". ")&amp;IF(LEN(IF(LEN(INDEX('Inspections'!$O$4:$O$503,_calc!$E$153))=0,"",INDEX('Inspections'!$O$4:$O$503,_calc!$E$153)))=0,"","Backup: "&amp;IF(LEN(INDEX('Inspections'!$O$4:$O$503,_calc!$E$153))=0,"",INDEX('Inspections'!$O$4:$O$503,_calc!$E$153))&amp;". ")&amp;IF(LEN(IF(LEN(INDEX('Inspections'!$R$4:$R$503,_calc!$E$153))=0,"",INDEX('Inspections'!$R$4:$R$503,_calc!$E$153)))=0,"",IF(LEN(INDEX('Inspections'!$R$4:$R$503,_calc!$E$153))=0,"",INDEX('Inspections'!$R$4:$R$503,_calc!$E$153)))))</f>
        <v/>
      </c>
      <c r="G151" s="55">
        <f>IF(_calc!$E$153="","",IF(LEN(INDEX('Inspections'!$Q$4:$Q$503,_calc!$E$153))=0,"",INDEX('Inspections'!$Q$4:$Q$503,_calc!$E$153)))</f>
        <v/>
      </c>
      <c r="K151" s="55">
        <f>IF(_calc!$E$153="","",IF(LEN(INDEX('Inspections'!$P$4:$P$503,_calc!$E$153))=0,"",INDEX('Inspections'!$P$4:$P$503,_calc!$E$153)))</f>
        <v/>
      </c>
    </row>
    <row r="152">
      <c r="A152" s="55">
        <f>IF(_calc!$E$154="","",IF(LEN(INDEX('Inspections'!$C$4:$C$503,_calc!$E$154))=0,"",INDEX('Inspections'!$C$4:$C$503,_calc!$E$154))&amp;" – "&amp;IF(LEN(INDEX('Inspections'!$A$4:$A$503,_calc!$E$154))=0,"",INDEX('Inspections'!$A$4:$A$503,_calc!$E$154)))</f>
        <v/>
      </c>
      <c r="B152" s="55">
        <f>IF(_calc!$E$154="","",IF(ISNUMBER(INDEX('Inspections'!$H$4:$H$503,_calc!$E$154)),TEXT(INDEX('Inspections'!$H$4:$H$503,_calc!$E$154),"yyyy-mm-dd"),""))</f>
        <v/>
      </c>
      <c r="C152" s="55">
        <f>IF(_calc!$E$154="","","Inspection")</f>
        <v/>
      </c>
      <c r="D152" s="55">
        <f>IF(_calc!$E$154="","",IF(ISNUMBER(INDEX('Inspections'!$G$4:$G$503,_calc!$E$154)),TEXT(INDEX('Inspections'!$G$4:$G$503,_calc!$E$154),"yyyy-mm-dd"),""))</f>
        <v/>
      </c>
      <c r="F152" s="55">
        <f>IF(_calc!$E$154="","",TRIM(IF(LEN(IF(LEN(INDEX('Inspections'!$B$4:$B$503,_calc!$E$154))=0,"",INDEX('Inspections'!$B$4:$B$503,_calc!$E$154)))=0,"","System: "&amp;IF(LEN(INDEX('Inspections'!$B$4:$B$503,_calc!$E$154))=0,"",INDEX('Inspections'!$B$4:$B$503,_calc!$E$154))&amp;". ")&amp;IF(LEN(IF(LEN(INDEX('Inspections'!$D$4:$D$503,_calc!$E$154))=0,"",INDEX('Inspections'!$D$4:$D$503,_calc!$E$154)))=0,"","Every: "&amp;IF(LEN(INDEX('Inspections'!$D$4:$D$503,_calc!$E$154))=0,"",INDEX('Inspections'!$D$4:$D$503,_calc!$E$154))&amp;". ")&amp;IF(LEN(IF(LEN(INDEX('Inspections'!$E$4:$E$503,_calc!$E$154))=0,"",INDEX('Inspections'!$E$4:$E$503,_calc!$E$154)))=0,"","Unit: "&amp;IF(LEN(INDEX('Inspections'!$E$4:$E$503,_calc!$E$154))=0,"",INDEX('Inspections'!$E$4:$E$503,_calc!$E$154))&amp;". ")&amp;IF(LEN(IF(LEN(INDEX('Inspections'!$F$4:$F$503,_calc!$E$154))=0,"",INDEX('Inspections'!$F$4:$F$503,_calc!$E$154)))=0,"","Done by: "&amp;IF(LEN(INDEX('Inspections'!$F$4:$F$503,_calc!$E$154))=0,"",INDEX('Inspections'!$F$4:$F$503,_calc!$E$154))&amp;". ")&amp;IF(LEN(IF(LEN(INDEX('Inspections'!$M$4:$M$503,_calc!$E$154))=0,"",INDEX('Inspections'!$M$4:$M$503,_calc!$E$154)))=0,"","Source: "&amp;IF(LEN(INDEX('Inspections'!$M$4:$M$503,_calc!$E$154))=0,"",INDEX('Inspections'!$M$4:$M$503,_calc!$E$154))&amp;". ")&amp;IF(LEN(IF(LEN(INDEX('Inspections'!$N$4:$N$503,_calc!$E$154))=0,"",INDEX('Inspections'!$N$4:$N$503,_calc!$E$154)))=0,"","Owner: "&amp;IF(LEN(INDEX('Inspections'!$N$4:$N$503,_calc!$E$154))=0,"",INDEX('Inspections'!$N$4:$N$503,_calc!$E$154))&amp;". ")&amp;IF(LEN(IF(LEN(INDEX('Inspections'!$O$4:$O$503,_calc!$E$154))=0,"",INDEX('Inspections'!$O$4:$O$503,_calc!$E$154)))=0,"","Backup: "&amp;IF(LEN(INDEX('Inspections'!$O$4:$O$503,_calc!$E$154))=0,"",INDEX('Inspections'!$O$4:$O$503,_calc!$E$154))&amp;". ")&amp;IF(LEN(IF(LEN(INDEX('Inspections'!$R$4:$R$503,_calc!$E$154))=0,"",INDEX('Inspections'!$R$4:$R$503,_calc!$E$154)))=0,"",IF(LEN(INDEX('Inspections'!$R$4:$R$503,_calc!$E$154))=0,"",INDEX('Inspections'!$R$4:$R$503,_calc!$E$154)))))</f>
        <v/>
      </c>
      <c r="G152" s="55">
        <f>IF(_calc!$E$154="","",IF(LEN(INDEX('Inspections'!$Q$4:$Q$503,_calc!$E$154))=0,"",INDEX('Inspections'!$Q$4:$Q$503,_calc!$E$154)))</f>
        <v/>
      </c>
      <c r="K152" s="55">
        <f>IF(_calc!$E$154="","",IF(LEN(INDEX('Inspections'!$P$4:$P$503,_calc!$E$154))=0,"",INDEX('Inspections'!$P$4:$P$503,_calc!$E$154)))</f>
        <v/>
      </c>
    </row>
    <row r="153">
      <c r="A153" s="55">
        <f>IF(_calc!$E$155="","",IF(LEN(INDEX('Inspections'!$C$4:$C$503,_calc!$E$155))=0,"",INDEX('Inspections'!$C$4:$C$503,_calc!$E$155))&amp;" – "&amp;IF(LEN(INDEX('Inspections'!$A$4:$A$503,_calc!$E$155))=0,"",INDEX('Inspections'!$A$4:$A$503,_calc!$E$155)))</f>
        <v/>
      </c>
      <c r="B153" s="55">
        <f>IF(_calc!$E$155="","",IF(ISNUMBER(INDEX('Inspections'!$H$4:$H$503,_calc!$E$155)),TEXT(INDEX('Inspections'!$H$4:$H$503,_calc!$E$155),"yyyy-mm-dd"),""))</f>
        <v/>
      </c>
      <c r="C153" s="55">
        <f>IF(_calc!$E$155="","","Inspection")</f>
        <v/>
      </c>
      <c r="D153" s="55">
        <f>IF(_calc!$E$155="","",IF(ISNUMBER(INDEX('Inspections'!$G$4:$G$503,_calc!$E$155)),TEXT(INDEX('Inspections'!$G$4:$G$503,_calc!$E$155),"yyyy-mm-dd"),""))</f>
        <v/>
      </c>
      <c r="F153" s="55">
        <f>IF(_calc!$E$155="","",TRIM(IF(LEN(IF(LEN(INDEX('Inspections'!$B$4:$B$503,_calc!$E$155))=0,"",INDEX('Inspections'!$B$4:$B$503,_calc!$E$155)))=0,"","System: "&amp;IF(LEN(INDEX('Inspections'!$B$4:$B$503,_calc!$E$155))=0,"",INDEX('Inspections'!$B$4:$B$503,_calc!$E$155))&amp;". ")&amp;IF(LEN(IF(LEN(INDEX('Inspections'!$D$4:$D$503,_calc!$E$155))=0,"",INDEX('Inspections'!$D$4:$D$503,_calc!$E$155)))=0,"","Every: "&amp;IF(LEN(INDEX('Inspections'!$D$4:$D$503,_calc!$E$155))=0,"",INDEX('Inspections'!$D$4:$D$503,_calc!$E$155))&amp;". ")&amp;IF(LEN(IF(LEN(INDEX('Inspections'!$E$4:$E$503,_calc!$E$155))=0,"",INDEX('Inspections'!$E$4:$E$503,_calc!$E$155)))=0,"","Unit: "&amp;IF(LEN(INDEX('Inspections'!$E$4:$E$503,_calc!$E$155))=0,"",INDEX('Inspections'!$E$4:$E$503,_calc!$E$155))&amp;". ")&amp;IF(LEN(IF(LEN(INDEX('Inspections'!$F$4:$F$503,_calc!$E$155))=0,"",INDEX('Inspections'!$F$4:$F$503,_calc!$E$155)))=0,"","Done by: "&amp;IF(LEN(INDEX('Inspections'!$F$4:$F$503,_calc!$E$155))=0,"",INDEX('Inspections'!$F$4:$F$503,_calc!$E$155))&amp;". ")&amp;IF(LEN(IF(LEN(INDEX('Inspections'!$M$4:$M$503,_calc!$E$155))=0,"",INDEX('Inspections'!$M$4:$M$503,_calc!$E$155)))=0,"","Source: "&amp;IF(LEN(INDEX('Inspections'!$M$4:$M$503,_calc!$E$155))=0,"",INDEX('Inspections'!$M$4:$M$503,_calc!$E$155))&amp;". ")&amp;IF(LEN(IF(LEN(INDEX('Inspections'!$N$4:$N$503,_calc!$E$155))=0,"",INDEX('Inspections'!$N$4:$N$503,_calc!$E$155)))=0,"","Owner: "&amp;IF(LEN(INDEX('Inspections'!$N$4:$N$503,_calc!$E$155))=0,"",INDEX('Inspections'!$N$4:$N$503,_calc!$E$155))&amp;". ")&amp;IF(LEN(IF(LEN(INDEX('Inspections'!$O$4:$O$503,_calc!$E$155))=0,"",INDEX('Inspections'!$O$4:$O$503,_calc!$E$155)))=0,"","Backup: "&amp;IF(LEN(INDEX('Inspections'!$O$4:$O$503,_calc!$E$155))=0,"",INDEX('Inspections'!$O$4:$O$503,_calc!$E$155))&amp;". ")&amp;IF(LEN(IF(LEN(INDEX('Inspections'!$R$4:$R$503,_calc!$E$155))=0,"",INDEX('Inspections'!$R$4:$R$503,_calc!$E$155)))=0,"",IF(LEN(INDEX('Inspections'!$R$4:$R$503,_calc!$E$155))=0,"",INDEX('Inspections'!$R$4:$R$503,_calc!$E$155)))))</f>
        <v/>
      </c>
      <c r="G153" s="55">
        <f>IF(_calc!$E$155="","",IF(LEN(INDEX('Inspections'!$Q$4:$Q$503,_calc!$E$155))=0,"",INDEX('Inspections'!$Q$4:$Q$503,_calc!$E$155)))</f>
        <v/>
      </c>
      <c r="K153" s="55">
        <f>IF(_calc!$E$155="","",IF(LEN(INDEX('Inspections'!$P$4:$P$503,_calc!$E$155))=0,"",INDEX('Inspections'!$P$4:$P$503,_calc!$E$155)))</f>
        <v/>
      </c>
    </row>
    <row r="154">
      <c r="A154" s="55">
        <f>IF(_calc!$E$156="","",IF(LEN(INDEX('Inspections'!$C$4:$C$503,_calc!$E$156))=0,"",INDEX('Inspections'!$C$4:$C$503,_calc!$E$156))&amp;" – "&amp;IF(LEN(INDEX('Inspections'!$A$4:$A$503,_calc!$E$156))=0,"",INDEX('Inspections'!$A$4:$A$503,_calc!$E$156)))</f>
        <v/>
      </c>
      <c r="B154" s="55">
        <f>IF(_calc!$E$156="","",IF(ISNUMBER(INDEX('Inspections'!$H$4:$H$503,_calc!$E$156)),TEXT(INDEX('Inspections'!$H$4:$H$503,_calc!$E$156),"yyyy-mm-dd"),""))</f>
        <v/>
      </c>
      <c r="C154" s="55">
        <f>IF(_calc!$E$156="","","Inspection")</f>
        <v/>
      </c>
      <c r="D154" s="55">
        <f>IF(_calc!$E$156="","",IF(ISNUMBER(INDEX('Inspections'!$G$4:$G$503,_calc!$E$156)),TEXT(INDEX('Inspections'!$G$4:$G$503,_calc!$E$156),"yyyy-mm-dd"),""))</f>
        <v/>
      </c>
      <c r="F154" s="55">
        <f>IF(_calc!$E$156="","",TRIM(IF(LEN(IF(LEN(INDEX('Inspections'!$B$4:$B$503,_calc!$E$156))=0,"",INDEX('Inspections'!$B$4:$B$503,_calc!$E$156)))=0,"","System: "&amp;IF(LEN(INDEX('Inspections'!$B$4:$B$503,_calc!$E$156))=0,"",INDEX('Inspections'!$B$4:$B$503,_calc!$E$156))&amp;". ")&amp;IF(LEN(IF(LEN(INDEX('Inspections'!$D$4:$D$503,_calc!$E$156))=0,"",INDEX('Inspections'!$D$4:$D$503,_calc!$E$156)))=0,"","Every: "&amp;IF(LEN(INDEX('Inspections'!$D$4:$D$503,_calc!$E$156))=0,"",INDEX('Inspections'!$D$4:$D$503,_calc!$E$156))&amp;". ")&amp;IF(LEN(IF(LEN(INDEX('Inspections'!$E$4:$E$503,_calc!$E$156))=0,"",INDEX('Inspections'!$E$4:$E$503,_calc!$E$156)))=0,"","Unit: "&amp;IF(LEN(INDEX('Inspections'!$E$4:$E$503,_calc!$E$156))=0,"",INDEX('Inspections'!$E$4:$E$503,_calc!$E$156))&amp;". ")&amp;IF(LEN(IF(LEN(INDEX('Inspections'!$F$4:$F$503,_calc!$E$156))=0,"",INDEX('Inspections'!$F$4:$F$503,_calc!$E$156)))=0,"","Done by: "&amp;IF(LEN(INDEX('Inspections'!$F$4:$F$503,_calc!$E$156))=0,"",INDEX('Inspections'!$F$4:$F$503,_calc!$E$156))&amp;". ")&amp;IF(LEN(IF(LEN(INDEX('Inspections'!$M$4:$M$503,_calc!$E$156))=0,"",INDEX('Inspections'!$M$4:$M$503,_calc!$E$156)))=0,"","Source: "&amp;IF(LEN(INDEX('Inspections'!$M$4:$M$503,_calc!$E$156))=0,"",INDEX('Inspections'!$M$4:$M$503,_calc!$E$156))&amp;". ")&amp;IF(LEN(IF(LEN(INDEX('Inspections'!$N$4:$N$503,_calc!$E$156))=0,"",INDEX('Inspections'!$N$4:$N$503,_calc!$E$156)))=0,"","Owner: "&amp;IF(LEN(INDEX('Inspections'!$N$4:$N$503,_calc!$E$156))=0,"",INDEX('Inspections'!$N$4:$N$503,_calc!$E$156))&amp;". ")&amp;IF(LEN(IF(LEN(INDEX('Inspections'!$O$4:$O$503,_calc!$E$156))=0,"",INDEX('Inspections'!$O$4:$O$503,_calc!$E$156)))=0,"","Backup: "&amp;IF(LEN(INDEX('Inspections'!$O$4:$O$503,_calc!$E$156))=0,"",INDEX('Inspections'!$O$4:$O$503,_calc!$E$156))&amp;". ")&amp;IF(LEN(IF(LEN(INDEX('Inspections'!$R$4:$R$503,_calc!$E$156))=0,"",INDEX('Inspections'!$R$4:$R$503,_calc!$E$156)))=0,"",IF(LEN(INDEX('Inspections'!$R$4:$R$503,_calc!$E$156))=0,"",INDEX('Inspections'!$R$4:$R$503,_calc!$E$156)))))</f>
        <v/>
      </c>
      <c r="G154" s="55">
        <f>IF(_calc!$E$156="","",IF(LEN(INDEX('Inspections'!$Q$4:$Q$503,_calc!$E$156))=0,"",INDEX('Inspections'!$Q$4:$Q$503,_calc!$E$156)))</f>
        <v/>
      </c>
      <c r="K154" s="55">
        <f>IF(_calc!$E$156="","",IF(LEN(INDEX('Inspections'!$P$4:$P$503,_calc!$E$156))=0,"",INDEX('Inspections'!$P$4:$P$503,_calc!$E$156)))</f>
        <v/>
      </c>
    </row>
    <row r="155">
      <c r="A155" s="55">
        <f>IF(_calc!$E$157="","",IF(LEN(INDEX('Inspections'!$C$4:$C$503,_calc!$E$157))=0,"",INDEX('Inspections'!$C$4:$C$503,_calc!$E$157))&amp;" – "&amp;IF(LEN(INDEX('Inspections'!$A$4:$A$503,_calc!$E$157))=0,"",INDEX('Inspections'!$A$4:$A$503,_calc!$E$157)))</f>
        <v/>
      </c>
      <c r="B155" s="55">
        <f>IF(_calc!$E$157="","",IF(ISNUMBER(INDEX('Inspections'!$H$4:$H$503,_calc!$E$157)),TEXT(INDEX('Inspections'!$H$4:$H$503,_calc!$E$157),"yyyy-mm-dd"),""))</f>
        <v/>
      </c>
      <c r="C155" s="55">
        <f>IF(_calc!$E$157="","","Inspection")</f>
        <v/>
      </c>
      <c r="D155" s="55">
        <f>IF(_calc!$E$157="","",IF(ISNUMBER(INDEX('Inspections'!$G$4:$G$503,_calc!$E$157)),TEXT(INDEX('Inspections'!$G$4:$G$503,_calc!$E$157),"yyyy-mm-dd"),""))</f>
        <v/>
      </c>
      <c r="F155" s="55">
        <f>IF(_calc!$E$157="","",TRIM(IF(LEN(IF(LEN(INDEX('Inspections'!$B$4:$B$503,_calc!$E$157))=0,"",INDEX('Inspections'!$B$4:$B$503,_calc!$E$157)))=0,"","System: "&amp;IF(LEN(INDEX('Inspections'!$B$4:$B$503,_calc!$E$157))=0,"",INDEX('Inspections'!$B$4:$B$503,_calc!$E$157))&amp;". ")&amp;IF(LEN(IF(LEN(INDEX('Inspections'!$D$4:$D$503,_calc!$E$157))=0,"",INDEX('Inspections'!$D$4:$D$503,_calc!$E$157)))=0,"","Every: "&amp;IF(LEN(INDEX('Inspections'!$D$4:$D$503,_calc!$E$157))=0,"",INDEX('Inspections'!$D$4:$D$503,_calc!$E$157))&amp;". ")&amp;IF(LEN(IF(LEN(INDEX('Inspections'!$E$4:$E$503,_calc!$E$157))=0,"",INDEX('Inspections'!$E$4:$E$503,_calc!$E$157)))=0,"","Unit: "&amp;IF(LEN(INDEX('Inspections'!$E$4:$E$503,_calc!$E$157))=0,"",INDEX('Inspections'!$E$4:$E$503,_calc!$E$157))&amp;". ")&amp;IF(LEN(IF(LEN(INDEX('Inspections'!$F$4:$F$503,_calc!$E$157))=0,"",INDEX('Inspections'!$F$4:$F$503,_calc!$E$157)))=0,"","Done by: "&amp;IF(LEN(INDEX('Inspections'!$F$4:$F$503,_calc!$E$157))=0,"",INDEX('Inspections'!$F$4:$F$503,_calc!$E$157))&amp;". ")&amp;IF(LEN(IF(LEN(INDEX('Inspections'!$M$4:$M$503,_calc!$E$157))=0,"",INDEX('Inspections'!$M$4:$M$503,_calc!$E$157)))=0,"","Source: "&amp;IF(LEN(INDEX('Inspections'!$M$4:$M$503,_calc!$E$157))=0,"",INDEX('Inspections'!$M$4:$M$503,_calc!$E$157))&amp;". ")&amp;IF(LEN(IF(LEN(INDEX('Inspections'!$N$4:$N$503,_calc!$E$157))=0,"",INDEX('Inspections'!$N$4:$N$503,_calc!$E$157)))=0,"","Owner: "&amp;IF(LEN(INDEX('Inspections'!$N$4:$N$503,_calc!$E$157))=0,"",INDEX('Inspections'!$N$4:$N$503,_calc!$E$157))&amp;". ")&amp;IF(LEN(IF(LEN(INDEX('Inspections'!$O$4:$O$503,_calc!$E$157))=0,"",INDEX('Inspections'!$O$4:$O$503,_calc!$E$157)))=0,"","Backup: "&amp;IF(LEN(INDEX('Inspections'!$O$4:$O$503,_calc!$E$157))=0,"",INDEX('Inspections'!$O$4:$O$503,_calc!$E$157))&amp;". ")&amp;IF(LEN(IF(LEN(INDEX('Inspections'!$R$4:$R$503,_calc!$E$157))=0,"",INDEX('Inspections'!$R$4:$R$503,_calc!$E$157)))=0,"",IF(LEN(INDEX('Inspections'!$R$4:$R$503,_calc!$E$157))=0,"",INDEX('Inspections'!$R$4:$R$503,_calc!$E$157)))))</f>
        <v/>
      </c>
      <c r="G155" s="55">
        <f>IF(_calc!$E$157="","",IF(LEN(INDEX('Inspections'!$Q$4:$Q$503,_calc!$E$157))=0,"",INDEX('Inspections'!$Q$4:$Q$503,_calc!$E$157)))</f>
        <v/>
      </c>
      <c r="K155" s="55">
        <f>IF(_calc!$E$157="","",IF(LEN(INDEX('Inspections'!$P$4:$P$503,_calc!$E$157))=0,"",INDEX('Inspections'!$P$4:$P$503,_calc!$E$157)))</f>
        <v/>
      </c>
    </row>
    <row r="156">
      <c r="A156" s="55">
        <f>IF(_calc!$E$158="","",IF(LEN(INDEX('Inspections'!$C$4:$C$503,_calc!$E$158))=0,"",INDEX('Inspections'!$C$4:$C$503,_calc!$E$158))&amp;" – "&amp;IF(LEN(INDEX('Inspections'!$A$4:$A$503,_calc!$E$158))=0,"",INDEX('Inspections'!$A$4:$A$503,_calc!$E$158)))</f>
        <v/>
      </c>
      <c r="B156" s="55">
        <f>IF(_calc!$E$158="","",IF(ISNUMBER(INDEX('Inspections'!$H$4:$H$503,_calc!$E$158)),TEXT(INDEX('Inspections'!$H$4:$H$503,_calc!$E$158),"yyyy-mm-dd"),""))</f>
        <v/>
      </c>
      <c r="C156" s="55">
        <f>IF(_calc!$E$158="","","Inspection")</f>
        <v/>
      </c>
      <c r="D156" s="55">
        <f>IF(_calc!$E$158="","",IF(ISNUMBER(INDEX('Inspections'!$G$4:$G$503,_calc!$E$158)),TEXT(INDEX('Inspections'!$G$4:$G$503,_calc!$E$158),"yyyy-mm-dd"),""))</f>
        <v/>
      </c>
      <c r="F156" s="55">
        <f>IF(_calc!$E$158="","",TRIM(IF(LEN(IF(LEN(INDEX('Inspections'!$B$4:$B$503,_calc!$E$158))=0,"",INDEX('Inspections'!$B$4:$B$503,_calc!$E$158)))=0,"","System: "&amp;IF(LEN(INDEX('Inspections'!$B$4:$B$503,_calc!$E$158))=0,"",INDEX('Inspections'!$B$4:$B$503,_calc!$E$158))&amp;". ")&amp;IF(LEN(IF(LEN(INDEX('Inspections'!$D$4:$D$503,_calc!$E$158))=0,"",INDEX('Inspections'!$D$4:$D$503,_calc!$E$158)))=0,"","Every: "&amp;IF(LEN(INDEX('Inspections'!$D$4:$D$503,_calc!$E$158))=0,"",INDEX('Inspections'!$D$4:$D$503,_calc!$E$158))&amp;". ")&amp;IF(LEN(IF(LEN(INDEX('Inspections'!$E$4:$E$503,_calc!$E$158))=0,"",INDEX('Inspections'!$E$4:$E$503,_calc!$E$158)))=0,"","Unit: "&amp;IF(LEN(INDEX('Inspections'!$E$4:$E$503,_calc!$E$158))=0,"",INDEX('Inspections'!$E$4:$E$503,_calc!$E$158))&amp;". ")&amp;IF(LEN(IF(LEN(INDEX('Inspections'!$F$4:$F$503,_calc!$E$158))=0,"",INDEX('Inspections'!$F$4:$F$503,_calc!$E$158)))=0,"","Done by: "&amp;IF(LEN(INDEX('Inspections'!$F$4:$F$503,_calc!$E$158))=0,"",INDEX('Inspections'!$F$4:$F$503,_calc!$E$158))&amp;". ")&amp;IF(LEN(IF(LEN(INDEX('Inspections'!$M$4:$M$503,_calc!$E$158))=0,"",INDEX('Inspections'!$M$4:$M$503,_calc!$E$158)))=0,"","Source: "&amp;IF(LEN(INDEX('Inspections'!$M$4:$M$503,_calc!$E$158))=0,"",INDEX('Inspections'!$M$4:$M$503,_calc!$E$158))&amp;". ")&amp;IF(LEN(IF(LEN(INDEX('Inspections'!$N$4:$N$503,_calc!$E$158))=0,"",INDEX('Inspections'!$N$4:$N$503,_calc!$E$158)))=0,"","Owner: "&amp;IF(LEN(INDEX('Inspections'!$N$4:$N$503,_calc!$E$158))=0,"",INDEX('Inspections'!$N$4:$N$503,_calc!$E$158))&amp;". ")&amp;IF(LEN(IF(LEN(INDEX('Inspections'!$O$4:$O$503,_calc!$E$158))=0,"",INDEX('Inspections'!$O$4:$O$503,_calc!$E$158)))=0,"","Backup: "&amp;IF(LEN(INDEX('Inspections'!$O$4:$O$503,_calc!$E$158))=0,"",INDEX('Inspections'!$O$4:$O$503,_calc!$E$158))&amp;". ")&amp;IF(LEN(IF(LEN(INDEX('Inspections'!$R$4:$R$503,_calc!$E$158))=0,"",INDEX('Inspections'!$R$4:$R$503,_calc!$E$158)))=0,"",IF(LEN(INDEX('Inspections'!$R$4:$R$503,_calc!$E$158))=0,"",INDEX('Inspections'!$R$4:$R$503,_calc!$E$158)))))</f>
        <v/>
      </c>
      <c r="G156" s="55">
        <f>IF(_calc!$E$158="","",IF(LEN(INDEX('Inspections'!$Q$4:$Q$503,_calc!$E$158))=0,"",INDEX('Inspections'!$Q$4:$Q$503,_calc!$E$158)))</f>
        <v/>
      </c>
      <c r="K156" s="55">
        <f>IF(_calc!$E$158="","",IF(LEN(INDEX('Inspections'!$P$4:$P$503,_calc!$E$158))=0,"",INDEX('Inspections'!$P$4:$P$503,_calc!$E$158)))</f>
        <v/>
      </c>
    </row>
    <row r="157">
      <c r="A157" s="55">
        <f>IF(_calc!$E$159="","",IF(LEN(INDEX('Inspections'!$C$4:$C$503,_calc!$E$159))=0,"",INDEX('Inspections'!$C$4:$C$503,_calc!$E$159))&amp;" – "&amp;IF(LEN(INDEX('Inspections'!$A$4:$A$503,_calc!$E$159))=0,"",INDEX('Inspections'!$A$4:$A$503,_calc!$E$159)))</f>
        <v/>
      </c>
      <c r="B157" s="55">
        <f>IF(_calc!$E$159="","",IF(ISNUMBER(INDEX('Inspections'!$H$4:$H$503,_calc!$E$159)),TEXT(INDEX('Inspections'!$H$4:$H$503,_calc!$E$159),"yyyy-mm-dd"),""))</f>
        <v/>
      </c>
      <c r="C157" s="55">
        <f>IF(_calc!$E$159="","","Inspection")</f>
        <v/>
      </c>
      <c r="D157" s="55">
        <f>IF(_calc!$E$159="","",IF(ISNUMBER(INDEX('Inspections'!$G$4:$G$503,_calc!$E$159)),TEXT(INDEX('Inspections'!$G$4:$G$503,_calc!$E$159),"yyyy-mm-dd"),""))</f>
        <v/>
      </c>
      <c r="F157" s="55">
        <f>IF(_calc!$E$159="","",TRIM(IF(LEN(IF(LEN(INDEX('Inspections'!$B$4:$B$503,_calc!$E$159))=0,"",INDEX('Inspections'!$B$4:$B$503,_calc!$E$159)))=0,"","System: "&amp;IF(LEN(INDEX('Inspections'!$B$4:$B$503,_calc!$E$159))=0,"",INDEX('Inspections'!$B$4:$B$503,_calc!$E$159))&amp;". ")&amp;IF(LEN(IF(LEN(INDEX('Inspections'!$D$4:$D$503,_calc!$E$159))=0,"",INDEX('Inspections'!$D$4:$D$503,_calc!$E$159)))=0,"","Every: "&amp;IF(LEN(INDEX('Inspections'!$D$4:$D$503,_calc!$E$159))=0,"",INDEX('Inspections'!$D$4:$D$503,_calc!$E$159))&amp;". ")&amp;IF(LEN(IF(LEN(INDEX('Inspections'!$E$4:$E$503,_calc!$E$159))=0,"",INDEX('Inspections'!$E$4:$E$503,_calc!$E$159)))=0,"","Unit: "&amp;IF(LEN(INDEX('Inspections'!$E$4:$E$503,_calc!$E$159))=0,"",INDEX('Inspections'!$E$4:$E$503,_calc!$E$159))&amp;". ")&amp;IF(LEN(IF(LEN(INDEX('Inspections'!$F$4:$F$503,_calc!$E$159))=0,"",INDEX('Inspections'!$F$4:$F$503,_calc!$E$159)))=0,"","Done by: "&amp;IF(LEN(INDEX('Inspections'!$F$4:$F$503,_calc!$E$159))=0,"",INDEX('Inspections'!$F$4:$F$503,_calc!$E$159))&amp;". ")&amp;IF(LEN(IF(LEN(INDEX('Inspections'!$M$4:$M$503,_calc!$E$159))=0,"",INDEX('Inspections'!$M$4:$M$503,_calc!$E$159)))=0,"","Source: "&amp;IF(LEN(INDEX('Inspections'!$M$4:$M$503,_calc!$E$159))=0,"",INDEX('Inspections'!$M$4:$M$503,_calc!$E$159))&amp;". ")&amp;IF(LEN(IF(LEN(INDEX('Inspections'!$N$4:$N$503,_calc!$E$159))=0,"",INDEX('Inspections'!$N$4:$N$503,_calc!$E$159)))=0,"","Owner: "&amp;IF(LEN(INDEX('Inspections'!$N$4:$N$503,_calc!$E$159))=0,"",INDEX('Inspections'!$N$4:$N$503,_calc!$E$159))&amp;". ")&amp;IF(LEN(IF(LEN(INDEX('Inspections'!$O$4:$O$503,_calc!$E$159))=0,"",INDEX('Inspections'!$O$4:$O$503,_calc!$E$159)))=0,"","Backup: "&amp;IF(LEN(INDEX('Inspections'!$O$4:$O$503,_calc!$E$159))=0,"",INDEX('Inspections'!$O$4:$O$503,_calc!$E$159))&amp;". ")&amp;IF(LEN(IF(LEN(INDEX('Inspections'!$R$4:$R$503,_calc!$E$159))=0,"",INDEX('Inspections'!$R$4:$R$503,_calc!$E$159)))=0,"",IF(LEN(INDEX('Inspections'!$R$4:$R$503,_calc!$E$159))=0,"",INDEX('Inspections'!$R$4:$R$503,_calc!$E$159)))))</f>
        <v/>
      </c>
      <c r="G157" s="55">
        <f>IF(_calc!$E$159="","",IF(LEN(INDEX('Inspections'!$Q$4:$Q$503,_calc!$E$159))=0,"",INDEX('Inspections'!$Q$4:$Q$503,_calc!$E$159)))</f>
        <v/>
      </c>
      <c r="K157" s="55">
        <f>IF(_calc!$E$159="","",IF(LEN(INDEX('Inspections'!$P$4:$P$503,_calc!$E$159))=0,"",INDEX('Inspections'!$P$4:$P$503,_calc!$E$159)))</f>
        <v/>
      </c>
    </row>
    <row r="158">
      <c r="A158" s="55">
        <f>IF(_calc!$E$160="","",IF(LEN(INDEX('Inspections'!$C$4:$C$503,_calc!$E$160))=0,"",INDEX('Inspections'!$C$4:$C$503,_calc!$E$160))&amp;" – "&amp;IF(LEN(INDEX('Inspections'!$A$4:$A$503,_calc!$E$160))=0,"",INDEX('Inspections'!$A$4:$A$503,_calc!$E$160)))</f>
        <v/>
      </c>
      <c r="B158" s="55">
        <f>IF(_calc!$E$160="","",IF(ISNUMBER(INDEX('Inspections'!$H$4:$H$503,_calc!$E$160)),TEXT(INDEX('Inspections'!$H$4:$H$503,_calc!$E$160),"yyyy-mm-dd"),""))</f>
        <v/>
      </c>
      <c r="C158" s="55">
        <f>IF(_calc!$E$160="","","Inspection")</f>
        <v/>
      </c>
      <c r="D158" s="55">
        <f>IF(_calc!$E$160="","",IF(ISNUMBER(INDEX('Inspections'!$G$4:$G$503,_calc!$E$160)),TEXT(INDEX('Inspections'!$G$4:$G$503,_calc!$E$160),"yyyy-mm-dd"),""))</f>
        <v/>
      </c>
      <c r="F158" s="55">
        <f>IF(_calc!$E$160="","",TRIM(IF(LEN(IF(LEN(INDEX('Inspections'!$B$4:$B$503,_calc!$E$160))=0,"",INDEX('Inspections'!$B$4:$B$503,_calc!$E$160)))=0,"","System: "&amp;IF(LEN(INDEX('Inspections'!$B$4:$B$503,_calc!$E$160))=0,"",INDEX('Inspections'!$B$4:$B$503,_calc!$E$160))&amp;". ")&amp;IF(LEN(IF(LEN(INDEX('Inspections'!$D$4:$D$503,_calc!$E$160))=0,"",INDEX('Inspections'!$D$4:$D$503,_calc!$E$160)))=0,"","Every: "&amp;IF(LEN(INDEX('Inspections'!$D$4:$D$503,_calc!$E$160))=0,"",INDEX('Inspections'!$D$4:$D$503,_calc!$E$160))&amp;". ")&amp;IF(LEN(IF(LEN(INDEX('Inspections'!$E$4:$E$503,_calc!$E$160))=0,"",INDEX('Inspections'!$E$4:$E$503,_calc!$E$160)))=0,"","Unit: "&amp;IF(LEN(INDEX('Inspections'!$E$4:$E$503,_calc!$E$160))=0,"",INDEX('Inspections'!$E$4:$E$503,_calc!$E$160))&amp;". ")&amp;IF(LEN(IF(LEN(INDEX('Inspections'!$F$4:$F$503,_calc!$E$160))=0,"",INDEX('Inspections'!$F$4:$F$503,_calc!$E$160)))=0,"","Done by: "&amp;IF(LEN(INDEX('Inspections'!$F$4:$F$503,_calc!$E$160))=0,"",INDEX('Inspections'!$F$4:$F$503,_calc!$E$160))&amp;". ")&amp;IF(LEN(IF(LEN(INDEX('Inspections'!$M$4:$M$503,_calc!$E$160))=0,"",INDEX('Inspections'!$M$4:$M$503,_calc!$E$160)))=0,"","Source: "&amp;IF(LEN(INDEX('Inspections'!$M$4:$M$503,_calc!$E$160))=0,"",INDEX('Inspections'!$M$4:$M$503,_calc!$E$160))&amp;". ")&amp;IF(LEN(IF(LEN(INDEX('Inspections'!$N$4:$N$503,_calc!$E$160))=0,"",INDEX('Inspections'!$N$4:$N$503,_calc!$E$160)))=0,"","Owner: "&amp;IF(LEN(INDEX('Inspections'!$N$4:$N$503,_calc!$E$160))=0,"",INDEX('Inspections'!$N$4:$N$503,_calc!$E$160))&amp;". ")&amp;IF(LEN(IF(LEN(INDEX('Inspections'!$O$4:$O$503,_calc!$E$160))=0,"",INDEX('Inspections'!$O$4:$O$503,_calc!$E$160)))=0,"","Backup: "&amp;IF(LEN(INDEX('Inspections'!$O$4:$O$503,_calc!$E$160))=0,"",INDEX('Inspections'!$O$4:$O$503,_calc!$E$160))&amp;". ")&amp;IF(LEN(IF(LEN(INDEX('Inspections'!$R$4:$R$503,_calc!$E$160))=0,"",INDEX('Inspections'!$R$4:$R$503,_calc!$E$160)))=0,"",IF(LEN(INDEX('Inspections'!$R$4:$R$503,_calc!$E$160))=0,"",INDEX('Inspections'!$R$4:$R$503,_calc!$E$160)))))</f>
        <v/>
      </c>
      <c r="G158" s="55">
        <f>IF(_calc!$E$160="","",IF(LEN(INDEX('Inspections'!$Q$4:$Q$503,_calc!$E$160))=0,"",INDEX('Inspections'!$Q$4:$Q$503,_calc!$E$160)))</f>
        <v/>
      </c>
      <c r="K158" s="55">
        <f>IF(_calc!$E$160="","",IF(LEN(INDEX('Inspections'!$P$4:$P$503,_calc!$E$160))=0,"",INDEX('Inspections'!$P$4:$P$503,_calc!$E$160)))</f>
        <v/>
      </c>
    </row>
    <row r="159">
      <c r="A159" s="55">
        <f>IF(_calc!$E$161="","",IF(LEN(INDEX('Inspections'!$C$4:$C$503,_calc!$E$161))=0,"",INDEX('Inspections'!$C$4:$C$503,_calc!$E$161))&amp;" – "&amp;IF(LEN(INDEX('Inspections'!$A$4:$A$503,_calc!$E$161))=0,"",INDEX('Inspections'!$A$4:$A$503,_calc!$E$161)))</f>
        <v/>
      </c>
      <c r="B159" s="55">
        <f>IF(_calc!$E$161="","",IF(ISNUMBER(INDEX('Inspections'!$H$4:$H$503,_calc!$E$161)),TEXT(INDEX('Inspections'!$H$4:$H$503,_calc!$E$161),"yyyy-mm-dd"),""))</f>
        <v/>
      </c>
      <c r="C159" s="55">
        <f>IF(_calc!$E$161="","","Inspection")</f>
        <v/>
      </c>
      <c r="D159" s="55">
        <f>IF(_calc!$E$161="","",IF(ISNUMBER(INDEX('Inspections'!$G$4:$G$503,_calc!$E$161)),TEXT(INDEX('Inspections'!$G$4:$G$503,_calc!$E$161),"yyyy-mm-dd"),""))</f>
        <v/>
      </c>
      <c r="F159" s="55">
        <f>IF(_calc!$E$161="","",TRIM(IF(LEN(IF(LEN(INDEX('Inspections'!$B$4:$B$503,_calc!$E$161))=0,"",INDEX('Inspections'!$B$4:$B$503,_calc!$E$161)))=0,"","System: "&amp;IF(LEN(INDEX('Inspections'!$B$4:$B$503,_calc!$E$161))=0,"",INDEX('Inspections'!$B$4:$B$503,_calc!$E$161))&amp;". ")&amp;IF(LEN(IF(LEN(INDEX('Inspections'!$D$4:$D$503,_calc!$E$161))=0,"",INDEX('Inspections'!$D$4:$D$503,_calc!$E$161)))=0,"","Every: "&amp;IF(LEN(INDEX('Inspections'!$D$4:$D$503,_calc!$E$161))=0,"",INDEX('Inspections'!$D$4:$D$503,_calc!$E$161))&amp;". ")&amp;IF(LEN(IF(LEN(INDEX('Inspections'!$E$4:$E$503,_calc!$E$161))=0,"",INDEX('Inspections'!$E$4:$E$503,_calc!$E$161)))=0,"","Unit: "&amp;IF(LEN(INDEX('Inspections'!$E$4:$E$503,_calc!$E$161))=0,"",INDEX('Inspections'!$E$4:$E$503,_calc!$E$161))&amp;". ")&amp;IF(LEN(IF(LEN(INDEX('Inspections'!$F$4:$F$503,_calc!$E$161))=0,"",INDEX('Inspections'!$F$4:$F$503,_calc!$E$161)))=0,"","Done by: "&amp;IF(LEN(INDEX('Inspections'!$F$4:$F$503,_calc!$E$161))=0,"",INDEX('Inspections'!$F$4:$F$503,_calc!$E$161))&amp;". ")&amp;IF(LEN(IF(LEN(INDEX('Inspections'!$M$4:$M$503,_calc!$E$161))=0,"",INDEX('Inspections'!$M$4:$M$503,_calc!$E$161)))=0,"","Source: "&amp;IF(LEN(INDEX('Inspections'!$M$4:$M$503,_calc!$E$161))=0,"",INDEX('Inspections'!$M$4:$M$503,_calc!$E$161))&amp;". ")&amp;IF(LEN(IF(LEN(INDEX('Inspections'!$N$4:$N$503,_calc!$E$161))=0,"",INDEX('Inspections'!$N$4:$N$503,_calc!$E$161)))=0,"","Owner: "&amp;IF(LEN(INDEX('Inspections'!$N$4:$N$503,_calc!$E$161))=0,"",INDEX('Inspections'!$N$4:$N$503,_calc!$E$161))&amp;". ")&amp;IF(LEN(IF(LEN(INDEX('Inspections'!$O$4:$O$503,_calc!$E$161))=0,"",INDEX('Inspections'!$O$4:$O$503,_calc!$E$161)))=0,"","Backup: "&amp;IF(LEN(INDEX('Inspections'!$O$4:$O$503,_calc!$E$161))=0,"",INDEX('Inspections'!$O$4:$O$503,_calc!$E$161))&amp;". ")&amp;IF(LEN(IF(LEN(INDEX('Inspections'!$R$4:$R$503,_calc!$E$161))=0,"",INDEX('Inspections'!$R$4:$R$503,_calc!$E$161)))=0,"",IF(LEN(INDEX('Inspections'!$R$4:$R$503,_calc!$E$161))=0,"",INDEX('Inspections'!$R$4:$R$503,_calc!$E$161)))))</f>
        <v/>
      </c>
      <c r="G159" s="55">
        <f>IF(_calc!$E$161="","",IF(LEN(INDEX('Inspections'!$Q$4:$Q$503,_calc!$E$161))=0,"",INDEX('Inspections'!$Q$4:$Q$503,_calc!$E$161)))</f>
        <v/>
      </c>
      <c r="K159" s="55">
        <f>IF(_calc!$E$161="","",IF(LEN(INDEX('Inspections'!$P$4:$P$503,_calc!$E$161))=0,"",INDEX('Inspections'!$P$4:$P$503,_calc!$E$161)))</f>
        <v/>
      </c>
    </row>
    <row r="160">
      <c r="A160" s="55">
        <f>IF(_calc!$E$162="","",IF(LEN(INDEX('Inspections'!$C$4:$C$503,_calc!$E$162))=0,"",INDEX('Inspections'!$C$4:$C$503,_calc!$E$162))&amp;" – "&amp;IF(LEN(INDEX('Inspections'!$A$4:$A$503,_calc!$E$162))=0,"",INDEX('Inspections'!$A$4:$A$503,_calc!$E$162)))</f>
        <v/>
      </c>
      <c r="B160" s="55">
        <f>IF(_calc!$E$162="","",IF(ISNUMBER(INDEX('Inspections'!$H$4:$H$503,_calc!$E$162)),TEXT(INDEX('Inspections'!$H$4:$H$503,_calc!$E$162),"yyyy-mm-dd"),""))</f>
        <v/>
      </c>
      <c r="C160" s="55">
        <f>IF(_calc!$E$162="","","Inspection")</f>
        <v/>
      </c>
      <c r="D160" s="55">
        <f>IF(_calc!$E$162="","",IF(ISNUMBER(INDEX('Inspections'!$G$4:$G$503,_calc!$E$162)),TEXT(INDEX('Inspections'!$G$4:$G$503,_calc!$E$162),"yyyy-mm-dd"),""))</f>
        <v/>
      </c>
      <c r="F160" s="55">
        <f>IF(_calc!$E$162="","",TRIM(IF(LEN(IF(LEN(INDEX('Inspections'!$B$4:$B$503,_calc!$E$162))=0,"",INDEX('Inspections'!$B$4:$B$503,_calc!$E$162)))=0,"","System: "&amp;IF(LEN(INDEX('Inspections'!$B$4:$B$503,_calc!$E$162))=0,"",INDEX('Inspections'!$B$4:$B$503,_calc!$E$162))&amp;". ")&amp;IF(LEN(IF(LEN(INDEX('Inspections'!$D$4:$D$503,_calc!$E$162))=0,"",INDEX('Inspections'!$D$4:$D$503,_calc!$E$162)))=0,"","Every: "&amp;IF(LEN(INDEX('Inspections'!$D$4:$D$503,_calc!$E$162))=0,"",INDEX('Inspections'!$D$4:$D$503,_calc!$E$162))&amp;". ")&amp;IF(LEN(IF(LEN(INDEX('Inspections'!$E$4:$E$503,_calc!$E$162))=0,"",INDEX('Inspections'!$E$4:$E$503,_calc!$E$162)))=0,"","Unit: "&amp;IF(LEN(INDEX('Inspections'!$E$4:$E$503,_calc!$E$162))=0,"",INDEX('Inspections'!$E$4:$E$503,_calc!$E$162))&amp;". ")&amp;IF(LEN(IF(LEN(INDEX('Inspections'!$F$4:$F$503,_calc!$E$162))=0,"",INDEX('Inspections'!$F$4:$F$503,_calc!$E$162)))=0,"","Done by: "&amp;IF(LEN(INDEX('Inspections'!$F$4:$F$503,_calc!$E$162))=0,"",INDEX('Inspections'!$F$4:$F$503,_calc!$E$162))&amp;". ")&amp;IF(LEN(IF(LEN(INDEX('Inspections'!$M$4:$M$503,_calc!$E$162))=0,"",INDEX('Inspections'!$M$4:$M$503,_calc!$E$162)))=0,"","Source: "&amp;IF(LEN(INDEX('Inspections'!$M$4:$M$503,_calc!$E$162))=0,"",INDEX('Inspections'!$M$4:$M$503,_calc!$E$162))&amp;". ")&amp;IF(LEN(IF(LEN(INDEX('Inspections'!$N$4:$N$503,_calc!$E$162))=0,"",INDEX('Inspections'!$N$4:$N$503,_calc!$E$162)))=0,"","Owner: "&amp;IF(LEN(INDEX('Inspections'!$N$4:$N$503,_calc!$E$162))=0,"",INDEX('Inspections'!$N$4:$N$503,_calc!$E$162))&amp;". ")&amp;IF(LEN(IF(LEN(INDEX('Inspections'!$O$4:$O$503,_calc!$E$162))=0,"",INDEX('Inspections'!$O$4:$O$503,_calc!$E$162)))=0,"","Backup: "&amp;IF(LEN(INDEX('Inspections'!$O$4:$O$503,_calc!$E$162))=0,"",INDEX('Inspections'!$O$4:$O$503,_calc!$E$162))&amp;". ")&amp;IF(LEN(IF(LEN(INDEX('Inspections'!$R$4:$R$503,_calc!$E$162))=0,"",INDEX('Inspections'!$R$4:$R$503,_calc!$E$162)))=0,"",IF(LEN(INDEX('Inspections'!$R$4:$R$503,_calc!$E$162))=0,"",INDEX('Inspections'!$R$4:$R$503,_calc!$E$162)))))</f>
        <v/>
      </c>
      <c r="G160" s="55">
        <f>IF(_calc!$E$162="","",IF(LEN(INDEX('Inspections'!$Q$4:$Q$503,_calc!$E$162))=0,"",INDEX('Inspections'!$Q$4:$Q$503,_calc!$E$162)))</f>
        <v/>
      </c>
      <c r="K160" s="55">
        <f>IF(_calc!$E$162="","",IF(LEN(INDEX('Inspections'!$P$4:$P$503,_calc!$E$162))=0,"",INDEX('Inspections'!$P$4:$P$503,_calc!$E$162)))</f>
        <v/>
      </c>
    </row>
    <row r="161">
      <c r="A161" s="55">
        <f>IF(_calc!$E$163="","",IF(LEN(INDEX('Inspections'!$C$4:$C$503,_calc!$E$163))=0,"",INDEX('Inspections'!$C$4:$C$503,_calc!$E$163))&amp;" – "&amp;IF(LEN(INDEX('Inspections'!$A$4:$A$503,_calc!$E$163))=0,"",INDEX('Inspections'!$A$4:$A$503,_calc!$E$163)))</f>
        <v/>
      </c>
      <c r="B161" s="55">
        <f>IF(_calc!$E$163="","",IF(ISNUMBER(INDEX('Inspections'!$H$4:$H$503,_calc!$E$163)),TEXT(INDEX('Inspections'!$H$4:$H$503,_calc!$E$163),"yyyy-mm-dd"),""))</f>
        <v/>
      </c>
      <c r="C161" s="55">
        <f>IF(_calc!$E$163="","","Inspection")</f>
        <v/>
      </c>
      <c r="D161" s="55">
        <f>IF(_calc!$E$163="","",IF(ISNUMBER(INDEX('Inspections'!$G$4:$G$503,_calc!$E$163)),TEXT(INDEX('Inspections'!$G$4:$G$503,_calc!$E$163),"yyyy-mm-dd"),""))</f>
        <v/>
      </c>
      <c r="F161" s="55">
        <f>IF(_calc!$E$163="","",TRIM(IF(LEN(IF(LEN(INDEX('Inspections'!$B$4:$B$503,_calc!$E$163))=0,"",INDEX('Inspections'!$B$4:$B$503,_calc!$E$163)))=0,"","System: "&amp;IF(LEN(INDEX('Inspections'!$B$4:$B$503,_calc!$E$163))=0,"",INDEX('Inspections'!$B$4:$B$503,_calc!$E$163))&amp;". ")&amp;IF(LEN(IF(LEN(INDEX('Inspections'!$D$4:$D$503,_calc!$E$163))=0,"",INDEX('Inspections'!$D$4:$D$503,_calc!$E$163)))=0,"","Every: "&amp;IF(LEN(INDEX('Inspections'!$D$4:$D$503,_calc!$E$163))=0,"",INDEX('Inspections'!$D$4:$D$503,_calc!$E$163))&amp;". ")&amp;IF(LEN(IF(LEN(INDEX('Inspections'!$E$4:$E$503,_calc!$E$163))=0,"",INDEX('Inspections'!$E$4:$E$503,_calc!$E$163)))=0,"","Unit: "&amp;IF(LEN(INDEX('Inspections'!$E$4:$E$503,_calc!$E$163))=0,"",INDEX('Inspections'!$E$4:$E$503,_calc!$E$163))&amp;". ")&amp;IF(LEN(IF(LEN(INDEX('Inspections'!$F$4:$F$503,_calc!$E$163))=0,"",INDEX('Inspections'!$F$4:$F$503,_calc!$E$163)))=0,"","Done by: "&amp;IF(LEN(INDEX('Inspections'!$F$4:$F$503,_calc!$E$163))=0,"",INDEX('Inspections'!$F$4:$F$503,_calc!$E$163))&amp;". ")&amp;IF(LEN(IF(LEN(INDEX('Inspections'!$M$4:$M$503,_calc!$E$163))=0,"",INDEX('Inspections'!$M$4:$M$503,_calc!$E$163)))=0,"","Source: "&amp;IF(LEN(INDEX('Inspections'!$M$4:$M$503,_calc!$E$163))=0,"",INDEX('Inspections'!$M$4:$M$503,_calc!$E$163))&amp;". ")&amp;IF(LEN(IF(LEN(INDEX('Inspections'!$N$4:$N$503,_calc!$E$163))=0,"",INDEX('Inspections'!$N$4:$N$503,_calc!$E$163)))=0,"","Owner: "&amp;IF(LEN(INDEX('Inspections'!$N$4:$N$503,_calc!$E$163))=0,"",INDEX('Inspections'!$N$4:$N$503,_calc!$E$163))&amp;". ")&amp;IF(LEN(IF(LEN(INDEX('Inspections'!$O$4:$O$503,_calc!$E$163))=0,"",INDEX('Inspections'!$O$4:$O$503,_calc!$E$163)))=0,"","Backup: "&amp;IF(LEN(INDEX('Inspections'!$O$4:$O$503,_calc!$E$163))=0,"",INDEX('Inspections'!$O$4:$O$503,_calc!$E$163))&amp;". ")&amp;IF(LEN(IF(LEN(INDEX('Inspections'!$R$4:$R$503,_calc!$E$163))=0,"",INDEX('Inspections'!$R$4:$R$503,_calc!$E$163)))=0,"",IF(LEN(INDEX('Inspections'!$R$4:$R$503,_calc!$E$163))=0,"",INDEX('Inspections'!$R$4:$R$503,_calc!$E$163)))))</f>
        <v/>
      </c>
      <c r="G161" s="55">
        <f>IF(_calc!$E$163="","",IF(LEN(INDEX('Inspections'!$Q$4:$Q$503,_calc!$E$163))=0,"",INDEX('Inspections'!$Q$4:$Q$503,_calc!$E$163)))</f>
        <v/>
      </c>
      <c r="K161" s="55">
        <f>IF(_calc!$E$163="","",IF(LEN(INDEX('Inspections'!$P$4:$P$503,_calc!$E$163))=0,"",INDEX('Inspections'!$P$4:$P$503,_calc!$E$163)))</f>
        <v/>
      </c>
    </row>
    <row r="162">
      <c r="A162" s="55">
        <f>IF(_calc!$E$164="","",IF(LEN(INDEX('Inspections'!$C$4:$C$503,_calc!$E$164))=0,"",INDEX('Inspections'!$C$4:$C$503,_calc!$E$164))&amp;" – "&amp;IF(LEN(INDEX('Inspections'!$A$4:$A$503,_calc!$E$164))=0,"",INDEX('Inspections'!$A$4:$A$503,_calc!$E$164)))</f>
        <v/>
      </c>
      <c r="B162" s="55">
        <f>IF(_calc!$E$164="","",IF(ISNUMBER(INDEX('Inspections'!$H$4:$H$503,_calc!$E$164)),TEXT(INDEX('Inspections'!$H$4:$H$503,_calc!$E$164),"yyyy-mm-dd"),""))</f>
        <v/>
      </c>
      <c r="C162" s="55">
        <f>IF(_calc!$E$164="","","Inspection")</f>
        <v/>
      </c>
      <c r="D162" s="55">
        <f>IF(_calc!$E$164="","",IF(ISNUMBER(INDEX('Inspections'!$G$4:$G$503,_calc!$E$164)),TEXT(INDEX('Inspections'!$G$4:$G$503,_calc!$E$164),"yyyy-mm-dd"),""))</f>
        <v/>
      </c>
      <c r="F162" s="55">
        <f>IF(_calc!$E$164="","",TRIM(IF(LEN(IF(LEN(INDEX('Inspections'!$B$4:$B$503,_calc!$E$164))=0,"",INDEX('Inspections'!$B$4:$B$503,_calc!$E$164)))=0,"","System: "&amp;IF(LEN(INDEX('Inspections'!$B$4:$B$503,_calc!$E$164))=0,"",INDEX('Inspections'!$B$4:$B$503,_calc!$E$164))&amp;". ")&amp;IF(LEN(IF(LEN(INDEX('Inspections'!$D$4:$D$503,_calc!$E$164))=0,"",INDEX('Inspections'!$D$4:$D$503,_calc!$E$164)))=0,"","Every: "&amp;IF(LEN(INDEX('Inspections'!$D$4:$D$503,_calc!$E$164))=0,"",INDEX('Inspections'!$D$4:$D$503,_calc!$E$164))&amp;". ")&amp;IF(LEN(IF(LEN(INDEX('Inspections'!$E$4:$E$503,_calc!$E$164))=0,"",INDEX('Inspections'!$E$4:$E$503,_calc!$E$164)))=0,"","Unit: "&amp;IF(LEN(INDEX('Inspections'!$E$4:$E$503,_calc!$E$164))=0,"",INDEX('Inspections'!$E$4:$E$503,_calc!$E$164))&amp;". ")&amp;IF(LEN(IF(LEN(INDEX('Inspections'!$F$4:$F$503,_calc!$E$164))=0,"",INDEX('Inspections'!$F$4:$F$503,_calc!$E$164)))=0,"","Done by: "&amp;IF(LEN(INDEX('Inspections'!$F$4:$F$503,_calc!$E$164))=0,"",INDEX('Inspections'!$F$4:$F$503,_calc!$E$164))&amp;". ")&amp;IF(LEN(IF(LEN(INDEX('Inspections'!$M$4:$M$503,_calc!$E$164))=0,"",INDEX('Inspections'!$M$4:$M$503,_calc!$E$164)))=0,"","Source: "&amp;IF(LEN(INDEX('Inspections'!$M$4:$M$503,_calc!$E$164))=0,"",INDEX('Inspections'!$M$4:$M$503,_calc!$E$164))&amp;". ")&amp;IF(LEN(IF(LEN(INDEX('Inspections'!$N$4:$N$503,_calc!$E$164))=0,"",INDEX('Inspections'!$N$4:$N$503,_calc!$E$164)))=0,"","Owner: "&amp;IF(LEN(INDEX('Inspections'!$N$4:$N$503,_calc!$E$164))=0,"",INDEX('Inspections'!$N$4:$N$503,_calc!$E$164))&amp;". ")&amp;IF(LEN(IF(LEN(INDEX('Inspections'!$O$4:$O$503,_calc!$E$164))=0,"",INDEX('Inspections'!$O$4:$O$503,_calc!$E$164)))=0,"","Backup: "&amp;IF(LEN(INDEX('Inspections'!$O$4:$O$503,_calc!$E$164))=0,"",INDEX('Inspections'!$O$4:$O$503,_calc!$E$164))&amp;". ")&amp;IF(LEN(IF(LEN(INDEX('Inspections'!$R$4:$R$503,_calc!$E$164))=0,"",INDEX('Inspections'!$R$4:$R$503,_calc!$E$164)))=0,"",IF(LEN(INDEX('Inspections'!$R$4:$R$503,_calc!$E$164))=0,"",INDEX('Inspections'!$R$4:$R$503,_calc!$E$164)))))</f>
        <v/>
      </c>
      <c r="G162" s="55">
        <f>IF(_calc!$E$164="","",IF(LEN(INDEX('Inspections'!$Q$4:$Q$503,_calc!$E$164))=0,"",INDEX('Inspections'!$Q$4:$Q$503,_calc!$E$164)))</f>
        <v/>
      </c>
      <c r="K162" s="55">
        <f>IF(_calc!$E$164="","",IF(LEN(INDEX('Inspections'!$P$4:$P$503,_calc!$E$164))=0,"",INDEX('Inspections'!$P$4:$P$503,_calc!$E$164)))</f>
        <v/>
      </c>
    </row>
    <row r="163">
      <c r="A163" s="55">
        <f>IF(_calc!$E$165="","",IF(LEN(INDEX('Inspections'!$C$4:$C$503,_calc!$E$165))=0,"",INDEX('Inspections'!$C$4:$C$503,_calc!$E$165))&amp;" – "&amp;IF(LEN(INDEX('Inspections'!$A$4:$A$503,_calc!$E$165))=0,"",INDEX('Inspections'!$A$4:$A$503,_calc!$E$165)))</f>
        <v/>
      </c>
      <c r="B163" s="55">
        <f>IF(_calc!$E$165="","",IF(ISNUMBER(INDEX('Inspections'!$H$4:$H$503,_calc!$E$165)),TEXT(INDEX('Inspections'!$H$4:$H$503,_calc!$E$165),"yyyy-mm-dd"),""))</f>
        <v/>
      </c>
      <c r="C163" s="55">
        <f>IF(_calc!$E$165="","","Inspection")</f>
        <v/>
      </c>
      <c r="D163" s="55">
        <f>IF(_calc!$E$165="","",IF(ISNUMBER(INDEX('Inspections'!$G$4:$G$503,_calc!$E$165)),TEXT(INDEX('Inspections'!$G$4:$G$503,_calc!$E$165),"yyyy-mm-dd"),""))</f>
        <v/>
      </c>
      <c r="F163" s="55">
        <f>IF(_calc!$E$165="","",TRIM(IF(LEN(IF(LEN(INDEX('Inspections'!$B$4:$B$503,_calc!$E$165))=0,"",INDEX('Inspections'!$B$4:$B$503,_calc!$E$165)))=0,"","System: "&amp;IF(LEN(INDEX('Inspections'!$B$4:$B$503,_calc!$E$165))=0,"",INDEX('Inspections'!$B$4:$B$503,_calc!$E$165))&amp;". ")&amp;IF(LEN(IF(LEN(INDEX('Inspections'!$D$4:$D$503,_calc!$E$165))=0,"",INDEX('Inspections'!$D$4:$D$503,_calc!$E$165)))=0,"","Every: "&amp;IF(LEN(INDEX('Inspections'!$D$4:$D$503,_calc!$E$165))=0,"",INDEX('Inspections'!$D$4:$D$503,_calc!$E$165))&amp;". ")&amp;IF(LEN(IF(LEN(INDEX('Inspections'!$E$4:$E$503,_calc!$E$165))=0,"",INDEX('Inspections'!$E$4:$E$503,_calc!$E$165)))=0,"","Unit: "&amp;IF(LEN(INDEX('Inspections'!$E$4:$E$503,_calc!$E$165))=0,"",INDEX('Inspections'!$E$4:$E$503,_calc!$E$165))&amp;". ")&amp;IF(LEN(IF(LEN(INDEX('Inspections'!$F$4:$F$503,_calc!$E$165))=0,"",INDEX('Inspections'!$F$4:$F$503,_calc!$E$165)))=0,"","Done by: "&amp;IF(LEN(INDEX('Inspections'!$F$4:$F$503,_calc!$E$165))=0,"",INDEX('Inspections'!$F$4:$F$503,_calc!$E$165))&amp;". ")&amp;IF(LEN(IF(LEN(INDEX('Inspections'!$M$4:$M$503,_calc!$E$165))=0,"",INDEX('Inspections'!$M$4:$M$503,_calc!$E$165)))=0,"","Source: "&amp;IF(LEN(INDEX('Inspections'!$M$4:$M$503,_calc!$E$165))=0,"",INDEX('Inspections'!$M$4:$M$503,_calc!$E$165))&amp;". ")&amp;IF(LEN(IF(LEN(INDEX('Inspections'!$N$4:$N$503,_calc!$E$165))=0,"",INDEX('Inspections'!$N$4:$N$503,_calc!$E$165)))=0,"","Owner: "&amp;IF(LEN(INDEX('Inspections'!$N$4:$N$503,_calc!$E$165))=0,"",INDEX('Inspections'!$N$4:$N$503,_calc!$E$165))&amp;". ")&amp;IF(LEN(IF(LEN(INDEX('Inspections'!$O$4:$O$503,_calc!$E$165))=0,"",INDEX('Inspections'!$O$4:$O$503,_calc!$E$165)))=0,"","Backup: "&amp;IF(LEN(INDEX('Inspections'!$O$4:$O$503,_calc!$E$165))=0,"",INDEX('Inspections'!$O$4:$O$503,_calc!$E$165))&amp;". ")&amp;IF(LEN(IF(LEN(INDEX('Inspections'!$R$4:$R$503,_calc!$E$165))=0,"",INDEX('Inspections'!$R$4:$R$503,_calc!$E$165)))=0,"",IF(LEN(INDEX('Inspections'!$R$4:$R$503,_calc!$E$165))=0,"",INDEX('Inspections'!$R$4:$R$503,_calc!$E$165)))))</f>
        <v/>
      </c>
      <c r="G163" s="55">
        <f>IF(_calc!$E$165="","",IF(LEN(INDEX('Inspections'!$Q$4:$Q$503,_calc!$E$165))=0,"",INDEX('Inspections'!$Q$4:$Q$503,_calc!$E$165)))</f>
        <v/>
      </c>
      <c r="K163" s="55">
        <f>IF(_calc!$E$165="","",IF(LEN(INDEX('Inspections'!$P$4:$P$503,_calc!$E$165))=0,"",INDEX('Inspections'!$P$4:$P$503,_calc!$E$165)))</f>
        <v/>
      </c>
    </row>
    <row r="164">
      <c r="A164" s="55">
        <f>IF(_calc!$E$166="","",IF(LEN(INDEX('Inspections'!$C$4:$C$503,_calc!$E$166))=0,"",INDEX('Inspections'!$C$4:$C$503,_calc!$E$166))&amp;" – "&amp;IF(LEN(INDEX('Inspections'!$A$4:$A$503,_calc!$E$166))=0,"",INDEX('Inspections'!$A$4:$A$503,_calc!$E$166)))</f>
        <v/>
      </c>
      <c r="B164" s="55">
        <f>IF(_calc!$E$166="","",IF(ISNUMBER(INDEX('Inspections'!$H$4:$H$503,_calc!$E$166)),TEXT(INDEX('Inspections'!$H$4:$H$503,_calc!$E$166),"yyyy-mm-dd"),""))</f>
        <v/>
      </c>
      <c r="C164" s="55">
        <f>IF(_calc!$E$166="","","Inspection")</f>
        <v/>
      </c>
      <c r="D164" s="55">
        <f>IF(_calc!$E$166="","",IF(ISNUMBER(INDEX('Inspections'!$G$4:$G$503,_calc!$E$166)),TEXT(INDEX('Inspections'!$G$4:$G$503,_calc!$E$166),"yyyy-mm-dd"),""))</f>
        <v/>
      </c>
      <c r="F164" s="55">
        <f>IF(_calc!$E$166="","",TRIM(IF(LEN(IF(LEN(INDEX('Inspections'!$B$4:$B$503,_calc!$E$166))=0,"",INDEX('Inspections'!$B$4:$B$503,_calc!$E$166)))=0,"","System: "&amp;IF(LEN(INDEX('Inspections'!$B$4:$B$503,_calc!$E$166))=0,"",INDEX('Inspections'!$B$4:$B$503,_calc!$E$166))&amp;". ")&amp;IF(LEN(IF(LEN(INDEX('Inspections'!$D$4:$D$503,_calc!$E$166))=0,"",INDEX('Inspections'!$D$4:$D$503,_calc!$E$166)))=0,"","Every: "&amp;IF(LEN(INDEX('Inspections'!$D$4:$D$503,_calc!$E$166))=0,"",INDEX('Inspections'!$D$4:$D$503,_calc!$E$166))&amp;". ")&amp;IF(LEN(IF(LEN(INDEX('Inspections'!$E$4:$E$503,_calc!$E$166))=0,"",INDEX('Inspections'!$E$4:$E$503,_calc!$E$166)))=0,"","Unit: "&amp;IF(LEN(INDEX('Inspections'!$E$4:$E$503,_calc!$E$166))=0,"",INDEX('Inspections'!$E$4:$E$503,_calc!$E$166))&amp;". ")&amp;IF(LEN(IF(LEN(INDEX('Inspections'!$F$4:$F$503,_calc!$E$166))=0,"",INDEX('Inspections'!$F$4:$F$503,_calc!$E$166)))=0,"","Done by: "&amp;IF(LEN(INDEX('Inspections'!$F$4:$F$503,_calc!$E$166))=0,"",INDEX('Inspections'!$F$4:$F$503,_calc!$E$166))&amp;". ")&amp;IF(LEN(IF(LEN(INDEX('Inspections'!$M$4:$M$503,_calc!$E$166))=0,"",INDEX('Inspections'!$M$4:$M$503,_calc!$E$166)))=0,"","Source: "&amp;IF(LEN(INDEX('Inspections'!$M$4:$M$503,_calc!$E$166))=0,"",INDEX('Inspections'!$M$4:$M$503,_calc!$E$166))&amp;". ")&amp;IF(LEN(IF(LEN(INDEX('Inspections'!$N$4:$N$503,_calc!$E$166))=0,"",INDEX('Inspections'!$N$4:$N$503,_calc!$E$166)))=0,"","Owner: "&amp;IF(LEN(INDEX('Inspections'!$N$4:$N$503,_calc!$E$166))=0,"",INDEX('Inspections'!$N$4:$N$503,_calc!$E$166))&amp;". ")&amp;IF(LEN(IF(LEN(INDEX('Inspections'!$O$4:$O$503,_calc!$E$166))=0,"",INDEX('Inspections'!$O$4:$O$503,_calc!$E$166)))=0,"","Backup: "&amp;IF(LEN(INDEX('Inspections'!$O$4:$O$503,_calc!$E$166))=0,"",INDEX('Inspections'!$O$4:$O$503,_calc!$E$166))&amp;". ")&amp;IF(LEN(IF(LEN(INDEX('Inspections'!$R$4:$R$503,_calc!$E$166))=0,"",INDEX('Inspections'!$R$4:$R$503,_calc!$E$166)))=0,"",IF(LEN(INDEX('Inspections'!$R$4:$R$503,_calc!$E$166))=0,"",INDEX('Inspections'!$R$4:$R$503,_calc!$E$166)))))</f>
        <v/>
      </c>
      <c r="G164" s="55">
        <f>IF(_calc!$E$166="","",IF(LEN(INDEX('Inspections'!$Q$4:$Q$503,_calc!$E$166))=0,"",INDEX('Inspections'!$Q$4:$Q$503,_calc!$E$166)))</f>
        <v/>
      </c>
      <c r="K164" s="55">
        <f>IF(_calc!$E$166="","",IF(LEN(INDEX('Inspections'!$P$4:$P$503,_calc!$E$166))=0,"",INDEX('Inspections'!$P$4:$P$503,_calc!$E$166)))</f>
        <v/>
      </c>
    </row>
    <row r="165">
      <c r="A165" s="55">
        <f>IF(_calc!$E$167="","",IF(LEN(INDEX('Inspections'!$C$4:$C$503,_calc!$E$167))=0,"",INDEX('Inspections'!$C$4:$C$503,_calc!$E$167))&amp;" – "&amp;IF(LEN(INDEX('Inspections'!$A$4:$A$503,_calc!$E$167))=0,"",INDEX('Inspections'!$A$4:$A$503,_calc!$E$167)))</f>
        <v/>
      </c>
      <c r="B165" s="55">
        <f>IF(_calc!$E$167="","",IF(ISNUMBER(INDEX('Inspections'!$H$4:$H$503,_calc!$E$167)),TEXT(INDEX('Inspections'!$H$4:$H$503,_calc!$E$167),"yyyy-mm-dd"),""))</f>
        <v/>
      </c>
      <c r="C165" s="55">
        <f>IF(_calc!$E$167="","","Inspection")</f>
        <v/>
      </c>
      <c r="D165" s="55">
        <f>IF(_calc!$E$167="","",IF(ISNUMBER(INDEX('Inspections'!$G$4:$G$503,_calc!$E$167)),TEXT(INDEX('Inspections'!$G$4:$G$503,_calc!$E$167),"yyyy-mm-dd"),""))</f>
        <v/>
      </c>
      <c r="F165" s="55">
        <f>IF(_calc!$E$167="","",TRIM(IF(LEN(IF(LEN(INDEX('Inspections'!$B$4:$B$503,_calc!$E$167))=0,"",INDEX('Inspections'!$B$4:$B$503,_calc!$E$167)))=0,"","System: "&amp;IF(LEN(INDEX('Inspections'!$B$4:$B$503,_calc!$E$167))=0,"",INDEX('Inspections'!$B$4:$B$503,_calc!$E$167))&amp;". ")&amp;IF(LEN(IF(LEN(INDEX('Inspections'!$D$4:$D$503,_calc!$E$167))=0,"",INDEX('Inspections'!$D$4:$D$503,_calc!$E$167)))=0,"","Every: "&amp;IF(LEN(INDEX('Inspections'!$D$4:$D$503,_calc!$E$167))=0,"",INDEX('Inspections'!$D$4:$D$503,_calc!$E$167))&amp;". ")&amp;IF(LEN(IF(LEN(INDEX('Inspections'!$E$4:$E$503,_calc!$E$167))=0,"",INDEX('Inspections'!$E$4:$E$503,_calc!$E$167)))=0,"","Unit: "&amp;IF(LEN(INDEX('Inspections'!$E$4:$E$503,_calc!$E$167))=0,"",INDEX('Inspections'!$E$4:$E$503,_calc!$E$167))&amp;". ")&amp;IF(LEN(IF(LEN(INDEX('Inspections'!$F$4:$F$503,_calc!$E$167))=0,"",INDEX('Inspections'!$F$4:$F$503,_calc!$E$167)))=0,"","Done by: "&amp;IF(LEN(INDEX('Inspections'!$F$4:$F$503,_calc!$E$167))=0,"",INDEX('Inspections'!$F$4:$F$503,_calc!$E$167))&amp;". ")&amp;IF(LEN(IF(LEN(INDEX('Inspections'!$M$4:$M$503,_calc!$E$167))=0,"",INDEX('Inspections'!$M$4:$M$503,_calc!$E$167)))=0,"","Source: "&amp;IF(LEN(INDEX('Inspections'!$M$4:$M$503,_calc!$E$167))=0,"",INDEX('Inspections'!$M$4:$M$503,_calc!$E$167))&amp;". ")&amp;IF(LEN(IF(LEN(INDEX('Inspections'!$N$4:$N$503,_calc!$E$167))=0,"",INDEX('Inspections'!$N$4:$N$503,_calc!$E$167)))=0,"","Owner: "&amp;IF(LEN(INDEX('Inspections'!$N$4:$N$503,_calc!$E$167))=0,"",INDEX('Inspections'!$N$4:$N$503,_calc!$E$167))&amp;". ")&amp;IF(LEN(IF(LEN(INDEX('Inspections'!$O$4:$O$503,_calc!$E$167))=0,"",INDEX('Inspections'!$O$4:$O$503,_calc!$E$167)))=0,"","Backup: "&amp;IF(LEN(INDEX('Inspections'!$O$4:$O$503,_calc!$E$167))=0,"",INDEX('Inspections'!$O$4:$O$503,_calc!$E$167))&amp;". ")&amp;IF(LEN(IF(LEN(INDEX('Inspections'!$R$4:$R$503,_calc!$E$167))=0,"",INDEX('Inspections'!$R$4:$R$503,_calc!$E$167)))=0,"",IF(LEN(INDEX('Inspections'!$R$4:$R$503,_calc!$E$167))=0,"",INDEX('Inspections'!$R$4:$R$503,_calc!$E$167)))))</f>
        <v/>
      </c>
      <c r="G165" s="55">
        <f>IF(_calc!$E$167="","",IF(LEN(INDEX('Inspections'!$Q$4:$Q$503,_calc!$E$167))=0,"",INDEX('Inspections'!$Q$4:$Q$503,_calc!$E$167)))</f>
        <v/>
      </c>
      <c r="K165" s="55">
        <f>IF(_calc!$E$167="","",IF(LEN(INDEX('Inspections'!$P$4:$P$503,_calc!$E$167))=0,"",INDEX('Inspections'!$P$4:$P$503,_calc!$E$167)))</f>
        <v/>
      </c>
    </row>
    <row r="166">
      <c r="A166" s="55">
        <f>IF(_calc!$E$168="","",IF(LEN(INDEX('Inspections'!$C$4:$C$503,_calc!$E$168))=0,"",INDEX('Inspections'!$C$4:$C$503,_calc!$E$168))&amp;" – "&amp;IF(LEN(INDEX('Inspections'!$A$4:$A$503,_calc!$E$168))=0,"",INDEX('Inspections'!$A$4:$A$503,_calc!$E$168)))</f>
        <v/>
      </c>
      <c r="B166" s="55">
        <f>IF(_calc!$E$168="","",IF(ISNUMBER(INDEX('Inspections'!$H$4:$H$503,_calc!$E$168)),TEXT(INDEX('Inspections'!$H$4:$H$503,_calc!$E$168),"yyyy-mm-dd"),""))</f>
        <v/>
      </c>
      <c r="C166" s="55">
        <f>IF(_calc!$E$168="","","Inspection")</f>
        <v/>
      </c>
      <c r="D166" s="55">
        <f>IF(_calc!$E$168="","",IF(ISNUMBER(INDEX('Inspections'!$G$4:$G$503,_calc!$E$168)),TEXT(INDEX('Inspections'!$G$4:$G$503,_calc!$E$168),"yyyy-mm-dd"),""))</f>
        <v/>
      </c>
      <c r="F166" s="55">
        <f>IF(_calc!$E$168="","",TRIM(IF(LEN(IF(LEN(INDEX('Inspections'!$B$4:$B$503,_calc!$E$168))=0,"",INDEX('Inspections'!$B$4:$B$503,_calc!$E$168)))=0,"","System: "&amp;IF(LEN(INDEX('Inspections'!$B$4:$B$503,_calc!$E$168))=0,"",INDEX('Inspections'!$B$4:$B$503,_calc!$E$168))&amp;". ")&amp;IF(LEN(IF(LEN(INDEX('Inspections'!$D$4:$D$503,_calc!$E$168))=0,"",INDEX('Inspections'!$D$4:$D$503,_calc!$E$168)))=0,"","Every: "&amp;IF(LEN(INDEX('Inspections'!$D$4:$D$503,_calc!$E$168))=0,"",INDEX('Inspections'!$D$4:$D$503,_calc!$E$168))&amp;". ")&amp;IF(LEN(IF(LEN(INDEX('Inspections'!$E$4:$E$503,_calc!$E$168))=0,"",INDEX('Inspections'!$E$4:$E$503,_calc!$E$168)))=0,"","Unit: "&amp;IF(LEN(INDEX('Inspections'!$E$4:$E$503,_calc!$E$168))=0,"",INDEX('Inspections'!$E$4:$E$503,_calc!$E$168))&amp;". ")&amp;IF(LEN(IF(LEN(INDEX('Inspections'!$F$4:$F$503,_calc!$E$168))=0,"",INDEX('Inspections'!$F$4:$F$503,_calc!$E$168)))=0,"","Done by: "&amp;IF(LEN(INDEX('Inspections'!$F$4:$F$503,_calc!$E$168))=0,"",INDEX('Inspections'!$F$4:$F$503,_calc!$E$168))&amp;". ")&amp;IF(LEN(IF(LEN(INDEX('Inspections'!$M$4:$M$503,_calc!$E$168))=0,"",INDEX('Inspections'!$M$4:$M$503,_calc!$E$168)))=0,"","Source: "&amp;IF(LEN(INDEX('Inspections'!$M$4:$M$503,_calc!$E$168))=0,"",INDEX('Inspections'!$M$4:$M$503,_calc!$E$168))&amp;". ")&amp;IF(LEN(IF(LEN(INDEX('Inspections'!$N$4:$N$503,_calc!$E$168))=0,"",INDEX('Inspections'!$N$4:$N$503,_calc!$E$168)))=0,"","Owner: "&amp;IF(LEN(INDEX('Inspections'!$N$4:$N$503,_calc!$E$168))=0,"",INDEX('Inspections'!$N$4:$N$503,_calc!$E$168))&amp;". ")&amp;IF(LEN(IF(LEN(INDEX('Inspections'!$O$4:$O$503,_calc!$E$168))=0,"",INDEX('Inspections'!$O$4:$O$503,_calc!$E$168)))=0,"","Backup: "&amp;IF(LEN(INDEX('Inspections'!$O$4:$O$503,_calc!$E$168))=0,"",INDEX('Inspections'!$O$4:$O$503,_calc!$E$168))&amp;". ")&amp;IF(LEN(IF(LEN(INDEX('Inspections'!$R$4:$R$503,_calc!$E$168))=0,"",INDEX('Inspections'!$R$4:$R$503,_calc!$E$168)))=0,"",IF(LEN(INDEX('Inspections'!$R$4:$R$503,_calc!$E$168))=0,"",INDEX('Inspections'!$R$4:$R$503,_calc!$E$168)))))</f>
        <v/>
      </c>
      <c r="G166" s="55">
        <f>IF(_calc!$E$168="","",IF(LEN(INDEX('Inspections'!$Q$4:$Q$503,_calc!$E$168))=0,"",INDEX('Inspections'!$Q$4:$Q$503,_calc!$E$168)))</f>
        <v/>
      </c>
      <c r="K166" s="55">
        <f>IF(_calc!$E$168="","",IF(LEN(INDEX('Inspections'!$P$4:$P$503,_calc!$E$168))=0,"",INDEX('Inspections'!$P$4:$P$503,_calc!$E$168)))</f>
        <v/>
      </c>
    </row>
    <row r="167">
      <c r="A167" s="55">
        <f>IF(_calc!$E$169="","",IF(LEN(INDEX('Inspections'!$C$4:$C$503,_calc!$E$169))=0,"",INDEX('Inspections'!$C$4:$C$503,_calc!$E$169))&amp;" – "&amp;IF(LEN(INDEX('Inspections'!$A$4:$A$503,_calc!$E$169))=0,"",INDEX('Inspections'!$A$4:$A$503,_calc!$E$169)))</f>
        <v/>
      </c>
      <c r="B167" s="55">
        <f>IF(_calc!$E$169="","",IF(ISNUMBER(INDEX('Inspections'!$H$4:$H$503,_calc!$E$169)),TEXT(INDEX('Inspections'!$H$4:$H$503,_calc!$E$169),"yyyy-mm-dd"),""))</f>
        <v/>
      </c>
      <c r="C167" s="55">
        <f>IF(_calc!$E$169="","","Inspection")</f>
        <v/>
      </c>
      <c r="D167" s="55">
        <f>IF(_calc!$E$169="","",IF(ISNUMBER(INDEX('Inspections'!$G$4:$G$503,_calc!$E$169)),TEXT(INDEX('Inspections'!$G$4:$G$503,_calc!$E$169),"yyyy-mm-dd"),""))</f>
        <v/>
      </c>
      <c r="F167" s="55">
        <f>IF(_calc!$E$169="","",TRIM(IF(LEN(IF(LEN(INDEX('Inspections'!$B$4:$B$503,_calc!$E$169))=0,"",INDEX('Inspections'!$B$4:$B$503,_calc!$E$169)))=0,"","System: "&amp;IF(LEN(INDEX('Inspections'!$B$4:$B$503,_calc!$E$169))=0,"",INDEX('Inspections'!$B$4:$B$503,_calc!$E$169))&amp;". ")&amp;IF(LEN(IF(LEN(INDEX('Inspections'!$D$4:$D$503,_calc!$E$169))=0,"",INDEX('Inspections'!$D$4:$D$503,_calc!$E$169)))=0,"","Every: "&amp;IF(LEN(INDEX('Inspections'!$D$4:$D$503,_calc!$E$169))=0,"",INDEX('Inspections'!$D$4:$D$503,_calc!$E$169))&amp;". ")&amp;IF(LEN(IF(LEN(INDEX('Inspections'!$E$4:$E$503,_calc!$E$169))=0,"",INDEX('Inspections'!$E$4:$E$503,_calc!$E$169)))=0,"","Unit: "&amp;IF(LEN(INDEX('Inspections'!$E$4:$E$503,_calc!$E$169))=0,"",INDEX('Inspections'!$E$4:$E$503,_calc!$E$169))&amp;". ")&amp;IF(LEN(IF(LEN(INDEX('Inspections'!$F$4:$F$503,_calc!$E$169))=0,"",INDEX('Inspections'!$F$4:$F$503,_calc!$E$169)))=0,"","Done by: "&amp;IF(LEN(INDEX('Inspections'!$F$4:$F$503,_calc!$E$169))=0,"",INDEX('Inspections'!$F$4:$F$503,_calc!$E$169))&amp;". ")&amp;IF(LEN(IF(LEN(INDEX('Inspections'!$M$4:$M$503,_calc!$E$169))=0,"",INDEX('Inspections'!$M$4:$M$503,_calc!$E$169)))=0,"","Source: "&amp;IF(LEN(INDEX('Inspections'!$M$4:$M$503,_calc!$E$169))=0,"",INDEX('Inspections'!$M$4:$M$503,_calc!$E$169))&amp;". ")&amp;IF(LEN(IF(LEN(INDEX('Inspections'!$N$4:$N$503,_calc!$E$169))=0,"",INDEX('Inspections'!$N$4:$N$503,_calc!$E$169)))=0,"","Owner: "&amp;IF(LEN(INDEX('Inspections'!$N$4:$N$503,_calc!$E$169))=0,"",INDEX('Inspections'!$N$4:$N$503,_calc!$E$169))&amp;". ")&amp;IF(LEN(IF(LEN(INDEX('Inspections'!$O$4:$O$503,_calc!$E$169))=0,"",INDEX('Inspections'!$O$4:$O$503,_calc!$E$169)))=0,"","Backup: "&amp;IF(LEN(INDEX('Inspections'!$O$4:$O$503,_calc!$E$169))=0,"",INDEX('Inspections'!$O$4:$O$503,_calc!$E$169))&amp;". ")&amp;IF(LEN(IF(LEN(INDEX('Inspections'!$R$4:$R$503,_calc!$E$169))=0,"",INDEX('Inspections'!$R$4:$R$503,_calc!$E$169)))=0,"",IF(LEN(INDEX('Inspections'!$R$4:$R$503,_calc!$E$169))=0,"",INDEX('Inspections'!$R$4:$R$503,_calc!$E$169)))))</f>
        <v/>
      </c>
      <c r="G167" s="55">
        <f>IF(_calc!$E$169="","",IF(LEN(INDEX('Inspections'!$Q$4:$Q$503,_calc!$E$169))=0,"",INDEX('Inspections'!$Q$4:$Q$503,_calc!$E$169)))</f>
        <v/>
      </c>
      <c r="K167" s="55">
        <f>IF(_calc!$E$169="","",IF(LEN(INDEX('Inspections'!$P$4:$P$503,_calc!$E$169))=0,"",INDEX('Inspections'!$P$4:$P$503,_calc!$E$169)))</f>
        <v/>
      </c>
    </row>
    <row r="168">
      <c r="A168" s="55">
        <f>IF(_calc!$E$170="","",IF(LEN(INDEX('Inspections'!$C$4:$C$503,_calc!$E$170))=0,"",INDEX('Inspections'!$C$4:$C$503,_calc!$E$170))&amp;" – "&amp;IF(LEN(INDEX('Inspections'!$A$4:$A$503,_calc!$E$170))=0,"",INDEX('Inspections'!$A$4:$A$503,_calc!$E$170)))</f>
        <v/>
      </c>
      <c r="B168" s="55">
        <f>IF(_calc!$E$170="","",IF(ISNUMBER(INDEX('Inspections'!$H$4:$H$503,_calc!$E$170)),TEXT(INDEX('Inspections'!$H$4:$H$503,_calc!$E$170),"yyyy-mm-dd"),""))</f>
        <v/>
      </c>
      <c r="C168" s="55">
        <f>IF(_calc!$E$170="","","Inspection")</f>
        <v/>
      </c>
      <c r="D168" s="55">
        <f>IF(_calc!$E$170="","",IF(ISNUMBER(INDEX('Inspections'!$G$4:$G$503,_calc!$E$170)),TEXT(INDEX('Inspections'!$G$4:$G$503,_calc!$E$170),"yyyy-mm-dd"),""))</f>
        <v/>
      </c>
      <c r="F168" s="55">
        <f>IF(_calc!$E$170="","",TRIM(IF(LEN(IF(LEN(INDEX('Inspections'!$B$4:$B$503,_calc!$E$170))=0,"",INDEX('Inspections'!$B$4:$B$503,_calc!$E$170)))=0,"","System: "&amp;IF(LEN(INDEX('Inspections'!$B$4:$B$503,_calc!$E$170))=0,"",INDEX('Inspections'!$B$4:$B$503,_calc!$E$170))&amp;". ")&amp;IF(LEN(IF(LEN(INDEX('Inspections'!$D$4:$D$503,_calc!$E$170))=0,"",INDEX('Inspections'!$D$4:$D$503,_calc!$E$170)))=0,"","Every: "&amp;IF(LEN(INDEX('Inspections'!$D$4:$D$503,_calc!$E$170))=0,"",INDEX('Inspections'!$D$4:$D$503,_calc!$E$170))&amp;". ")&amp;IF(LEN(IF(LEN(INDEX('Inspections'!$E$4:$E$503,_calc!$E$170))=0,"",INDEX('Inspections'!$E$4:$E$503,_calc!$E$170)))=0,"","Unit: "&amp;IF(LEN(INDEX('Inspections'!$E$4:$E$503,_calc!$E$170))=0,"",INDEX('Inspections'!$E$4:$E$503,_calc!$E$170))&amp;". ")&amp;IF(LEN(IF(LEN(INDEX('Inspections'!$F$4:$F$503,_calc!$E$170))=0,"",INDEX('Inspections'!$F$4:$F$503,_calc!$E$170)))=0,"","Done by: "&amp;IF(LEN(INDEX('Inspections'!$F$4:$F$503,_calc!$E$170))=0,"",INDEX('Inspections'!$F$4:$F$503,_calc!$E$170))&amp;". ")&amp;IF(LEN(IF(LEN(INDEX('Inspections'!$M$4:$M$503,_calc!$E$170))=0,"",INDEX('Inspections'!$M$4:$M$503,_calc!$E$170)))=0,"","Source: "&amp;IF(LEN(INDEX('Inspections'!$M$4:$M$503,_calc!$E$170))=0,"",INDEX('Inspections'!$M$4:$M$503,_calc!$E$170))&amp;". ")&amp;IF(LEN(IF(LEN(INDEX('Inspections'!$N$4:$N$503,_calc!$E$170))=0,"",INDEX('Inspections'!$N$4:$N$503,_calc!$E$170)))=0,"","Owner: "&amp;IF(LEN(INDEX('Inspections'!$N$4:$N$503,_calc!$E$170))=0,"",INDEX('Inspections'!$N$4:$N$503,_calc!$E$170))&amp;". ")&amp;IF(LEN(IF(LEN(INDEX('Inspections'!$O$4:$O$503,_calc!$E$170))=0,"",INDEX('Inspections'!$O$4:$O$503,_calc!$E$170)))=0,"","Backup: "&amp;IF(LEN(INDEX('Inspections'!$O$4:$O$503,_calc!$E$170))=0,"",INDEX('Inspections'!$O$4:$O$503,_calc!$E$170))&amp;". ")&amp;IF(LEN(IF(LEN(INDEX('Inspections'!$R$4:$R$503,_calc!$E$170))=0,"",INDEX('Inspections'!$R$4:$R$503,_calc!$E$170)))=0,"",IF(LEN(INDEX('Inspections'!$R$4:$R$503,_calc!$E$170))=0,"",INDEX('Inspections'!$R$4:$R$503,_calc!$E$170)))))</f>
        <v/>
      </c>
      <c r="G168" s="55">
        <f>IF(_calc!$E$170="","",IF(LEN(INDEX('Inspections'!$Q$4:$Q$503,_calc!$E$170))=0,"",INDEX('Inspections'!$Q$4:$Q$503,_calc!$E$170)))</f>
        <v/>
      </c>
      <c r="K168" s="55">
        <f>IF(_calc!$E$170="","",IF(LEN(INDEX('Inspections'!$P$4:$P$503,_calc!$E$170))=0,"",INDEX('Inspections'!$P$4:$P$503,_calc!$E$170)))</f>
        <v/>
      </c>
    </row>
    <row r="169">
      <c r="A169" s="55">
        <f>IF(_calc!$E$171="","",IF(LEN(INDEX('Inspections'!$C$4:$C$503,_calc!$E$171))=0,"",INDEX('Inspections'!$C$4:$C$503,_calc!$E$171))&amp;" – "&amp;IF(LEN(INDEX('Inspections'!$A$4:$A$503,_calc!$E$171))=0,"",INDEX('Inspections'!$A$4:$A$503,_calc!$E$171)))</f>
        <v/>
      </c>
      <c r="B169" s="55">
        <f>IF(_calc!$E$171="","",IF(ISNUMBER(INDEX('Inspections'!$H$4:$H$503,_calc!$E$171)),TEXT(INDEX('Inspections'!$H$4:$H$503,_calc!$E$171),"yyyy-mm-dd"),""))</f>
        <v/>
      </c>
      <c r="C169" s="55">
        <f>IF(_calc!$E$171="","","Inspection")</f>
        <v/>
      </c>
      <c r="D169" s="55">
        <f>IF(_calc!$E$171="","",IF(ISNUMBER(INDEX('Inspections'!$G$4:$G$503,_calc!$E$171)),TEXT(INDEX('Inspections'!$G$4:$G$503,_calc!$E$171),"yyyy-mm-dd"),""))</f>
        <v/>
      </c>
      <c r="F169" s="55">
        <f>IF(_calc!$E$171="","",TRIM(IF(LEN(IF(LEN(INDEX('Inspections'!$B$4:$B$503,_calc!$E$171))=0,"",INDEX('Inspections'!$B$4:$B$503,_calc!$E$171)))=0,"","System: "&amp;IF(LEN(INDEX('Inspections'!$B$4:$B$503,_calc!$E$171))=0,"",INDEX('Inspections'!$B$4:$B$503,_calc!$E$171))&amp;". ")&amp;IF(LEN(IF(LEN(INDEX('Inspections'!$D$4:$D$503,_calc!$E$171))=0,"",INDEX('Inspections'!$D$4:$D$503,_calc!$E$171)))=0,"","Every: "&amp;IF(LEN(INDEX('Inspections'!$D$4:$D$503,_calc!$E$171))=0,"",INDEX('Inspections'!$D$4:$D$503,_calc!$E$171))&amp;". ")&amp;IF(LEN(IF(LEN(INDEX('Inspections'!$E$4:$E$503,_calc!$E$171))=0,"",INDEX('Inspections'!$E$4:$E$503,_calc!$E$171)))=0,"","Unit: "&amp;IF(LEN(INDEX('Inspections'!$E$4:$E$503,_calc!$E$171))=0,"",INDEX('Inspections'!$E$4:$E$503,_calc!$E$171))&amp;". ")&amp;IF(LEN(IF(LEN(INDEX('Inspections'!$F$4:$F$503,_calc!$E$171))=0,"",INDEX('Inspections'!$F$4:$F$503,_calc!$E$171)))=0,"","Done by: "&amp;IF(LEN(INDEX('Inspections'!$F$4:$F$503,_calc!$E$171))=0,"",INDEX('Inspections'!$F$4:$F$503,_calc!$E$171))&amp;". ")&amp;IF(LEN(IF(LEN(INDEX('Inspections'!$M$4:$M$503,_calc!$E$171))=0,"",INDEX('Inspections'!$M$4:$M$503,_calc!$E$171)))=0,"","Source: "&amp;IF(LEN(INDEX('Inspections'!$M$4:$M$503,_calc!$E$171))=0,"",INDEX('Inspections'!$M$4:$M$503,_calc!$E$171))&amp;". ")&amp;IF(LEN(IF(LEN(INDEX('Inspections'!$N$4:$N$503,_calc!$E$171))=0,"",INDEX('Inspections'!$N$4:$N$503,_calc!$E$171)))=0,"","Owner: "&amp;IF(LEN(INDEX('Inspections'!$N$4:$N$503,_calc!$E$171))=0,"",INDEX('Inspections'!$N$4:$N$503,_calc!$E$171))&amp;". ")&amp;IF(LEN(IF(LEN(INDEX('Inspections'!$O$4:$O$503,_calc!$E$171))=0,"",INDEX('Inspections'!$O$4:$O$503,_calc!$E$171)))=0,"","Backup: "&amp;IF(LEN(INDEX('Inspections'!$O$4:$O$503,_calc!$E$171))=0,"",INDEX('Inspections'!$O$4:$O$503,_calc!$E$171))&amp;". ")&amp;IF(LEN(IF(LEN(INDEX('Inspections'!$R$4:$R$503,_calc!$E$171))=0,"",INDEX('Inspections'!$R$4:$R$503,_calc!$E$171)))=0,"",IF(LEN(INDEX('Inspections'!$R$4:$R$503,_calc!$E$171))=0,"",INDEX('Inspections'!$R$4:$R$503,_calc!$E$171)))))</f>
        <v/>
      </c>
      <c r="G169" s="55">
        <f>IF(_calc!$E$171="","",IF(LEN(INDEX('Inspections'!$Q$4:$Q$503,_calc!$E$171))=0,"",INDEX('Inspections'!$Q$4:$Q$503,_calc!$E$171)))</f>
        <v/>
      </c>
      <c r="K169" s="55">
        <f>IF(_calc!$E$171="","",IF(LEN(INDEX('Inspections'!$P$4:$P$503,_calc!$E$171))=0,"",INDEX('Inspections'!$P$4:$P$503,_calc!$E$171)))</f>
        <v/>
      </c>
    </row>
    <row r="170">
      <c r="A170" s="55">
        <f>IF(_calc!$E$172="","",IF(LEN(INDEX('Inspections'!$C$4:$C$503,_calc!$E$172))=0,"",INDEX('Inspections'!$C$4:$C$503,_calc!$E$172))&amp;" – "&amp;IF(LEN(INDEX('Inspections'!$A$4:$A$503,_calc!$E$172))=0,"",INDEX('Inspections'!$A$4:$A$503,_calc!$E$172)))</f>
        <v/>
      </c>
      <c r="B170" s="55">
        <f>IF(_calc!$E$172="","",IF(ISNUMBER(INDEX('Inspections'!$H$4:$H$503,_calc!$E$172)),TEXT(INDEX('Inspections'!$H$4:$H$503,_calc!$E$172),"yyyy-mm-dd"),""))</f>
        <v/>
      </c>
      <c r="C170" s="55">
        <f>IF(_calc!$E$172="","","Inspection")</f>
        <v/>
      </c>
      <c r="D170" s="55">
        <f>IF(_calc!$E$172="","",IF(ISNUMBER(INDEX('Inspections'!$G$4:$G$503,_calc!$E$172)),TEXT(INDEX('Inspections'!$G$4:$G$503,_calc!$E$172),"yyyy-mm-dd"),""))</f>
        <v/>
      </c>
      <c r="F170" s="55">
        <f>IF(_calc!$E$172="","",TRIM(IF(LEN(IF(LEN(INDEX('Inspections'!$B$4:$B$503,_calc!$E$172))=0,"",INDEX('Inspections'!$B$4:$B$503,_calc!$E$172)))=0,"","System: "&amp;IF(LEN(INDEX('Inspections'!$B$4:$B$503,_calc!$E$172))=0,"",INDEX('Inspections'!$B$4:$B$503,_calc!$E$172))&amp;". ")&amp;IF(LEN(IF(LEN(INDEX('Inspections'!$D$4:$D$503,_calc!$E$172))=0,"",INDEX('Inspections'!$D$4:$D$503,_calc!$E$172)))=0,"","Every: "&amp;IF(LEN(INDEX('Inspections'!$D$4:$D$503,_calc!$E$172))=0,"",INDEX('Inspections'!$D$4:$D$503,_calc!$E$172))&amp;". ")&amp;IF(LEN(IF(LEN(INDEX('Inspections'!$E$4:$E$503,_calc!$E$172))=0,"",INDEX('Inspections'!$E$4:$E$503,_calc!$E$172)))=0,"","Unit: "&amp;IF(LEN(INDEX('Inspections'!$E$4:$E$503,_calc!$E$172))=0,"",INDEX('Inspections'!$E$4:$E$503,_calc!$E$172))&amp;". ")&amp;IF(LEN(IF(LEN(INDEX('Inspections'!$F$4:$F$503,_calc!$E$172))=0,"",INDEX('Inspections'!$F$4:$F$503,_calc!$E$172)))=0,"","Done by: "&amp;IF(LEN(INDEX('Inspections'!$F$4:$F$503,_calc!$E$172))=0,"",INDEX('Inspections'!$F$4:$F$503,_calc!$E$172))&amp;". ")&amp;IF(LEN(IF(LEN(INDEX('Inspections'!$M$4:$M$503,_calc!$E$172))=0,"",INDEX('Inspections'!$M$4:$M$503,_calc!$E$172)))=0,"","Source: "&amp;IF(LEN(INDEX('Inspections'!$M$4:$M$503,_calc!$E$172))=0,"",INDEX('Inspections'!$M$4:$M$503,_calc!$E$172))&amp;". ")&amp;IF(LEN(IF(LEN(INDEX('Inspections'!$N$4:$N$503,_calc!$E$172))=0,"",INDEX('Inspections'!$N$4:$N$503,_calc!$E$172)))=0,"","Owner: "&amp;IF(LEN(INDEX('Inspections'!$N$4:$N$503,_calc!$E$172))=0,"",INDEX('Inspections'!$N$4:$N$503,_calc!$E$172))&amp;". ")&amp;IF(LEN(IF(LEN(INDEX('Inspections'!$O$4:$O$503,_calc!$E$172))=0,"",INDEX('Inspections'!$O$4:$O$503,_calc!$E$172)))=0,"","Backup: "&amp;IF(LEN(INDEX('Inspections'!$O$4:$O$503,_calc!$E$172))=0,"",INDEX('Inspections'!$O$4:$O$503,_calc!$E$172))&amp;". ")&amp;IF(LEN(IF(LEN(INDEX('Inspections'!$R$4:$R$503,_calc!$E$172))=0,"",INDEX('Inspections'!$R$4:$R$503,_calc!$E$172)))=0,"",IF(LEN(INDEX('Inspections'!$R$4:$R$503,_calc!$E$172))=0,"",INDEX('Inspections'!$R$4:$R$503,_calc!$E$172)))))</f>
        <v/>
      </c>
      <c r="G170" s="55">
        <f>IF(_calc!$E$172="","",IF(LEN(INDEX('Inspections'!$Q$4:$Q$503,_calc!$E$172))=0,"",INDEX('Inspections'!$Q$4:$Q$503,_calc!$E$172)))</f>
        <v/>
      </c>
      <c r="K170" s="55">
        <f>IF(_calc!$E$172="","",IF(LEN(INDEX('Inspections'!$P$4:$P$503,_calc!$E$172))=0,"",INDEX('Inspections'!$P$4:$P$503,_calc!$E$172)))</f>
        <v/>
      </c>
    </row>
    <row r="171">
      <c r="A171" s="55">
        <f>IF(_calc!$E$173="","",IF(LEN(INDEX('Inspections'!$C$4:$C$503,_calc!$E$173))=0,"",INDEX('Inspections'!$C$4:$C$503,_calc!$E$173))&amp;" – "&amp;IF(LEN(INDEX('Inspections'!$A$4:$A$503,_calc!$E$173))=0,"",INDEX('Inspections'!$A$4:$A$503,_calc!$E$173)))</f>
        <v/>
      </c>
      <c r="B171" s="55">
        <f>IF(_calc!$E$173="","",IF(ISNUMBER(INDEX('Inspections'!$H$4:$H$503,_calc!$E$173)),TEXT(INDEX('Inspections'!$H$4:$H$503,_calc!$E$173),"yyyy-mm-dd"),""))</f>
        <v/>
      </c>
      <c r="C171" s="55">
        <f>IF(_calc!$E$173="","","Inspection")</f>
        <v/>
      </c>
      <c r="D171" s="55">
        <f>IF(_calc!$E$173="","",IF(ISNUMBER(INDEX('Inspections'!$G$4:$G$503,_calc!$E$173)),TEXT(INDEX('Inspections'!$G$4:$G$503,_calc!$E$173),"yyyy-mm-dd"),""))</f>
        <v/>
      </c>
      <c r="F171" s="55">
        <f>IF(_calc!$E$173="","",TRIM(IF(LEN(IF(LEN(INDEX('Inspections'!$B$4:$B$503,_calc!$E$173))=0,"",INDEX('Inspections'!$B$4:$B$503,_calc!$E$173)))=0,"","System: "&amp;IF(LEN(INDEX('Inspections'!$B$4:$B$503,_calc!$E$173))=0,"",INDEX('Inspections'!$B$4:$B$503,_calc!$E$173))&amp;". ")&amp;IF(LEN(IF(LEN(INDEX('Inspections'!$D$4:$D$503,_calc!$E$173))=0,"",INDEX('Inspections'!$D$4:$D$503,_calc!$E$173)))=0,"","Every: "&amp;IF(LEN(INDEX('Inspections'!$D$4:$D$503,_calc!$E$173))=0,"",INDEX('Inspections'!$D$4:$D$503,_calc!$E$173))&amp;". ")&amp;IF(LEN(IF(LEN(INDEX('Inspections'!$E$4:$E$503,_calc!$E$173))=0,"",INDEX('Inspections'!$E$4:$E$503,_calc!$E$173)))=0,"","Unit: "&amp;IF(LEN(INDEX('Inspections'!$E$4:$E$503,_calc!$E$173))=0,"",INDEX('Inspections'!$E$4:$E$503,_calc!$E$173))&amp;". ")&amp;IF(LEN(IF(LEN(INDEX('Inspections'!$F$4:$F$503,_calc!$E$173))=0,"",INDEX('Inspections'!$F$4:$F$503,_calc!$E$173)))=0,"","Done by: "&amp;IF(LEN(INDEX('Inspections'!$F$4:$F$503,_calc!$E$173))=0,"",INDEX('Inspections'!$F$4:$F$503,_calc!$E$173))&amp;". ")&amp;IF(LEN(IF(LEN(INDEX('Inspections'!$M$4:$M$503,_calc!$E$173))=0,"",INDEX('Inspections'!$M$4:$M$503,_calc!$E$173)))=0,"","Source: "&amp;IF(LEN(INDEX('Inspections'!$M$4:$M$503,_calc!$E$173))=0,"",INDEX('Inspections'!$M$4:$M$503,_calc!$E$173))&amp;". ")&amp;IF(LEN(IF(LEN(INDEX('Inspections'!$N$4:$N$503,_calc!$E$173))=0,"",INDEX('Inspections'!$N$4:$N$503,_calc!$E$173)))=0,"","Owner: "&amp;IF(LEN(INDEX('Inspections'!$N$4:$N$503,_calc!$E$173))=0,"",INDEX('Inspections'!$N$4:$N$503,_calc!$E$173))&amp;". ")&amp;IF(LEN(IF(LEN(INDEX('Inspections'!$O$4:$O$503,_calc!$E$173))=0,"",INDEX('Inspections'!$O$4:$O$503,_calc!$E$173)))=0,"","Backup: "&amp;IF(LEN(INDEX('Inspections'!$O$4:$O$503,_calc!$E$173))=0,"",INDEX('Inspections'!$O$4:$O$503,_calc!$E$173))&amp;". ")&amp;IF(LEN(IF(LEN(INDEX('Inspections'!$R$4:$R$503,_calc!$E$173))=0,"",INDEX('Inspections'!$R$4:$R$503,_calc!$E$173)))=0,"",IF(LEN(INDEX('Inspections'!$R$4:$R$503,_calc!$E$173))=0,"",INDEX('Inspections'!$R$4:$R$503,_calc!$E$173)))))</f>
        <v/>
      </c>
      <c r="G171" s="55">
        <f>IF(_calc!$E$173="","",IF(LEN(INDEX('Inspections'!$Q$4:$Q$503,_calc!$E$173))=0,"",INDEX('Inspections'!$Q$4:$Q$503,_calc!$E$173)))</f>
        <v/>
      </c>
      <c r="K171" s="55">
        <f>IF(_calc!$E$173="","",IF(LEN(INDEX('Inspections'!$P$4:$P$503,_calc!$E$173))=0,"",INDEX('Inspections'!$P$4:$P$503,_calc!$E$173)))</f>
        <v/>
      </c>
    </row>
    <row r="172">
      <c r="A172" s="55">
        <f>IF(_calc!$E$174="","",IF(LEN(INDEX('Inspections'!$C$4:$C$503,_calc!$E$174))=0,"",INDEX('Inspections'!$C$4:$C$503,_calc!$E$174))&amp;" – "&amp;IF(LEN(INDEX('Inspections'!$A$4:$A$503,_calc!$E$174))=0,"",INDEX('Inspections'!$A$4:$A$503,_calc!$E$174)))</f>
        <v/>
      </c>
      <c r="B172" s="55">
        <f>IF(_calc!$E$174="","",IF(ISNUMBER(INDEX('Inspections'!$H$4:$H$503,_calc!$E$174)),TEXT(INDEX('Inspections'!$H$4:$H$503,_calc!$E$174),"yyyy-mm-dd"),""))</f>
        <v/>
      </c>
      <c r="C172" s="55">
        <f>IF(_calc!$E$174="","","Inspection")</f>
        <v/>
      </c>
      <c r="D172" s="55">
        <f>IF(_calc!$E$174="","",IF(ISNUMBER(INDEX('Inspections'!$G$4:$G$503,_calc!$E$174)),TEXT(INDEX('Inspections'!$G$4:$G$503,_calc!$E$174),"yyyy-mm-dd"),""))</f>
        <v/>
      </c>
      <c r="F172" s="55">
        <f>IF(_calc!$E$174="","",TRIM(IF(LEN(IF(LEN(INDEX('Inspections'!$B$4:$B$503,_calc!$E$174))=0,"",INDEX('Inspections'!$B$4:$B$503,_calc!$E$174)))=0,"","System: "&amp;IF(LEN(INDEX('Inspections'!$B$4:$B$503,_calc!$E$174))=0,"",INDEX('Inspections'!$B$4:$B$503,_calc!$E$174))&amp;". ")&amp;IF(LEN(IF(LEN(INDEX('Inspections'!$D$4:$D$503,_calc!$E$174))=0,"",INDEX('Inspections'!$D$4:$D$503,_calc!$E$174)))=0,"","Every: "&amp;IF(LEN(INDEX('Inspections'!$D$4:$D$503,_calc!$E$174))=0,"",INDEX('Inspections'!$D$4:$D$503,_calc!$E$174))&amp;". ")&amp;IF(LEN(IF(LEN(INDEX('Inspections'!$E$4:$E$503,_calc!$E$174))=0,"",INDEX('Inspections'!$E$4:$E$503,_calc!$E$174)))=0,"","Unit: "&amp;IF(LEN(INDEX('Inspections'!$E$4:$E$503,_calc!$E$174))=0,"",INDEX('Inspections'!$E$4:$E$503,_calc!$E$174))&amp;". ")&amp;IF(LEN(IF(LEN(INDEX('Inspections'!$F$4:$F$503,_calc!$E$174))=0,"",INDEX('Inspections'!$F$4:$F$503,_calc!$E$174)))=0,"","Done by: "&amp;IF(LEN(INDEX('Inspections'!$F$4:$F$503,_calc!$E$174))=0,"",INDEX('Inspections'!$F$4:$F$503,_calc!$E$174))&amp;". ")&amp;IF(LEN(IF(LEN(INDEX('Inspections'!$M$4:$M$503,_calc!$E$174))=0,"",INDEX('Inspections'!$M$4:$M$503,_calc!$E$174)))=0,"","Source: "&amp;IF(LEN(INDEX('Inspections'!$M$4:$M$503,_calc!$E$174))=0,"",INDEX('Inspections'!$M$4:$M$503,_calc!$E$174))&amp;". ")&amp;IF(LEN(IF(LEN(INDEX('Inspections'!$N$4:$N$503,_calc!$E$174))=0,"",INDEX('Inspections'!$N$4:$N$503,_calc!$E$174)))=0,"","Owner: "&amp;IF(LEN(INDEX('Inspections'!$N$4:$N$503,_calc!$E$174))=0,"",INDEX('Inspections'!$N$4:$N$503,_calc!$E$174))&amp;". ")&amp;IF(LEN(IF(LEN(INDEX('Inspections'!$O$4:$O$503,_calc!$E$174))=0,"",INDEX('Inspections'!$O$4:$O$503,_calc!$E$174)))=0,"","Backup: "&amp;IF(LEN(INDEX('Inspections'!$O$4:$O$503,_calc!$E$174))=0,"",INDEX('Inspections'!$O$4:$O$503,_calc!$E$174))&amp;". ")&amp;IF(LEN(IF(LEN(INDEX('Inspections'!$R$4:$R$503,_calc!$E$174))=0,"",INDEX('Inspections'!$R$4:$R$503,_calc!$E$174)))=0,"",IF(LEN(INDEX('Inspections'!$R$4:$R$503,_calc!$E$174))=0,"",INDEX('Inspections'!$R$4:$R$503,_calc!$E$174)))))</f>
        <v/>
      </c>
      <c r="G172" s="55">
        <f>IF(_calc!$E$174="","",IF(LEN(INDEX('Inspections'!$Q$4:$Q$503,_calc!$E$174))=0,"",INDEX('Inspections'!$Q$4:$Q$503,_calc!$E$174)))</f>
        <v/>
      </c>
      <c r="K172" s="55">
        <f>IF(_calc!$E$174="","",IF(LEN(INDEX('Inspections'!$P$4:$P$503,_calc!$E$174))=0,"",INDEX('Inspections'!$P$4:$P$503,_calc!$E$174)))</f>
        <v/>
      </c>
    </row>
    <row r="173">
      <c r="A173" s="55">
        <f>IF(_calc!$E$175="","",IF(LEN(INDEX('Inspections'!$C$4:$C$503,_calc!$E$175))=0,"",INDEX('Inspections'!$C$4:$C$503,_calc!$E$175))&amp;" – "&amp;IF(LEN(INDEX('Inspections'!$A$4:$A$503,_calc!$E$175))=0,"",INDEX('Inspections'!$A$4:$A$503,_calc!$E$175)))</f>
        <v/>
      </c>
      <c r="B173" s="55">
        <f>IF(_calc!$E$175="","",IF(ISNUMBER(INDEX('Inspections'!$H$4:$H$503,_calc!$E$175)),TEXT(INDEX('Inspections'!$H$4:$H$503,_calc!$E$175),"yyyy-mm-dd"),""))</f>
        <v/>
      </c>
      <c r="C173" s="55">
        <f>IF(_calc!$E$175="","","Inspection")</f>
        <v/>
      </c>
      <c r="D173" s="55">
        <f>IF(_calc!$E$175="","",IF(ISNUMBER(INDEX('Inspections'!$G$4:$G$503,_calc!$E$175)),TEXT(INDEX('Inspections'!$G$4:$G$503,_calc!$E$175),"yyyy-mm-dd"),""))</f>
        <v/>
      </c>
      <c r="F173" s="55">
        <f>IF(_calc!$E$175="","",TRIM(IF(LEN(IF(LEN(INDEX('Inspections'!$B$4:$B$503,_calc!$E$175))=0,"",INDEX('Inspections'!$B$4:$B$503,_calc!$E$175)))=0,"","System: "&amp;IF(LEN(INDEX('Inspections'!$B$4:$B$503,_calc!$E$175))=0,"",INDEX('Inspections'!$B$4:$B$503,_calc!$E$175))&amp;". ")&amp;IF(LEN(IF(LEN(INDEX('Inspections'!$D$4:$D$503,_calc!$E$175))=0,"",INDEX('Inspections'!$D$4:$D$503,_calc!$E$175)))=0,"","Every: "&amp;IF(LEN(INDEX('Inspections'!$D$4:$D$503,_calc!$E$175))=0,"",INDEX('Inspections'!$D$4:$D$503,_calc!$E$175))&amp;". ")&amp;IF(LEN(IF(LEN(INDEX('Inspections'!$E$4:$E$503,_calc!$E$175))=0,"",INDEX('Inspections'!$E$4:$E$503,_calc!$E$175)))=0,"","Unit: "&amp;IF(LEN(INDEX('Inspections'!$E$4:$E$503,_calc!$E$175))=0,"",INDEX('Inspections'!$E$4:$E$503,_calc!$E$175))&amp;". ")&amp;IF(LEN(IF(LEN(INDEX('Inspections'!$F$4:$F$503,_calc!$E$175))=0,"",INDEX('Inspections'!$F$4:$F$503,_calc!$E$175)))=0,"","Done by: "&amp;IF(LEN(INDEX('Inspections'!$F$4:$F$503,_calc!$E$175))=0,"",INDEX('Inspections'!$F$4:$F$503,_calc!$E$175))&amp;". ")&amp;IF(LEN(IF(LEN(INDEX('Inspections'!$M$4:$M$503,_calc!$E$175))=0,"",INDEX('Inspections'!$M$4:$M$503,_calc!$E$175)))=0,"","Source: "&amp;IF(LEN(INDEX('Inspections'!$M$4:$M$503,_calc!$E$175))=0,"",INDEX('Inspections'!$M$4:$M$503,_calc!$E$175))&amp;". ")&amp;IF(LEN(IF(LEN(INDEX('Inspections'!$N$4:$N$503,_calc!$E$175))=0,"",INDEX('Inspections'!$N$4:$N$503,_calc!$E$175)))=0,"","Owner: "&amp;IF(LEN(INDEX('Inspections'!$N$4:$N$503,_calc!$E$175))=0,"",INDEX('Inspections'!$N$4:$N$503,_calc!$E$175))&amp;". ")&amp;IF(LEN(IF(LEN(INDEX('Inspections'!$O$4:$O$503,_calc!$E$175))=0,"",INDEX('Inspections'!$O$4:$O$503,_calc!$E$175)))=0,"","Backup: "&amp;IF(LEN(INDEX('Inspections'!$O$4:$O$503,_calc!$E$175))=0,"",INDEX('Inspections'!$O$4:$O$503,_calc!$E$175))&amp;". ")&amp;IF(LEN(IF(LEN(INDEX('Inspections'!$R$4:$R$503,_calc!$E$175))=0,"",INDEX('Inspections'!$R$4:$R$503,_calc!$E$175)))=0,"",IF(LEN(INDEX('Inspections'!$R$4:$R$503,_calc!$E$175))=0,"",INDEX('Inspections'!$R$4:$R$503,_calc!$E$175)))))</f>
        <v/>
      </c>
      <c r="G173" s="55">
        <f>IF(_calc!$E$175="","",IF(LEN(INDEX('Inspections'!$Q$4:$Q$503,_calc!$E$175))=0,"",INDEX('Inspections'!$Q$4:$Q$503,_calc!$E$175)))</f>
        <v/>
      </c>
      <c r="K173" s="55">
        <f>IF(_calc!$E$175="","",IF(LEN(INDEX('Inspections'!$P$4:$P$503,_calc!$E$175))=0,"",INDEX('Inspections'!$P$4:$P$503,_calc!$E$175)))</f>
        <v/>
      </c>
    </row>
    <row r="174">
      <c r="A174" s="55">
        <f>IF(_calc!$E$176="","",IF(LEN(INDEX('Inspections'!$C$4:$C$503,_calc!$E$176))=0,"",INDEX('Inspections'!$C$4:$C$503,_calc!$E$176))&amp;" – "&amp;IF(LEN(INDEX('Inspections'!$A$4:$A$503,_calc!$E$176))=0,"",INDEX('Inspections'!$A$4:$A$503,_calc!$E$176)))</f>
        <v/>
      </c>
      <c r="B174" s="55">
        <f>IF(_calc!$E$176="","",IF(ISNUMBER(INDEX('Inspections'!$H$4:$H$503,_calc!$E$176)),TEXT(INDEX('Inspections'!$H$4:$H$503,_calc!$E$176),"yyyy-mm-dd"),""))</f>
        <v/>
      </c>
      <c r="C174" s="55">
        <f>IF(_calc!$E$176="","","Inspection")</f>
        <v/>
      </c>
      <c r="D174" s="55">
        <f>IF(_calc!$E$176="","",IF(ISNUMBER(INDEX('Inspections'!$G$4:$G$503,_calc!$E$176)),TEXT(INDEX('Inspections'!$G$4:$G$503,_calc!$E$176),"yyyy-mm-dd"),""))</f>
        <v/>
      </c>
      <c r="F174" s="55">
        <f>IF(_calc!$E$176="","",TRIM(IF(LEN(IF(LEN(INDEX('Inspections'!$B$4:$B$503,_calc!$E$176))=0,"",INDEX('Inspections'!$B$4:$B$503,_calc!$E$176)))=0,"","System: "&amp;IF(LEN(INDEX('Inspections'!$B$4:$B$503,_calc!$E$176))=0,"",INDEX('Inspections'!$B$4:$B$503,_calc!$E$176))&amp;". ")&amp;IF(LEN(IF(LEN(INDEX('Inspections'!$D$4:$D$503,_calc!$E$176))=0,"",INDEX('Inspections'!$D$4:$D$503,_calc!$E$176)))=0,"","Every: "&amp;IF(LEN(INDEX('Inspections'!$D$4:$D$503,_calc!$E$176))=0,"",INDEX('Inspections'!$D$4:$D$503,_calc!$E$176))&amp;". ")&amp;IF(LEN(IF(LEN(INDEX('Inspections'!$E$4:$E$503,_calc!$E$176))=0,"",INDEX('Inspections'!$E$4:$E$503,_calc!$E$176)))=0,"","Unit: "&amp;IF(LEN(INDEX('Inspections'!$E$4:$E$503,_calc!$E$176))=0,"",INDEX('Inspections'!$E$4:$E$503,_calc!$E$176))&amp;". ")&amp;IF(LEN(IF(LEN(INDEX('Inspections'!$F$4:$F$503,_calc!$E$176))=0,"",INDEX('Inspections'!$F$4:$F$503,_calc!$E$176)))=0,"","Done by: "&amp;IF(LEN(INDEX('Inspections'!$F$4:$F$503,_calc!$E$176))=0,"",INDEX('Inspections'!$F$4:$F$503,_calc!$E$176))&amp;". ")&amp;IF(LEN(IF(LEN(INDEX('Inspections'!$M$4:$M$503,_calc!$E$176))=0,"",INDEX('Inspections'!$M$4:$M$503,_calc!$E$176)))=0,"","Source: "&amp;IF(LEN(INDEX('Inspections'!$M$4:$M$503,_calc!$E$176))=0,"",INDEX('Inspections'!$M$4:$M$503,_calc!$E$176))&amp;". ")&amp;IF(LEN(IF(LEN(INDEX('Inspections'!$N$4:$N$503,_calc!$E$176))=0,"",INDEX('Inspections'!$N$4:$N$503,_calc!$E$176)))=0,"","Owner: "&amp;IF(LEN(INDEX('Inspections'!$N$4:$N$503,_calc!$E$176))=0,"",INDEX('Inspections'!$N$4:$N$503,_calc!$E$176))&amp;". ")&amp;IF(LEN(IF(LEN(INDEX('Inspections'!$O$4:$O$503,_calc!$E$176))=0,"",INDEX('Inspections'!$O$4:$O$503,_calc!$E$176)))=0,"","Backup: "&amp;IF(LEN(INDEX('Inspections'!$O$4:$O$503,_calc!$E$176))=0,"",INDEX('Inspections'!$O$4:$O$503,_calc!$E$176))&amp;". ")&amp;IF(LEN(IF(LEN(INDEX('Inspections'!$R$4:$R$503,_calc!$E$176))=0,"",INDEX('Inspections'!$R$4:$R$503,_calc!$E$176)))=0,"",IF(LEN(INDEX('Inspections'!$R$4:$R$503,_calc!$E$176))=0,"",INDEX('Inspections'!$R$4:$R$503,_calc!$E$176)))))</f>
        <v/>
      </c>
      <c r="G174" s="55">
        <f>IF(_calc!$E$176="","",IF(LEN(INDEX('Inspections'!$Q$4:$Q$503,_calc!$E$176))=0,"",INDEX('Inspections'!$Q$4:$Q$503,_calc!$E$176)))</f>
        <v/>
      </c>
      <c r="K174" s="55">
        <f>IF(_calc!$E$176="","",IF(LEN(INDEX('Inspections'!$P$4:$P$503,_calc!$E$176))=0,"",INDEX('Inspections'!$P$4:$P$503,_calc!$E$176)))</f>
        <v/>
      </c>
    </row>
    <row r="175">
      <c r="A175" s="55">
        <f>IF(_calc!$E$177="","",IF(LEN(INDEX('Inspections'!$C$4:$C$503,_calc!$E$177))=0,"",INDEX('Inspections'!$C$4:$C$503,_calc!$E$177))&amp;" – "&amp;IF(LEN(INDEX('Inspections'!$A$4:$A$503,_calc!$E$177))=0,"",INDEX('Inspections'!$A$4:$A$503,_calc!$E$177)))</f>
        <v/>
      </c>
      <c r="B175" s="55">
        <f>IF(_calc!$E$177="","",IF(ISNUMBER(INDEX('Inspections'!$H$4:$H$503,_calc!$E$177)),TEXT(INDEX('Inspections'!$H$4:$H$503,_calc!$E$177),"yyyy-mm-dd"),""))</f>
        <v/>
      </c>
      <c r="C175" s="55">
        <f>IF(_calc!$E$177="","","Inspection")</f>
        <v/>
      </c>
      <c r="D175" s="55">
        <f>IF(_calc!$E$177="","",IF(ISNUMBER(INDEX('Inspections'!$G$4:$G$503,_calc!$E$177)),TEXT(INDEX('Inspections'!$G$4:$G$503,_calc!$E$177),"yyyy-mm-dd"),""))</f>
        <v/>
      </c>
      <c r="F175" s="55">
        <f>IF(_calc!$E$177="","",TRIM(IF(LEN(IF(LEN(INDEX('Inspections'!$B$4:$B$503,_calc!$E$177))=0,"",INDEX('Inspections'!$B$4:$B$503,_calc!$E$177)))=0,"","System: "&amp;IF(LEN(INDEX('Inspections'!$B$4:$B$503,_calc!$E$177))=0,"",INDEX('Inspections'!$B$4:$B$503,_calc!$E$177))&amp;". ")&amp;IF(LEN(IF(LEN(INDEX('Inspections'!$D$4:$D$503,_calc!$E$177))=0,"",INDEX('Inspections'!$D$4:$D$503,_calc!$E$177)))=0,"","Every: "&amp;IF(LEN(INDEX('Inspections'!$D$4:$D$503,_calc!$E$177))=0,"",INDEX('Inspections'!$D$4:$D$503,_calc!$E$177))&amp;". ")&amp;IF(LEN(IF(LEN(INDEX('Inspections'!$E$4:$E$503,_calc!$E$177))=0,"",INDEX('Inspections'!$E$4:$E$503,_calc!$E$177)))=0,"","Unit: "&amp;IF(LEN(INDEX('Inspections'!$E$4:$E$503,_calc!$E$177))=0,"",INDEX('Inspections'!$E$4:$E$503,_calc!$E$177))&amp;". ")&amp;IF(LEN(IF(LEN(INDEX('Inspections'!$F$4:$F$503,_calc!$E$177))=0,"",INDEX('Inspections'!$F$4:$F$503,_calc!$E$177)))=0,"","Done by: "&amp;IF(LEN(INDEX('Inspections'!$F$4:$F$503,_calc!$E$177))=0,"",INDEX('Inspections'!$F$4:$F$503,_calc!$E$177))&amp;". ")&amp;IF(LEN(IF(LEN(INDEX('Inspections'!$M$4:$M$503,_calc!$E$177))=0,"",INDEX('Inspections'!$M$4:$M$503,_calc!$E$177)))=0,"","Source: "&amp;IF(LEN(INDEX('Inspections'!$M$4:$M$503,_calc!$E$177))=0,"",INDEX('Inspections'!$M$4:$M$503,_calc!$E$177))&amp;". ")&amp;IF(LEN(IF(LEN(INDEX('Inspections'!$N$4:$N$503,_calc!$E$177))=0,"",INDEX('Inspections'!$N$4:$N$503,_calc!$E$177)))=0,"","Owner: "&amp;IF(LEN(INDEX('Inspections'!$N$4:$N$503,_calc!$E$177))=0,"",INDEX('Inspections'!$N$4:$N$503,_calc!$E$177))&amp;". ")&amp;IF(LEN(IF(LEN(INDEX('Inspections'!$O$4:$O$503,_calc!$E$177))=0,"",INDEX('Inspections'!$O$4:$O$503,_calc!$E$177)))=0,"","Backup: "&amp;IF(LEN(INDEX('Inspections'!$O$4:$O$503,_calc!$E$177))=0,"",INDEX('Inspections'!$O$4:$O$503,_calc!$E$177))&amp;". ")&amp;IF(LEN(IF(LEN(INDEX('Inspections'!$R$4:$R$503,_calc!$E$177))=0,"",INDEX('Inspections'!$R$4:$R$503,_calc!$E$177)))=0,"",IF(LEN(INDEX('Inspections'!$R$4:$R$503,_calc!$E$177))=0,"",INDEX('Inspections'!$R$4:$R$503,_calc!$E$177)))))</f>
        <v/>
      </c>
      <c r="G175" s="55">
        <f>IF(_calc!$E$177="","",IF(LEN(INDEX('Inspections'!$Q$4:$Q$503,_calc!$E$177))=0,"",INDEX('Inspections'!$Q$4:$Q$503,_calc!$E$177)))</f>
        <v/>
      </c>
      <c r="K175" s="55">
        <f>IF(_calc!$E$177="","",IF(LEN(INDEX('Inspections'!$P$4:$P$503,_calc!$E$177))=0,"",INDEX('Inspections'!$P$4:$P$503,_calc!$E$177)))</f>
        <v/>
      </c>
    </row>
    <row r="176">
      <c r="A176" s="55">
        <f>IF(_calc!$E$178="","",IF(LEN(INDEX('Inspections'!$C$4:$C$503,_calc!$E$178))=0,"",INDEX('Inspections'!$C$4:$C$503,_calc!$E$178))&amp;" – "&amp;IF(LEN(INDEX('Inspections'!$A$4:$A$503,_calc!$E$178))=0,"",INDEX('Inspections'!$A$4:$A$503,_calc!$E$178)))</f>
        <v/>
      </c>
      <c r="B176" s="55">
        <f>IF(_calc!$E$178="","",IF(ISNUMBER(INDEX('Inspections'!$H$4:$H$503,_calc!$E$178)),TEXT(INDEX('Inspections'!$H$4:$H$503,_calc!$E$178),"yyyy-mm-dd"),""))</f>
        <v/>
      </c>
      <c r="C176" s="55">
        <f>IF(_calc!$E$178="","","Inspection")</f>
        <v/>
      </c>
      <c r="D176" s="55">
        <f>IF(_calc!$E$178="","",IF(ISNUMBER(INDEX('Inspections'!$G$4:$G$503,_calc!$E$178)),TEXT(INDEX('Inspections'!$G$4:$G$503,_calc!$E$178),"yyyy-mm-dd"),""))</f>
        <v/>
      </c>
      <c r="F176" s="55">
        <f>IF(_calc!$E$178="","",TRIM(IF(LEN(IF(LEN(INDEX('Inspections'!$B$4:$B$503,_calc!$E$178))=0,"",INDEX('Inspections'!$B$4:$B$503,_calc!$E$178)))=0,"","System: "&amp;IF(LEN(INDEX('Inspections'!$B$4:$B$503,_calc!$E$178))=0,"",INDEX('Inspections'!$B$4:$B$503,_calc!$E$178))&amp;". ")&amp;IF(LEN(IF(LEN(INDEX('Inspections'!$D$4:$D$503,_calc!$E$178))=0,"",INDEX('Inspections'!$D$4:$D$503,_calc!$E$178)))=0,"","Every: "&amp;IF(LEN(INDEX('Inspections'!$D$4:$D$503,_calc!$E$178))=0,"",INDEX('Inspections'!$D$4:$D$503,_calc!$E$178))&amp;". ")&amp;IF(LEN(IF(LEN(INDEX('Inspections'!$E$4:$E$503,_calc!$E$178))=0,"",INDEX('Inspections'!$E$4:$E$503,_calc!$E$178)))=0,"","Unit: "&amp;IF(LEN(INDEX('Inspections'!$E$4:$E$503,_calc!$E$178))=0,"",INDEX('Inspections'!$E$4:$E$503,_calc!$E$178))&amp;". ")&amp;IF(LEN(IF(LEN(INDEX('Inspections'!$F$4:$F$503,_calc!$E$178))=0,"",INDEX('Inspections'!$F$4:$F$503,_calc!$E$178)))=0,"","Done by: "&amp;IF(LEN(INDEX('Inspections'!$F$4:$F$503,_calc!$E$178))=0,"",INDEX('Inspections'!$F$4:$F$503,_calc!$E$178))&amp;". ")&amp;IF(LEN(IF(LEN(INDEX('Inspections'!$M$4:$M$503,_calc!$E$178))=0,"",INDEX('Inspections'!$M$4:$M$503,_calc!$E$178)))=0,"","Source: "&amp;IF(LEN(INDEX('Inspections'!$M$4:$M$503,_calc!$E$178))=0,"",INDEX('Inspections'!$M$4:$M$503,_calc!$E$178))&amp;". ")&amp;IF(LEN(IF(LEN(INDEX('Inspections'!$N$4:$N$503,_calc!$E$178))=0,"",INDEX('Inspections'!$N$4:$N$503,_calc!$E$178)))=0,"","Owner: "&amp;IF(LEN(INDEX('Inspections'!$N$4:$N$503,_calc!$E$178))=0,"",INDEX('Inspections'!$N$4:$N$503,_calc!$E$178))&amp;". ")&amp;IF(LEN(IF(LEN(INDEX('Inspections'!$O$4:$O$503,_calc!$E$178))=0,"",INDEX('Inspections'!$O$4:$O$503,_calc!$E$178)))=0,"","Backup: "&amp;IF(LEN(INDEX('Inspections'!$O$4:$O$503,_calc!$E$178))=0,"",INDEX('Inspections'!$O$4:$O$503,_calc!$E$178))&amp;". ")&amp;IF(LEN(IF(LEN(INDEX('Inspections'!$R$4:$R$503,_calc!$E$178))=0,"",INDEX('Inspections'!$R$4:$R$503,_calc!$E$178)))=0,"",IF(LEN(INDEX('Inspections'!$R$4:$R$503,_calc!$E$178))=0,"",INDEX('Inspections'!$R$4:$R$503,_calc!$E$178)))))</f>
        <v/>
      </c>
      <c r="G176" s="55">
        <f>IF(_calc!$E$178="","",IF(LEN(INDEX('Inspections'!$Q$4:$Q$503,_calc!$E$178))=0,"",INDEX('Inspections'!$Q$4:$Q$503,_calc!$E$178)))</f>
        <v/>
      </c>
      <c r="K176" s="55">
        <f>IF(_calc!$E$178="","",IF(LEN(INDEX('Inspections'!$P$4:$P$503,_calc!$E$178))=0,"",INDEX('Inspections'!$P$4:$P$503,_calc!$E$178)))</f>
        <v/>
      </c>
    </row>
    <row r="177">
      <c r="A177" s="55">
        <f>IF(_calc!$E$179="","",IF(LEN(INDEX('Inspections'!$C$4:$C$503,_calc!$E$179))=0,"",INDEX('Inspections'!$C$4:$C$503,_calc!$E$179))&amp;" – "&amp;IF(LEN(INDEX('Inspections'!$A$4:$A$503,_calc!$E$179))=0,"",INDEX('Inspections'!$A$4:$A$503,_calc!$E$179)))</f>
        <v/>
      </c>
      <c r="B177" s="55">
        <f>IF(_calc!$E$179="","",IF(ISNUMBER(INDEX('Inspections'!$H$4:$H$503,_calc!$E$179)),TEXT(INDEX('Inspections'!$H$4:$H$503,_calc!$E$179),"yyyy-mm-dd"),""))</f>
        <v/>
      </c>
      <c r="C177" s="55">
        <f>IF(_calc!$E$179="","","Inspection")</f>
        <v/>
      </c>
      <c r="D177" s="55">
        <f>IF(_calc!$E$179="","",IF(ISNUMBER(INDEX('Inspections'!$G$4:$G$503,_calc!$E$179)),TEXT(INDEX('Inspections'!$G$4:$G$503,_calc!$E$179),"yyyy-mm-dd"),""))</f>
        <v/>
      </c>
      <c r="F177" s="55">
        <f>IF(_calc!$E$179="","",TRIM(IF(LEN(IF(LEN(INDEX('Inspections'!$B$4:$B$503,_calc!$E$179))=0,"",INDEX('Inspections'!$B$4:$B$503,_calc!$E$179)))=0,"","System: "&amp;IF(LEN(INDEX('Inspections'!$B$4:$B$503,_calc!$E$179))=0,"",INDEX('Inspections'!$B$4:$B$503,_calc!$E$179))&amp;". ")&amp;IF(LEN(IF(LEN(INDEX('Inspections'!$D$4:$D$503,_calc!$E$179))=0,"",INDEX('Inspections'!$D$4:$D$503,_calc!$E$179)))=0,"","Every: "&amp;IF(LEN(INDEX('Inspections'!$D$4:$D$503,_calc!$E$179))=0,"",INDEX('Inspections'!$D$4:$D$503,_calc!$E$179))&amp;". ")&amp;IF(LEN(IF(LEN(INDEX('Inspections'!$E$4:$E$503,_calc!$E$179))=0,"",INDEX('Inspections'!$E$4:$E$503,_calc!$E$179)))=0,"","Unit: "&amp;IF(LEN(INDEX('Inspections'!$E$4:$E$503,_calc!$E$179))=0,"",INDEX('Inspections'!$E$4:$E$503,_calc!$E$179))&amp;". ")&amp;IF(LEN(IF(LEN(INDEX('Inspections'!$F$4:$F$503,_calc!$E$179))=0,"",INDEX('Inspections'!$F$4:$F$503,_calc!$E$179)))=0,"","Done by: "&amp;IF(LEN(INDEX('Inspections'!$F$4:$F$503,_calc!$E$179))=0,"",INDEX('Inspections'!$F$4:$F$503,_calc!$E$179))&amp;". ")&amp;IF(LEN(IF(LEN(INDEX('Inspections'!$M$4:$M$503,_calc!$E$179))=0,"",INDEX('Inspections'!$M$4:$M$503,_calc!$E$179)))=0,"","Source: "&amp;IF(LEN(INDEX('Inspections'!$M$4:$M$503,_calc!$E$179))=0,"",INDEX('Inspections'!$M$4:$M$503,_calc!$E$179))&amp;". ")&amp;IF(LEN(IF(LEN(INDEX('Inspections'!$N$4:$N$503,_calc!$E$179))=0,"",INDEX('Inspections'!$N$4:$N$503,_calc!$E$179)))=0,"","Owner: "&amp;IF(LEN(INDEX('Inspections'!$N$4:$N$503,_calc!$E$179))=0,"",INDEX('Inspections'!$N$4:$N$503,_calc!$E$179))&amp;". ")&amp;IF(LEN(IF(LEN(INDEX('Inspections'!$O$4:$O$503,_calc!$E$179))=0,"",INDEX('Inspections'!$O$4:$O$503,_calc!$E$179)))=0,"","Backup: "&amp;IF(LEN(INDEX('Inspections'!$O$4:$O$503,_calc!$E$179))=0,"",INDEX('Inspections'!$O$4:$O$503,_calc!$E$179))&amp;". ")&amp;IF(LEN(IF(LEN(INDEX('Inspections'!$R$4:$R$503,_calc!$E$179))=0,"",INDEX('Inspections'!$R$4:$R$503,_calc!$E$179)))=0,"",IF(LEN(INDEX('Inspections'!$R$4:$R$503,_calc!$E$179))=0,"",INDEX('Inspections'!$R$4:$R$503,_calc!$E$179)))))</f>
        <v/>
      </c>
      <c r="G177" s="55">
        <f>IF(_calc!$E$179="","",IF(LEN(INDEX('Inspections'!$Q$4:$Q$503,_calc!$E$179))=0,"",INDEX('Inspections'!$Q$4:$Q$503,_calc!$E$179)))</f>
        <v/>
      </c>
      <c r="K177" s="55">
        <f>IF(_calc!$E$179="","",IF(LEN(INDEX('Inspections'!$P$4:$P$503,_calc!$E$179))=0,"",INDEX('Inspections'!$P$4:$P$503,_calc!$E$179)))</f>
        <v/>
      </c>
    </row>
    <row r="178">
      <c r="A178" s="55">
        <f>IF(_calc!$E$180="","",IF(LEN(INDEX('Inspections'!$C$4:$C$503,_calc!$E$180))=0,"",INDEX('Inspections'!$C$4:$C$503,_calc!$E$180))&amp;" – "&amp;IF(LEN(INDEX('Inspections'!$A$4:$A$503,_calc!$E$180))=0,"",INDEX('Inspections'!$A$4:$A$503,_calc!$E$180)))</f>
        <v/>
      </c>
      <c r="B178" s="55">
        <f>IF(_calc!$E$180="","",IF(ISNUMBER(INDEX('Inspections'!$H$4:$H$503,_calc!$E$180)),TEXT(INDEX('Inspections'!$H$4:$H$503,_calc!$E$180),"yyyy-mm-dd"),""))</f>
        <v/>
      </c>
      <c r="C178" s="55">
        <f>IF(_calc!$E$180="","","Inspection")</f>
        <v/>
      </c>
      <c r="D178" s="55">
        <f>IF(_calc!$E$180="","",IF(ISNUMBER(INDEX('Inspections'!$G$4:$G$503,_calc!$E$180)),TEXT(INDEX('Inspections'!$G$4:$G$503,_calc!$E$180),"yyyy-mm-dd"),""))</f>
        <v/>
      </c>
      <c r="F178" s="55">
        <f>IF(_calc!$E$180="","",TRIM(IF(LEN(IF(LEN(INDEX('Inspections'!$B$4:$B$503,_calc!$E$180))=0,"",INDEX('Inspections'!$B$4:$B$503,_calc!$E$180)))=0,"","System: "&amp;IF(LEN(INDEX('Inspections'!$B$4:$B$503,_calc!$E$180))=0,"",INDEX('Inspections'!$B$4:$B$503,_calc!$E$180))&amp;". ")&amp;IF(LEN(IF(LEN(INDEX('Inspections'!$D$4:$D$503,_calc!$E$180))=0,"",INDEX('Inspections'!$D$4:$D$503,_calc!$E$180)))=0,"","Every: "&amp;IF(LEN(INDEX('Inspections'!$D$4:$D$503,_calc!$E$180))=0,"",INDEX('Inspections'!$D$4:$D$503,_calc!$E$180))&amp;". ")&amp;IF(LEN(IF(LEN(INDEX('Inspections'!$E$4:$E$503,_calc!$E$180))=0,"",INDEX('Inspections'!$E$4:$E$503,_calc!$E$180)))=0,"","Unit: "&amp;IF(LEN(INDEX('Inspections'!$E$4:$E$503,_calc!$E$180))=0,"",INDEX('Inspections'!$E$4:$E$503,_calc!$E$180))&amp;". ")&amp;IF(LEN(IF(LEN(INDEX('Inspections'!$F$4:$F$503,_calc!$E$180))=0,"",INDEX('Inspections'!$F$4:$F$503,_calc!$E$180)))=0,"","Done by: "&amp;IF(LEN(INDEX('Inspections'!$F$4:$F$503,_calc!$E$180))=0,"",INDEX('Inspections'!$F$4:$F$503,_calc!$E$180))&amp;". ")&amp;IF(LEN(IF(LEN(INDEX('Inspections'!$M$4:$M$503,_calc!$E$180))=0,"",INDEX('Inspections'!$M$4:$M$503,_calc!$E$180)))=0,"","Source: "&amp;IF(LEN(INDEX('Inspections'!$M$4:$M$503,_calc!$E$180))=0,"",INDEX('Inspections'!$M$4:$M$503,_calc!$E$180))&amp;". ")&amp;IF(LEN(IF(LEN(INDEX('Inspections'!$N$4:$N$503,_calc!$E$180))=0,"",INDEX('Inspections'!$N$4:$N$503,_calc!$E$180)))=0,"","Owner: "&amp;IF(LEN(INDEX('Inspections'!$N$4:$N$503,_calc!$E$180))=0,"",INDEX('Inspections'!$N$4:$N$503,_calc!$E$180))&amp;". ")&amp;IF(LEN(IF(LEN(INDEX('Inspections'!$O$4:$O$503,_calc!$E$180))=0,"",INDEX('Inspections'!$O$4:$O$503,_calc!$E$180)))=0,"","Backup: "&amp;IF(LEN(INDEX('Inspections'!$O$4:$O$503,_calc!$E$180))=0,"",INDEX('Inspections'!$O$4:$O$503,_calc!$E$180))&amp;". ")&amp;IF(LEN(IF(LEN(INDEX('Inspections'!$R$4:$R$503,_calc!$E$180))=0,"",INDEX('Inspections'!$R$4:$R$503,_calc!$E$180)))=0,"",IF(LEN(INDEX('Inspections'!$R$4:$R$503,_calc!$E$180))=0,"",INDEX('Inspections'!$R$4:$R$503,_calc!$E$180)))))</f>
        <v/>
      </c>
      <c r="G178" s="55">
        <f>IF(_calc!$E$180="","",IF(LEN(INDEX('Inspections'!$Q$4:$Q$503,_calc!$E$180))=0,"",INDEX('Inspections'!$Q$4:$Q$503,_calc!$E$180)))</f>
        <v/>
      </c>
      <c r="K178" s="55">
        <f>IF(_calc!$E$180="","",IF(LEN(INDEX('Inspections'!$P$4:$P$503,_calc!$E$180))=0,"",INDEX('Inspections'!$P$4:$P$503,_calc!$E$180)))</f>
        <v/>
      </c>
    </row>
    <row r="179">
      <c r="A179" s="55">
        <f>IF(_calc!$E$181="","",IF(LEN(INDEX('Inspections'!$C$4:$C$503,_calc!$E$181))=0,"",INDEX('Inspections'!$C$4:$C$503,_calc!$E$181))&amp;" – "&amp;IF(LEN(INDEX('Inspections'!$A$4:$A$503,_calc!$E$181))=0,"",INDEX('Inspections'!$A$4:$A$503,_calc!$E$181)))</f>
        <v/>
      </c>
      <c r="B179" s="55">
        <f>IF(_calc!$E$181="","",IF(ISNUMBER(INDEX('Inspections'!$H$4:$H$503,_calc!$E$181)),TEXT(INDEX('Inspections'!$H$4:$H$503,_calc!$E$181),"yyyy-mm-dd"),""))</f>
        <v/>
      </c>
      <c r="C179" s="55">
        <f>IF(_calc!$E$181="","","Inspection")</f>
        <v/>
      </c>
      <c r="D179" s="55">
        <f>IF(_calc!$E$181="","",IF(ISNUMBER(INDEX('Inspections'!$G$4:$G$503,_calc!$E$181)),TEXT(INDEX('Inspections'!$G$4:$G$503,_calc!$E$181),"yyyy-mm-dd"),""))</f>
        <v/>
      </c>
      <c r="F179" s="55">
        <f>IF(_calc!$E$181="","",TRIM(IF(LEN(IF(LEN(INDEX('Inspections'!$B$4:$B$503,_calc!$E$181))=0,"",INDEX('Inspections'!$B$4:$B$503,_calc!$E$181)))=0,"","System: "&amp;IF(LEN(INDEX('Inspections'!$B$4:$B$503,_calc!$E$181))=0,"",INDEX('Inspections'!$B$4:$B$503,_calc!$E$181))&amp;". ")&amp;IF(LEN(IF(LEN(INDEX('Inspections'!$D$4:$D$503,_calc!$E$181))=0,"",INDEX('Inspections'!$D$4:$D$503,_calc!$E$181)))=0,"","Every: "&amp;IF(LEN(INDEX('Inspections'!$D$4:$D$503,_calc!$E$181))=0,"",INDEX('Inspections'!$D$4:$D$503,_calc!$E$181))&amp;". ")&amp;IF(LEN(IF(LEN(INDEX('Inspections'!$E$4:$E$503,_calc!$E$181))=0,"",INDEX('Inspections'!$E$4:$E$503,_calc!$E$181)))=0,"","Unit: "&amp;IF(LEN(INDEX('Inspections'!$E$4:$E$503,_calc!$E$181))=0,"",INDEX('Inspections'!$E$4:$E$503,_calc!$E$181))&amp;". ")&amp;IF(LEN(IF(LEN(INDEX('Inspections'!$F$4:$F$503,_calc!$E$181))=0,"",INDEX('Inspections'!$F$4:$F$503,_calc!$E$181)))=0,"","Done by: "&amp;IF(LEN(INDEX('Inspections'!$F$4:$F$503,_calc!$E$181))=0,"",INDEX('Inspections'!$F$4:$F$503,_calc!$E$181))&amp;". ")&amp;IF(LEN(IF(LEN(INDEX('Inspections'!$M$4:$M$503,_calc!$E$181))=0,"",INDEX('Inspections'!$M$4:$M$503,_calc!$E$181)))=0,"","Source: "&amp;IF(LEN(INDEX('Inspections'!$M$4:$M$503,_calc!$E$181))=0,"",INDEX('Inspections'!$M$4:$M$503,_calc!$E$181))&amp;". ")&amp;IF(LEN(IF(LEN(INDEX('Inspections'!$N$4:$N$503,_calc!$E$181))=0,"",INDEX('Inspections'!$N$4:$N$503,_calc!$E$181)))=0,"","Owner: "&amp;IF(LEN(INDEX('Inspections'!$N$4:$N$503,_calc!$E$181))=0,"",INDEX('Inspections'!$N$4:$N$503,_calc!$E$181))&amp;". ")&amp;IF(LEN(IF(LEN(INDEX('Inspections'!$O$4:$O$503,_calc!$E$181))=0,"",INDEX('Inspections'!$O$4:$O$503,_calc!$E$181)))=0,"","Backup: "&amp;IF(LEN(INDEX('Inspections'!$O$4:$O$503,_calc!$E$181))=0,"",INDEX('Inspections'!$O$4:$O$503,_calc!$E$181))&amp;". ")&amp;IF(LEN(IF(LEN(INDEX('Inspections'!$R$4:$R$503,_calc!$E$181))=0,"",INDEX('Inspections'!$R$4:$R$503,_calc!$E$181)))=0,"",IF(LEN(INDEX('Inspections'!$R$4:$R$503,_calc!$E$181))=0,"",INDEX('Inspections'!$R$4:$R$503,_calc!$E$181)))))</f>
        <v/>
      </c>
      <c r="G179" s="55">
        <f>IF(_calc!$E$181="","",IF(LEN(INDEX('Inspections'!$Q$4:$Q$503,_calc!$E$181))=0,"",INDEX('Inspections'!$Q$4:$Q$503,_calc!$E$181)))</f>
        <v/>
      </c>
      <c r="K179" s="55">
        <f>IF(_calc!$E$181="","",IF(LEN(INDEX('Inspections'!$P$4:$P$503,_calc!$E$181))=0,"",INDEX('Inspections'!$P$4:$P$503,_calc!$E$181)))</f>
        <v/>
      </c>
    </row>
    <row r="180">
      <c r="A180" s="55">
        <f>IF(_calc!$E$182="","",IF(LEN(INDEX('Inspections'!$C$4:$C$503,_calc!$E$182))=0,"",INDEX('Inspections'!$C$4:$C$503,_calc!$E$182))&amp;" – "&amp;IF(LEN(INDEX('Inspections'!$A$4:$A$503,_calc!$E$182))=0,"",INDEX('Inspections'!$A$4:$A$503,_calc!$E$182)))</f>
        <v/>
      </c>
      <c r="B180" s="55">
        <f>IF(_calc!$E$182="","",IF(ISNUMBER(INDEX('Inspections'!$H$4:$H$503,_calc!$E$182)),TEXT(INDEX('Inspections'!$H$4:$H$503,_calc!$E$182),"yyyy-mm-dd"),""))</f>
        <v/>
      </c>
      <c r="C180" s="55">
        <f>IF(_calc!$E$182="","","Inspection")</f>
        <v/>
      </c>
      <c r="D180" s="55">
        <f>IF(_calc!$E$182="","",IF(ISNUMBER(INDEX('Inspections'!$G$4:$G$503,_calc!$E$182)),TEXT(INDEX('Inspections'!$G$4:$G$503,_calc!$E$182),"yyyy-mm-dd"),""))</f>
        <v/>
      </c>
      <c r="F180" s="55">
        <f>IF(_calc!$E$182="","",TRIM(IF(LEN(IF(LEN(INDEX('Inspections'!$B$4:$B$503,_calc!$E$182))=0,"",INDEX('Inspections'!$B$4:$B$503,_calc!$E$182)))=0,"","System: "&amp;IF(LEN(INDEX('Inspections'!$B$4:$B$503,_calc!$E$182))=0,"",INDEX('Inspections'!$B$4:$B$503,_calc!$E$182))&amp;". ")&amp;IF(LEN(IF(LEN(INDEX('Inspections'!$D$4:$D$503,_calc!$E$182))=0,"",INDEX('Inspections'!$D$4:$D$503,_calc!$E$182)))=0,"","Every: "&amp;IF(LEN(INDEX('Inspections'!$D$4:$D$503,_calc!$E$182))=0,"",INDEX('Inspections'!$D$4:$D$503,_calc!$E$182))&amp;". ")&amp;IF(LEN(IF(LEN(INDEX('Inspections'!$E$4:$E$503,_calc!$E$182))=0,"",INDEX('Inspections'!$E$4:$E$503,_calc!$E$182)))=0,"","Unit: "&amp;IF(LEN(INDEX('Inspections'!$E$4:$E$503,_calc!$E$182))=0,"",INDEX('Inspections'!$E$4:$E$503,_calc!$E$182))&amp;". ")&amp;IF(LEN(IF(LEN(INDEX('Inspections'!$F$4:$F$503,_calc!$E$182))=0,"",INDEX('Inspections'!$F$4:$F$503,_calc!$E$182)))=0,"","Done by: "&amp;IF(LEN(INDEX('Inspections'!$F$4:$F$503,_calc!$E$182))=0,"",INDEX('Inspections'!$F$4:$F$503,_calc!$E$182))&amp;". ")&amp;IF(LEN(IF(LEN(INDEX('Inspections'!$M$4:$M$503,_calc!$E$182))=0,"",INDEX('Inspections'!$M$4:$M$503,_calc!$E$182)))=0,"","Source: "&amp;IF(LEN(INDEX('Inspections'!$M$4:$M$503,_calc!$E$182))=0,"",INDEX('Inspections'!$M$4:$M$503,_calc!$E$182))&amp;". ")&amp;IF(LEN(IF(LEN(INDEX('Inspections'!$N$4:$N$503,_calc!$E$182))=0,"",INDEX('Inspections'!$N$4:$N$503,_calc!$E$182)))=0,"","Owner: "&amp;IF(LEN(INDEX('Inspections'!$N$4:$N$503,_calc!$E$182))=0,"",INDEX('Inspections'!$N$4:$N$503,_calc!$E$182))&amp;". ")&amp;IF(LEN(IF(LEN(INDEX('Inspections'!$O$4:$O$503,_calc!$E$182))=0,"",INDEX('Inspections'!$O$4:$O$503,_calc!$E$182)))=0,"","Backup: "&amp;IF(LEN(INDEX('Inspections'!$O$4:$O$503,_calc!$E$182))=0,"",INDEX('Inspections'!$O$4:$O$503,_calc!$E$182))&amp;". ")&amp;IF(LEN(IF(LEN(INDEX('Inspections'!$R$4:$R$503,_calc!$E$182))=0,"",INDEX('Inspections'!$R$4:$R$503,_calc!$E$182)))=0,"",IF(LEN(INDEX('Inspections'!$R$4:$R$503,_calc!$E$182))=0,"",INDEX('Inspections'!$R$4:$R$503,_calc!$E$182)))))</f>
        <v/>
      </c>
      <c r="G180" s="55">
        <f>IF(_calc!$E$182="","",IF(LEN(INDEX('Inspections'!$Q$4:$Q$503,_calc!$E$182))=0,"",INDEX('Inspections'!$Q$4:$Q$503,_calc!$E$182)))</f>
        <v/>
      </c>
      <c r="K180" s="55">
        <f>IF(_calc!$E$182="","",IF(LEN(INDEX('Inspections'!$P$4:$P$503,_calc!$E$182))=0,"",INDEX('Inspections'!$P$4:$P$503,_calc!$E$182)))</f>
        <v/>
      </c>
    </row>
    <row r="181">
      <c r="A181" s="55">
        <f>IF(_calc!$E$183="","",IF(LEN(INDEX('Inspections'!$C$4:$C$503,_calc!$E$183))=0,"",INDEX('Inspections'!$C$4:$C$503,_calc!$E$183))&amp;" – "&amp;IF(LEN(INDEX('Inspections'!$A$4:$A$503,_calc!$E$183))=0,"",INDEX('Inspections'!$A$4:$A$503,_calc!$E$183)))</f>
        <v/>
      </c>
      <c r="B181" s="55">
        <f>IF(_calc!$E$183="","",IF(ISNUMBER(INDEX('Inspections'!$H$4:$H$503,_calc!$E$183)),TEXT(INDEX('Inspections'!$H$4:$H$503,_calc!$E$183),"yyyy-mm-dd"),""))</f>
        <v/>
      </c>
      <c r="C181" s="55">
        <f>IF(_calc!$E$183="","","Inspection")</f>
        <v/>
      </c>
      <c r="D181" s="55">
        <f>IF(_calc!$E$183="","",IF(ISNUMBER(INDEX('Inspections'!$G$4:$G$503,_calc!$E$183)),TEXT(INDEX('Inspections'!$G$4:$G$503,_calc!$E$183),"yyyy-mm-dd"),""))</f>
        <v/>
      </c>
      <c r="F181" s="55">
        <f>IF(_calc!$E$183="","",TRIM(IF(LEN(IF(LEN(INDEX('Inspections'!$B$4:$B$503,_calc!$E$183))=0,"",INDEX('Inspections'!$B$4:$B$503,_calc!$E$183)))=0,"","System: "&amp;IF(LEN(INDEX('Inspections'!$B$4:$B$503,_calc!$E$183))=0,"",INDEX('Inspections'!$B$4:$B$503,_calc!$E$183))&amp;". ")&amp;IF(LEN(IF(LEN(INDEX('Inspections'!$D$4:$D$503,_calc!$E$183))=0,"",INDEX('Inspections'!$D$4:$D$503,_calc!$E$183)))=0,"","Every: "&amp;IF(LEN(INDEX('Inspections'!$D$4:$D$503,_calc!$E$183))=0,"",INDEX('Inspections'!$D$4:$D$503,_calc!$E$183))&amp;". ")&amp;IF(LEN(IF(LEN(INDEX('Inspections'!$E$4:$E$503,_calc!$E$183))=0,"",INDEX('Inspections'!$E$4:$E$503,_calc!$E$183)))=0,"","Unit: "&amp;IF(LEN(INDEX('Inspections'!$E$4:$E$503,_calc!$E$183))=0,"",INDEX('Inspections'!$E$4:$E$503,_calc!$E$183))&amp;". ")&amp;IF(LEN(IF(LEN(INDEX('Inspections'!$F$4:$F$503,_calc!$E$183))=0,"",INDEX('Inspections'!$F$4:$F$503,_calc!$E$183)))=0,"","Done by: "&amp;IF(LEN(INDEX('Inspections'!$F$4:$F$503,_calc!$E$183))=0,"",INDEX('Inspections'!$F$4:$F$503,_calc!$E$183))&amp;". ")&amp;IF(LEN(IF(LEN(INDEX('Inspections'!$M$4:$M$503,_calc!$E$183))=0,"",INDEX('Inspections'!$M$4:$M$503,_calc!$E$183)))=0,"","Source: "&amp;IF(LEN(INDEX('Inspections'!$M$4:$M$503,_calc!$E$183))=0,"",INDEX('Inspections'!$M$4:$M$503,_calc!$E$183))&amp;". ")&amp;IF(LEN(IF(LEN(INDEX('Inspections'!$N$4:$N$503,_calc!$E$183))=0,"",INDEX('Inspections'!$N$4:$N$503,_calc!$E$183)))=0,"","Owner: "&amp;IF(LEN(INDEX('Inspections'!$N$4:$N$503,_calc!$E$183))=0,"",INDEX('Inspections'!$N$4:$N$503,_calc!$E$183))&amp;". ")&amp;IF(LEN(IF(LEN(INDEX('Inspections'!$O$4:$O$503,_calc!$E$183))=0,"",INDEX('Inspections'!$O$4:$O$503,_calc!$E$183)))=0,"","Backup: "&amp;IF(LEN(INDEX('Inspections'!$O$4:$O$503,_calc!$E$183))=0,"",INDEX('Inspections'!$O$4:$O$503,_calc!$E$183))&amp;". ")&amp;IF(LEN(IF(LEN(INDEX('Inspections'!$R$4:$R$503,_calc!$E$183))=0,"",INDEX('Inspections'!$R$4:$R$503,_calc!$E$183)))=0,"",IF(LEN(INDEX('Inspections'!$R$4:$R$503,_calc!$E$183))=0,"",INDEX('Inspections'!$R$4:$R$503,_calc!$E$183)))))</f>
        <v/>
      </c>
      <c r="G181" s="55">
        <f>IF(_calc!$E$183="","",IF(LEN(INDEX('Inspections'!$Q$4:$Q$503,_calc!$E$183))=0,"",INDEX('Inspections'!$Q$4:$Q$503,_calc!$E$183)))</f>
        <v/>
      </c>
      <c r="K181" s="55">
        <f>IF(_calc!$E$183="","",IF(LEN(INDEX('Inspections'!$P$4:$P$503,_calc!$E$183))=0,"",INDEX('Inspections'!$P$4:$P$503,_calc!$E$183)))</f>
        <v/>
      </c>
    </row>
    <row r="182">
      <c r="A182" s="55">
        <f>IF(_calc!$E$184="","",IF(LEN(INDEX('Inspections'!$C$4:$C$503,_calc!$E$184))=0,"",INDEX('Inspections'!$C$4:$C$503,_calc!$E$184))&amp;" – "&amp;IF(LEN(INDEX('Inspections'!$A$4:$A$503,_calc!$E$184))=0,"",INDEX('Inspections'!$A$4:$A$503,_calc!$E$184)))</f>
        <v/>
      </c>
      <c r="B182" s="55">
        <f>IF(_calc!$E$184="","",IF(ISNUMBER(INDEX('Inspections'!$H$4:$H$503,_calc!$E$184)),TEXT(INDEX('Inspections'!$H$4:$H$503,_calc!$E$184),"yyyy-mm-dd"),""))</f>
        <v/>
      </c>
      <c r="C182" s="55">
        <f>IF(_calc!$E$184="","","Inspection")</f>
        <v/>
      </c>
      <c r="D182" s="55">
        <f>IF(_calc!$E$184="","",IF(ISNUMBER(INDEX('Inspections'!$G$4:$G$503,_calc!$E$184)),TEXT(INDEX('Inspections'!$G$4:$G$503,_calc!$E$184),"yyyy-mm-dd"),""))</f>
        <v/>
      </c>
      <c r="F182" s="55">
        <f>IF(_calc!$E$184="","",TRIM(IF(LEN(IF(LEN(INDEX('Inspections'!$B$4:$B$503,_calc!$E$184))=0,"",INDEX('Inspections'!$B$4:$B$503,_calc!$E$184)))=0,"","System: "&amp;IF(LEN(INDEX('Inspections'!$B$4:$B$503,_calc!$E$184))=0,"",INDEX('Inspections'!$B$4:$B$503,_calc!$E$184))&amp;". ")&amp;IF(LEN(IF(LEN(INDEX('Inspections'!$D$4:$D$503,_calc!$E$184))=0,"",INDEX('Inspections'!$D$4:$D$503,_calc!$E$184)))=0,"","Every: "&amp;IF(LEN(INDEX('Inspections'!$D$4:$D$503,_calc!$E$184))=0,"",INDEX('Inspections'!$D$4:$D$503,_calc!$E$184))&amp;". ")&amp;IF(LEN(IF(LEN(INDEX('Inspections'!$E$4:$E$503,_calc!$E$184))=0,"",INDEX('Inspections'!$E$4:$E$503,_calc!$E$184)))=0,"","Unit: "&amp;IF(LEN(INDEX('Inspections'!$E$4:$E$503,_calc!$E$184))=0,"",INDEX('Inspections'!$E$4:$E$503,_calc!$E$184))&amp;". ")&amp;IF(LEN(IF(LEN(INDEX('Inspections'!$F$4:$F$503,_calc!$E$184))=0,"",INDEX('Inspections'!$F$4:$F$503,_calc!$E$184)))=0,"","Done by: "&amp;IF(LEN(INDEX('Inspections'!$F$4:$F$503,_calc!$E$184))=0,"",INDEX('Inspections'!$F$4:$F$503,_calc!$E$184))&amp;". ")&amp;IF(LEN(IF(LEN(INDEX('Inspections'!$M$4:$M$503,_calc!$E$184))=0,"",INDEX('Inspections'!$M$4:$M$503,_calc!$E$184)))=0,"","Source: "&amp;IF(LEN(INDEX('Inspections'!$M$4:$M$503,_calc!$E$184))=0,"",INDEX('Inspections'!$M$4:$M$503,_calc!$E$184))&amp;". ")&amp;IF(LEN(IF(LEN(INDEX('Inspections'!$N$4:$N$503,_calc!$E$184))=0,"",INDEX('Inspections'!$N$4:$N$503,_calc!$E$184)))=0,"","Owner: "&amp;IF(LEN(INDEX('Inspections'!$N$4:$N$503,_calc!$E$184))=0,"",INDEX('Inspections'!$N$4:$N$503,_calc!$E$184))&amp;". ")&amp;IF(LEN(IF(LEN(INDEX('Inspections'!$O$4:$O$503,_calc!$E$184))=0,"",INDEX('Inspections'!$O$4:$O$503,_calc!$E$184)))=0,"","Backup: "&amp;IF(LEN(INDEX('Inspections'!$O$4:$O$503,_calc!$E$184))=0,"",INDEX('Inspections'!$O$4:$O$503,_calc!$E$184))&amp;". ")&amp;IF(LEN(IF(LEN(INDEX('Inspections'!$R$4:$R$503,_calc!$E$184))=0,"",INDEX('Inspections'!$R$4:$R$503,_calc!$E$184)))=0,"",IF(LEN(INDEX('Inspections'!$R$4:$R$503,_calc!$E$184))=0,"",INDEX('Inspections'!$R$4:$R$503,_calc!$E$184)))))</f>
        <v/>
      </c>
      <c r="G182" s="55">
        <f>IF(_calc!$E$184="","",IF(LEN(INDEX('Inspections'!$Q$4:$Q$503,_calc!$E$184))=0,"",INDEX('Inspections'!$Q$4:$Q$503,_calc!$E$184)))</f>
        <v/>
      </c>
      <c r="K182" s="55">
        <f>IF(_calc!$E$184="","",IF(LEN(INDEX('Inspections'!$P$4:$P$503,_calc!$E$184))=0,"",INDEX('Inspections'!$P$4:$P$503,_calc!$E$184)))</f>
        <v/>
      </c>
    </row>
    <row r="183">
      <c r="A183" s="55">
        <f>IF(_calc!$E$185="","",IF(LEN(INDEX('Inspections'!$C$4:$C$503,_calc!$E$185))=0,"",INDEX('Inspections'!$C$4:$C$503,_calc!$E$185))&amp;" – "&amp;IF(LEN(INDEX('Inspections'!$A$4:$A$503,_calc!$E$185))=0,"",INDEX('Inspections'!$A$4:$A$503,_calc!$E$185)))</f>
        <v/>
      </c>
      <c r="B183" s="55">
        <f>IF(_calc!$E$185="","",IF(ISNUMBER(INDEX('Inspections'!$H$4:$H$503,_calc!$E$185)),TEXT(INDEX('Inspections'!$H$4:$H$503,_calc!$E$185),"yyyy-mm-dd"),""))</f>
        <v/>
      </c>
      <c r="C183" s="55">
        <f>IF(_calc!$E$185="","","Inspection")</f>
        <v/>
      </c>
      <c r="D183" s="55">
        <f>IF(_calc!$E$185="","",IF(ISNUMBER(INDEX('Inspections'!$G$4:$G$503,_calc!$E$185)),TEXT(INDEX('Inspections'!$G$4:$G$503,_calc!$E$185),"yyyy-mm-dd"),""))</f>
        <v/>
      </c>
      <c r="F183" s="55">
        <f>IF(_calc!$E$185="","",TRIM(IF(LEN(IF(LEN(INDEX('Inspections'!$B$4:$B$503,_calc!$E$185))=0,"",INDEX('Inspections'!$B$4:$B$503,_calc!$E$185)))=0,"","System: "&amp;IF(LEN(INDEX('Inspections'!$B$4:$B$503,_calc!$E$185))=0,"",INDEX('Inspections'!$B$4:$B$503,_calc!$E$185))&amp;". ")&amp;IF(LEN(IF(LEN(INDEX('Inspections'!$D$4:$D$503,_calc!$E$185))=0,"",INDEX('Inspections'!$D$4:$D$503,_calc!$E$185)))=0,"","Every: "&amp;IF(LEN(INDEX('Inspections'!$D$4:$D$503,_calc!$E$185))=0,"",INDEX('Inspections'!$D$4:$D$503,_calc!$E$185))&amp;". ")&amp;IF(LEN(IF(LEN(INDEX('Inspections'!$E$4:$E$503,_calc!$E$185))=0,"",INDEX('Inspections'!$E$4:$E$503,_calc!$E$185)))=0,"","Unit: "&amp;IF(LEN(INDEX('Inspections'!$E$4:$E$503,_calc!$E$185))=0,"",INDEX('Inspections'!$E$4:$E$503,_calc!$E$185))&amp;". ")&amp;IF(LEN(IF(LEN(INDEX('Inspections'!$F$4:$F$503,_calc!$E$185))=0,"",INDEX('Inspections'!$F$4:$F$503,_calc!$E$185)))=0,"","Done by: "&amp;IF(LEN(INDEX('Inspections'!$F$4:$F$503,_calc!$E$185))=0,"",INDEX('Inspections'!$F$4:$F$503,_calc!$E$185))&amp;". ")&amp;IF(LEN(IF(LEN(INDEX('Inspections'!$M$4:$M$503,_calc!$E$185))=0,"",INDEX('Inspections'!$M$4:$M$503,_calc!$E$185)))=0,"","Source: "&amp;IF(LEN(INDEX('Inspections'!$M$4:$M$503,_calc!$E$185))=0,"",INDEX('Inspections'!$M$4:$M$503,_calc!$E$185))&amp;". ")&amp;IF(LEN(IF(LEN(INDEX('Inspections'!$N$4:$N$503,_calc!$E$185))=0,"",INDEX('Inspections'!$N$4:$N$503,_calc!$E$185)))=0,"","Owner: "&amp;IF(LEN(INDEX('Inspections'!$N$4:$N$503,_calc!$E$185))=0,"",INDEX('Inspections'!$N$4:$N$503,_calc!$E$185))&amp;". ")&amp;IF(LEN(IF(LEN(INDEX('Inspections'!$O$4:$O$503,_calc!$E$185))=0,"",INDEX('Inspections'!$O$4:$O$503,_calc!$E$185)))=0,"","Backup: "&amp;IF(LEN(INDEX('Inspections'!$O$4:$O$503,_calc!$E$185))=0,"",INDEX('Inspections'!$O$4:$O$503,_calc!$E$185))&amp;". ")&amp;IF(LEN(IF(LEN(INDEX('Inspections'!$R$4:$R$503,_calc!$E$185))=0,"",INDEX('Inspections'!$R$4:$R$503,_calc!$E$185)))=0,"",IF(LEN(INDEX('Inspections'!$R$4:$R$503,_calc!$E$185))=0,"",INDEX('Inspections'!$R$4:$R$503,_calc!$E$185)))))</f>
        <v/>
      </c>
      <c r="G183" s="55">
        <f>IF(_calc!$E$185="","",IF(LEN(INDEX('Inspections'!$Q$4:$Q$503,_calc!$E$185))=0,"",INDEX('Inspections'!$Q$4:$Q$503,_calc!$E$185)))</f>
        <v/>
      </c>
      <c r="K183" s="55">
        <f>IF(_calc!$E$185="","",IF(LEN(INDEX('Inspections'!$P$4:$P$503,_calc!$E$185))=0,"",INDEX('Inspections'!$P$4:$P$503,_calc!$E$185)))</f>
        <v/>
      </c>
    </row>
    <row r="184">
      <c r="A184" s="55">
        <f>IF(_calc!$E$186="","",IF(LEN(INDEX('Inspections'!$C$4:$C$503,_calc!$E$186))=0,"",INDEX('Inspections'!$C$4:$C$503,_calc!$E$186))&amp;" – "&amp;IF(LEN(INDEX('Inspections'!$A$4:$A$503,_calc!$E$186))=0,"",INDEX('Inspections'!$A$4:$A$503,_calc!$E$186)))</f>
        <v/>
      </c>
      <c r="B184" s="55">
        <f>IF(_calc!$E$186="","",IF(ISNUMBER(INDEX('Inspections'!$H$4:$H$503,_calc!$E$186)),TEXT(INDEX('Inspections'!$H$4:$H$503,_calc!$E$186),"yyyy-mm-dd"),""))</f>
        <v/>
      </c>
      <c r="C184" s="55">
        <f>IF(_calc!$E$186="","","Inspection")</f>
        <v/>
      </c>
      <c r="D184" s="55">
        <f>IF(_calc!$E$186="","",IF(ISNUMBER(INDEX('Inspections'!$G$4:$G$503,_calc!$E$186)),TEXT(INDEX('Inspections'!$G$4:$G$503,_calc!$E$186),"yyyy-mm-dd"),""))</f>
        <v/>
      </c>
      <c r="F184" s="55">
        <f>IF(_calc!$E$186="","",TRIM(IF(LEN(IF(LEN(INDEX('Inspections'!$B$4:$B$503,_calc!$E$186))=0,"",INDEX('Inspections'!$B$4:$B$503,_calc!$E$186)))=0,"","System: "&amp;IF(LEN(INDEX('Inspections'!$B$4:$B$503,_calc!$E$186))=0,"",INDEX('Inspections'!$B$4:$B$503,_calc!$E$186))&amp;". ")&amp;IF(LEN(IF(LEN(INDEX('Inspections'!$D$4:$D$503,_calc!$E$186))=0,"",INDEX('Inspections'!$D$4:$D$503,_calc!$E$186)))=0,"","Every: "&amp;IF(LEN(INDEX('Inspections'!$D$4:$D$503,_calc!$E$186))=0,"",INDEX('Inspections'!$D$4:$D$503,_calc!$E$186))&amp;". ")&amp;IF(LEN(IF(LEN(INDEX('Inspections'!$E$4:$E$503,_calc!$E$186))=0,"",INDEX('Inspections'!$E$4:$E$503,_calc!$E$186)))=0,"","Unit: "&amp;IF(LEN(INDEX('Inspections'!$E$4:$E$503,_calc!$E$186))=0,"",INDEX('Inspections'!$E$4:$E$503,_calc!$E$186))&amp;". ")&amp;IF(LEN(IF(LEN(INDEX('Inspections'!$F$4:$F$503,_calc!$E$186))=0,"",INDEX('Inspections'!$F$4:$F$503,_calc!$E$186)))=0,"","Done by: "&amp;IF(LEN(INDEX('Inspections'!$F$4:$F$503,_calc!$E$186))=0,"",INDEX('Inspections'!$F$4:$F$503,_calc!$E$186))&amp;". ")&amp;IF(LEN(IF(LEN(INDEX('Inspections'!$M$4:$M$503,_calc!$E$186))=0,"",INDEX('Inspections'!$M$4:$M$503,_calc!$E$186)))=0,"","Source: "&amp;IF(LEN(INDEX('Inspections'!$M$4:$M$503,_calc!$E$186))=0,"",INDEX('Inspections'!$M$4:$M$503,_calc!$E$186))&amp;". ")&amp;IF(LEN(IF(LEN(INDEX('Inspections'!$N$4:$N$503,_calc!$E$186))=0,"",INDEX('Inspections'!$N$4:$N$503,_calc!$E$186)))=0,"","Owner: "&amp;IF(LEN(INDEX('Inspections'!$N$4:$N$503,_calc!$E$186))=0,"",INDEX('Inspections'!$N$4:$N$503,_calc!$E$186))&amp;". ")&amp;IF(LEN(IF(LEN(INDEX('Inspections'!$O$4:$O$503,_calc!$E$186))=0,"",INDEX('Inspections'!$O$4:$O$503,_calc!$E$186)))=0,"","Backup: "&amp;IF(LEN(INDEX('Inspections'!$O$4:$O$503,_calc!$E$186))=0,"",INDEX('Inspections'!$O$4:$O$503,_calc!$E$186))&amp;". ")&amp;IF(LEN(IF(LEN(INDEX('Inspections'!$R$4:$R$503,_calc!$E$186))=0,"",INDEX('Inspections'!$R$4:$R$503,_calc!$E$186)))=0,"",IF(LEN(INDEX('Inspections'!$R$4:$R$503,_calc!$E$186))=0,"",INDEX('Inspections'!$R$4:$R$503,_calc!$E$186)))))</f>
        <v/>
      </c>
      <c r="G184" s="55">
        <f>IF(_calc!$E$186="","",IF(LEN(INDEX('Inspections'!$Q$4:$Q$503,_calc!$E$186))=0,"",INDEX('Inspections'!$Q$4:$Q$503,_calc!$E$186)))</f>
        <v/>
      </c>
      <c r="K184" s="55">
        <f>IF(_calc!$E$186="","",IF(LEN(INDEX('Inspections'!$P$4:$P$503,_calc!$E$186))=0,"",INDEX('Inspections'!$P$4:$P$503,_calc!$E$186)))</f>
        <v/>
      </c>
    </row>
    <row r="185">
      <c r="A185" s="55">
        <f>IF(_calc!$E$187="","",IF(LEN(INDEX('Inspections'!$C$4:$C$503,_calc!$E$187))=0,"",INDEX('Inspections'!$C$4:$C$503,_calc!$E$187))&amp;" – "&amp;IF(LEN(INDEX('Inspections'!$A$4:$A$503,_calc!$E$187))=0,"",INDEX('Inspections'!$A$4:$A$503,_calc!$E$187)))</f>
        <v/>
      </c>
      <c r="B185" s="55">
        <f>IF(_calc!$E$187="","",IF(ISNUMBER(INDEX('Inspections'!$H$4:$H$503,_calc!$E$187)),TEXT(INDEX('Inspections'!$H$4:$H$503,_calc!$E$187),"yyyy-mm-dd"),""))</f>
        <v/>
      </c>
      <c r="C185" s="55">
        <f>IF(_calc!$E$187="","","Inspection")</f>
        <v/>
      </c>
      <c r="D185" s="55">
        <f>IF(_calc!$E$187="","",IF(ISNUMBER(INDEX('Inspections'!$G$4:$G$503,_calc!$E$187)),TEXT(INDEX('Inspections'!$G$4:$G$503,_calc!$E$187),"yyyy-mm-dd"),""))</f>
        <v/>
      </c>
      <c r="F185" s="55">
        <f>IF(_calc!$E$187="","",TRIM(IF(LEN(IF(LEN(INDEX('Inspections'!$B$4:$B$503,_calc!$E$187))=0,"",INDEX('Inspections'!$B$4:$B$503,_calc!$E$187)))=0,"","System: "&amp;IF(LEN(INDEX('Inspections'!$B$4:$B$503,_calc!$E$187))=0,"",INDEX('Inspections'!$B$4:$B$503,_calc!$E$187))&amp;". ")&amp;IF(LEN(IF(LEN(INDEX('Inspections'!$D$4:$D$503,_calc!$E$187))=0,"",INDEX('Inspections'!$D$4:$D$503,_calc!$E$187)))=0,"","Every: "&amp;IF(LEN(INDEX('Inspections'!$D$4:$D$503,_calc!$E$187))=0,"",INDEX('Inspections'!$D$4:$D$503,_calc!$E$187))&amp;". ")&amp;IF(LEN(IF(LEN(INDEX('Inspections'!$E$4:$E$503,_calc!$E$187))=0,"",INDEX('Inspections'!$E$4:$E$503,_calc!$E$187)))=0,"","Unit: "&amp;IF(LEN(INDEX('Inspections'!$E$4:$E$503,_calc!$E$187))=0,"",INDEX('Inspections'!$E$4:$E$503,_calc!$E$187))&amp;". ")&amp;IF(LEN(IF(LEN(INDEX('Inspections'!$F$4:$F$503,_calc!$E$187))=0,"",INDEX('Inspections'!$F$4:$F$503,_calc!$E$187)))=0,"","Done by: "&amp;IF(LEN(INDEX('Inspections'!$F$4:$F$503,_calc!$E$187))=0,"",INDEX('Inspections'!$F$4:$F$503,_calc!$E$187))&amp;". ")&amp;IF(LEN(IF(LEN(INDEX('Inspections'!$M$4:$M$503,_calc!$E$187))=0,"",INDEX('Inspections'!$M$4:$M$503,_calc!$E$187)))=0,"","Source: "&amp;IF(LEN(INDEX('Inspections'!$M$4:$M$503,_calc!$E$187))=0,"",INDEX('Inspections'!$M$4:$M$503,_calc!$E$187))&amp;". ")&amp;IF(LEN(IF(LEN(INDEX('Inspections'!$N$4:$N$503,_calc!$E$187))=0,"",INDEX('Inspections'!$N$4:$N$503,_calc!$E$187)))=0,"","Owner: "&amp;IF(LEN(INDEX('Inspections'!$N$4:$N$503,_calc!$E$187))=0,"",INDEX('Inspections'!$N$4:$N$503,_calc!$E$187))&amp;". ")&amp;IF(LEN(IF(LEN(INDEX('Inspections'!$O$4:$O$503,_calc!$E$187))=0,"",INDEX('Inspections'!$O$4:$O$503,_calc!$E$187)))=0,"","Backup: "&amp;IF(LEN(INDEX('Inspections'!$O$4:$O$503,_calc!$E$187))=0,"",INDEX('Inspections'!$O$4:$O$503,_calc!$E$187))&amp;". ")&amp;IF(LEN(IF(LEN(INDEX('Inspections'!$R$4:$R$503,_calc!$E$187))=0,"",INDEX('Inspections'!$R$4:$R$503,_calc!$E$187)))=0,"",IF(LEN(INDEX('Inspections'!$R$4:$R$503,_calc!$E$187))=0,"",INDEX('Inspections'!$R$4:$R$503,_calc!$E$187)))))</f>
        <v/>
      </c>
      <c r="G185" s="55">
        <f>IF(_calc!$E$187="","",IF(LEN(INDEX('Inspections'!$Q$4:$Q$503,_calc!$E$187))=0,"",INDEX('Inspections'!$Q$4:$Q$503,_calc!$E$187)))</f>
        <v/>
      </c>
      <c r="K185" s="55">
        <f>IF(_calc!$E$187="","",IF(LEN(INDEX('Inspections'!$P$4:$P$503,_calc!$E$187))=0,"",INDEX('Inspections'!$P$4:$P$503,_calc!$E$187)))</f>
        <v/>
      </c>
    </row>
    <row r="186">
      <c r="A186" s="55">
        <f>IF(_calc!$E$188="","",IF(LEN(INDEX('Inspections'!$C$4:$C$503,_calc!$E$188))=0,"",INDEX('Inspections'!$C$4:$C$503,_calc!$E$188))&amp;" – "&amp;IF(LEN(INDEX('Inspections'!$A$4:$A$503,_calc!$E$188))=0,"",INDEX('Inspections'!$A$4:$A$503,_calc!$E$188)))</f>
        <v/>
      </c>
      <c r="B186" s="55">
        <f>IF(_calc!$E$188="","",IF(ISNUMBER(INDEX('Inspections'!$H$4:$H$503,_calc!$E$188)),TEXT(INDEX('Inspections'!$H$4:$H$503,_calc!$E$188),"yyyy-mm-dd"),""))</f>
        <v/>
      </c>
      <c r="C186" s="55">
        <f>IF(_calc!$E$188="","","Inspection")</f>
        <v/>
      </c>
      <c r="D186" s="55">
        <f>IF(_calc!$E$188="","",IF(ISNUMBER(INDEX('Inspections'!$G$4:$G$503,_calc!$E$188)),TEXT(INDEX('Inspections'!$G$4:$G$503,_calc!$E$188),"yyyy-mm-dd"),""))</f>
        <v/>
      </c>
      <c r="F186" s="55">
        <f>IF(_calc!$E$188="","",TRIM(IF(LEN(IF(LEN(INDEX('Inspections'!$B$4:$B$503,_calc!$E$188))=0,"",INDEX('Inspections'!$B$4:$B$503,_calc!$E$188)))=0,"","System: "&amp;IF(LEN(INDEX('Inspections'!$B$4:$B$503,_calc!$E$188))=0,"",INDEX('Inspections'!$B$4:$B$503,_calc!$E$188))&amp;". ")&amp;IF(LEN(IF(LEN(INDEX('Inspections'!$D$4:$D$503,_calc!$E$188))=0,"",INDEX('Inspections'!$D$4:$D$503,_calc!$E$188)))=0,"","Every: "&amp;IF(LEN(INDEX('Inspections'!$D$4:$D$503,_calc!$E$188))=0,"",INDEX('Inspections'!$D$4:$D$503,_calc!$E$188))&amp;". ")&amp;IF(LEN(IF(LEN(INDEX('Inspections'!$E$4:$E$503,_calc!$E$188))=0,"",INDEX('Inspections'!$E$4:$E$503,_calc!$E$188)))=0,"","Unit: "&amp;IF(LEN(INDEX('Inspections'!$E$4:$E$503,_calc!$E$188))=0,"",INDEX('Inspections'!$E$4:$E$503,_calc!$E$188))&amp;". ")&amp;IF(LEN(IF(LEN(INDEX('Inspections'!$F$4:$F$503,_calc!$E$188))=0,"",INDEX('Inspections'!$F$4:$F$503,_calc!$E$188)))=0,"","Done by: "&amp;IF(LEN(INDEX('Inspections'!$F$4:$F$503,_calc!$E$188))=0,"",INDEX('Inspections'!$F$4:$F$503,_calc!$E$188))&amp;". ")&amp;IF(LEN(IF(LEN(INDEX('Inspections'!$M$4:$M$503,_calc!$E$188))=0,"",INDEX('Inspections'!$M$4:$M$503,_calc!$E$188)))=0,"","Source: "&amp;IF(LEN(INDEX('Inspections'!$M$4:$M$503,_calc!$E$188))=0,"",INDEX('Inspections'!$M$4:$M$503,_calc!$E$188))&amp;". ")&amp;IF(LEN(IF(LEN(INDEX('Inspections'!$N$4:$N$503,_calc!$E$188))=0,"",INDEX('Inspections'!$N$4:$N$503,_calc!$E$188)))=0,"","Owner: "&amp;IF(LEN(INDEX('Inspections'!$N$4:$N$503,_calc!$E$188))=0,"",INDEX('Inspections'!$N$4:$N$503,_calc!$E$188))&amp;". ")&amp;IF(LEN(IF(LEN(INDEX('Inspections'!$O$4:$O$503,_calc!$E$188))=0,"",INDEX('Inspections'!$O$4:$O$503,_calc!$E$188)))=0,"","Backup: "&amp;IF(LEN(INDEX('Inspections'!$O$4:$O$503,_calc!$E$188))=0,"",INDEX('Inspections'!$O$4:$O$503,_calc!$E$188))&amp;". ")&amp;IF(LEN(IF(LEN(INDEX('Inspections'!$R$4:$R$503,_calc!$E$188))=0,"",INDEX('Inspections'!$R$4:$R$503,_calc!$E$188)))=0,"",IF(LEN(INDEX('Inspections'!$R$4:$R$503,_calc!$E$188))=0,"",INDEX('Inspections'!$R$4:$R$503,_calc!$E$188)))))</f>
        <v/>
      </c>
      <c r="G186" s="55">
        <f>IF(_calc!$E$188="","",IF(LEN(INDEX('Inspections'!$Q$4:$Q$503,_calc!$E$188))=0,"",INDEX('Inspections'!$Q$4:$Q$503,_calc!$E$188)))</f>
        <v/>
      </c>
      <c r="K186" s="55">
        <f>IF(_calc!$E$188="","",IF(LEN(INDEX('Inspections'!$P$4:$P$503,_calc!$E$188))=0,"",INDEX('Inspections'!$P$4:$P$503,_calc!$E$188)))</f>
        <v/>
      </c>
    </row>
    <row r="187">
      <c r="A187" s="55">
        <f>IF(_calc!$E$189="","",IF(LEN(INDEX('Inspections'!$C$4:$C$503,_calc!$E$189))=0,"",INDEX('Inspections'!$C$4:$C$503,_calc!$E$189))&amp;" – "&amp;IF(LEN(INDEX('Inspections'!$A$4:$A$503,_calc!$E$189))=0,"",INDEX('Inspections'!$A$4:$A$503,_calc!$E$189)))</f>
        <v/>
      </c>
      <c r="B187" s="55">
        <f>IF(_calc!$E$189="","",IF(ISNUMBER(INDEX('Inspections'!$H$4:$H$503,_calc!$E$189)),TEXT(INDEX('Inspections'!$H$4:$H$503,_calc!$E$189),"yyyy-mm-dd"),""))</f>
        <v/>
      </c>
      <c r="C187" s="55">
        <f>IF(_calc!$E$189="","","Inspection")</f>
        <v/>
      </c>
      <c r="D187" s="55">
        <f>IF(_calc!$E$189="","",IF(ISNUMBER(INDEX('Inspections'!$G$4:$G$503,_calc!$E$189)),TEXT(INDEX('Inspections'!$G$4:$G$503,_calc!$E$189),"yyyy-mm-dd"),""))</f>
        <v/>
      </c>
      <c r="F187" s="55">
        <f>IF(_calc!$E$189="","",TRIM(IF(LEN(IF(LEN(INDEX('Inspections'!$B$4:$B$503,_calc!$E$189))=0,"",INDEX('Inspections'!$B$4:$B$503,_calc!$E$189)))=0,"","System: "&amp;IF(LEN(INDEX('Inspections'!$B$4:$B$503,_calc!$E$189))=0,"",INDEX('Inspections'!$B$4:$B$503,_calc!$E$189))&amp;". ")&amp;IF(LEN(IF(LEN(INDEX('Inspections'!$D$4:$D$503,_calc!$E$189))=0,"",INDEX('Inspections'!$D$4:$D$503,_calc!$E$189)))=0,"","Every: "&amp;IF(LEN(INDEX('Inspections'!$D$4:$D$503,_calc!$E$189))=0,"",INDEX('Inspections'!$D$4:$D$503,_calc!$E$189))&amp;". ")&amp;IF(LEN(IF(LEN(INDEX('Inspections'!$E$4:$E$503,_calc!$E$189))=0,"",INDEX('Inspections'!$E$4:$E$503,_calc!$E$189)))=0,"","Unit: "&amp;IF(LEN(INDEX('Inspections'!$E$4:$E$503,_calc!$E$189))=0,"",INDEX('Inspections'!$E$4:$E$503,_calc!$E$189))&amp;". ")&amp;IF(LEN(IF(LEN(INDEX('Inspections'!$F$4:$F$503,_calc!$E$189))=0,"",INDEX('Inspections'!$F$4:$F$503,_calc!$E$189)))=0,"","Done by: "&amp;IF(LEN(INDEX('Inspections'!$F$4:$F$503,_calc!$E$189))=0,"",INDEX('Inspections'!$F$4:$F$503,_calc!$E$189))&amp;". ")&amp;IF(LEN(IF(LEN(INDEX('Inspections'!$M$4:$M$503,_calc!$E$189))=0,"",INDEX('Inspections'!$M$4:$M$503,_calc!$E$189)))=0,"","Source: "&amp;IF(LEN(INDEX('Inspections'!$M$4:$M$503,_calc!$E$189))=0,"",INDEX('Inspections'!$M$4:$M$503,_calc!$E$189))&amp;". ")&amp;IF(LEN(IF(LEN(INDEX('Inspections'!$N$4:$N$503,_calc!$E$189))=0,"",INDEX('Inspections'!$N$4:$N$503,_calc!$E$189)))=0,"","Owner: "&amp;IF(LEN(INDEX('Inspections'!$N$4:$N$503,_calc!$E$189))=0,"",INDEX('Inspections'!$N$4:$N$503,_calc!$E$189))&amp;". ")&amp;IF(LEN(IF(LEN(INDEX('Inspections'!$O$4:$O$503,_calc!$E$189))=0,"",INDEX('Inspections'!$O$4:$O$503,_calc!$E$189)))=0,"","Backup: "&amp;IF(LEN(INDEX('Inspections'!$O$4:$O$503,_calc!$E$189))=0,"",INDEX('Inspections'!$O$4:$O$503,_calc!$E$189))&amp;". ")&amp;IF(LEN(IF(LEN(INDEX('Inspections'!$R$4:$R$503,_calc!$E$189))=0,"",INDEX('Inspections'!$R$4:$R$503,_calc!$E$189)))=0,"",IF(LEN(INDEX('Inspections'!$R$4:$R$503,_calc!$E$189))=0,"",INDEX('Inspections'!$R$4:$R$503,_calc!$E$189)))))</f>
        <v/>
      </c>
      <c r="G187" s="55">
        <f>IF(_calc!$E$189="","",IF(LEN(INDEX('Inspections'!$Q$4:$Q$503,_calc!$E$189))=0,"",INDEX('Inspections'!$Q$4:$Q$503,_calc!$E$189)))</f>
        <v/>
      </c>
      <c r="K187" s="55">
        <f>IF(_calc!$E$189="","",IF(LEN(INDEX('Inspections'!$P$4:$P$503,_calc!$E$189))=0,"",INDEX('Inspections'!$P$4:$P$503,_calc!$E$189)))</f>
        <v/>
      </c>
    </row>
    <row r="188">
      <c r="A188" s="55">
        <f>IF(_calc!$E$190="","",IF(LEN(INDEX('Inspections'!$C$4:$C$503,_calc!$E$190))=0,"",INDEX('Inspections'!$C$4:$C$503,_calc!$E$190))&amp;" – "&amp;IF(LEN(INDEX('Inspections'!$A$4:$A$503,_calc!$E$190))=0,"",INDEX('Inspections'!$A$4:$A$503,_calc!$E$190)))</f>
        <v/>
      </c>
      <c r="B188" s="55">
        <f>IF(_calc!$E$190="","",IF(ISNUMBER(INDEX('Inspections'!$H$4:$H$503,_calc!$E$190)),TEXT(INDEX('Inspections'!$H$4:$H$503,_calc!$E$190),"yyyy-mm-dd"),""))</f>
        <v/>
      </c>
      <c r="C188" s="55">
        <f>IF(_calc!$E$190="","","Inspection")</f>
        <v/>
      </c>
      <c r="D188" s="55">
        <f>IF(_calc!$E$190="","",IF(ISNUMBER(INDEX('Inspections'!$G$4:$G$503,_calc!$E$190)),TEXT(INDEX('Inspections'!$G$4:$G$503,_calc!$E$190),"yyyy-mm-dd"),""))</f>
        <v/>
      </c>
      <c r="F188" s="55">
        <f>IF(_calc!$E$190="","",TRIM(IF(LEN(IF(LEN(INDEX('Inspections'!$B$4:$B$503,_calc!$E$190))=0,"",INDEX('Inspections'!$B$4:$B$503,_calc!$E$190)))=0,"","System: "&amp;IF(LEN(INDEX('Inspections'!$B$4:$B$503,_calc!$E$190))=0,"",INDEX('Inspections'!$B$4:$B$503,_calc!$E$190))&amp;". ")&amp;IF(LEN(IF(LEN(INDEX('Inspections'!$D$4:$D$503,_calc!$E$190))=0,"",INDEX('Inspections'!$D$4:$D$503,_calc!$E$190)))=0,"","Every: "&amp;IF(LEN(INDEX('Inspections'!$D$4:$D$503,_calc!$E$190))=0,"",INDEX('Inspections'!$D$4:$D$503,_calc!$E$190))&amp;". ")&amp;IF(LEN(IF(LEN(INDEX('Inspections'!$E$4:$E$503,_calc!$E$190))=0,"",INDEX('Inspections'!$E$4:$E$503,_calc!$E$190)))=0,"","Unit: "&amp;IF(LEN(INDEX('Inspections'!$E$4:$E$503,_calc!$E$190))=0,"",INDEX('Inspections'!$E$4:$E$503,_calc!$E$190))&amp;". ")&amp;IF(LEN(IF(LEN(INDEX('Inspections'!$F$4:$F$503,_calc!$E$190))=0,"",INDEX('Inspections'!$F$4:$F$503,_calc!$E$190)))=0,"","Done by: "&amp;IF(LEN(INDEX('Inspections'!$F$4:$F$503,_calc!$E$190))=0,"",INDEX('Inspections'!$F$4:$F$503,_calc!$E$190))&amp;". ")&amp;IF(LEN(IF(LEN(INDEX('Inspections'!$M$4:$M$503,_calc!$E$190))=0,"",INDEX('Inspections'!$M$4:$M$503,_calc!$E$190)))=0,"","Source: "&amp;IF(LEN(INDEX('Inspections'!$M$4:$M$503,_calc!$E$190))=0,"",INDEX('Inspections'!$M$4:$M$503,_calc!$E$190))&amp;". ")&amp;IF(LEN(IF(LEN(INDEX('Inspections'!$N$4:$N$503,_calc!$E$190))=0,"",INDEX('Inspections'!$N$4:$N$503,_calc!$E$190)))=0,"","Owner: "&amp;IF(LEN(INDEX('Inspections'!$N$4:$N$503,_calc!$E$190))=0,"",INDEX('Inspections'!$N$4:$N$503,_calc!$E$190))&amp;". ")&amp;IF(LEN(IF(LEN(INDEX('Inspections'!$O$4:$O$503,_calc!$E$190))=0,"",INDEX('Inspections'!$O$4:$O$503,_calc!$E$190)))=0,"","Backup: "&amp;IF(LEN(INDEX('Inspections'!$O$4:$O$503,_calc!$E$190))=0,"",INDEX('Inspections'!$O$4:$O$503,_calc!$E$190))&amp;". ")&amp;IF(LEN(IF(LEN(INDEX('Inspections'!$R$4:$R$503,_calc!$E$190))=0,"",INDEX('Inspections'!$R$4:$R$503,_calc!$E$190)))=0,"",IF(LEN(INDEX('Inspections'!$R$4:$R$503,_calc!$E$190))=0,"",INDEX('Inspections'!$R$4:$R$503,_calc!$E$190)))))</f>
        <v/>
      </c>
      <c r="G188" s="55">
        <f>IF(_calc!$E$190="","",IF(LEN(INDEX('Inspections'!$Q$4:$Q$503,_calc!$E$190))=0,"",INDEX('Inspections'!$Q$4:$Q$503,_calc!$E$190)))</f>
        <v/>
      </c>
      <c r="K188" s="55">
        <f>IF(_calc!$E$190="","",IF(LEN(INDEX('Inspections'!$P$4:$P$503,_calc!$E$190))=0,"",INDEX('Inspections'!$P$4:$P$503,_calc!$E$190)))</f>
        <v/>
      </c>
    </row>
    <row r="189">
      <c r="A189" s="55">
        <f>IF(_calc!$E$191="","",IF(LEN(INDEX('Inspections'!$C$4:$C$503,_calc!$E$191))=0,"",INDEX('Inspections'!$C$4:$C$503,_calc!$E$191))&amp;" – "&amp;IF(LEN(INDEX('Inspections'!$A$4:$A$503,_calc!$E$191))=0,"",INDEX('Inspections'!$A$4:$A$503,_calc!$E$191)))</f>
        <v/>
      </c>
      <c r="B189" s="55">
        <f>IF(_calc!$E$191="","",IF(ISNUMBER(INDEX('Inspections'!$H$4:$H$503,_calc!$E$191)),TEXT(INDEX('Inspections'!$H$4:$H$503,_calc!$E$191),"yyyy-mm-dd"),""))</f>
        <v/>
      </c>
      <c r="C189" s="55">
        <f>IF(_calc!$E$191="","","Inspection")</f>
        <v/>
      </c>
      <c r="D189" s="55">
        <f>IF(_calc!$E$191="","",IF(ISNUMBER(INDEX('Inspections'!$G$4:$G$503,_calc!$E$191)),TEXT(INDEX('Inspections'!$G$4:$G$503,_calc!$E$191),"yyyy-mm-dd"),""))</f>
        <v/>
      </c>
      <c r="F189" s="55">
        <f>IF(_calc!$E$191="","",TRIM(IF(LEN(IF(LEN(INDEX('Inspections'!$B$4:$B$503,_calc!$E$191))=0,"",INDEX('Inspections'!$B$4:$B$503,_calc!$E$191)))=0,"","System: "&amp;IF(LEN(INDEX('Inspections'!$B$4:$B$503,_calc!$E$191))=0,"",INDEX('Inspections'!$B$4:$B$503,_calc!$E$191))&amp;". ")&amp;IF(LEN(IF(LEN(INDEX('Inspections'!$D$4:$D$503,_calc!$E$191))=0,"",INDEX('Inspections'!$D$4:$D$503,_calc!$E$191)))=0,"","Every: "&amp;IF(LEN(INDEX('Inspections'!$D$4:$D$503,_calc!$E$191))=0,"",INDEX('Inspections'!$D$4:$D$503,_calc!$E$191))&amp;". ")&amp;IF(LEN(IF(LEN(INDEX('Inspections'!$E$4:$E$503,_calc!$E$191))=0,"",INDEX('Inspections'!$E$4:$E$503,_calc!$E$191)))=0,"","Unit: "&amp;IF(LEN(INDEX('Inspections'!$E$4:$E$503,_calc!$E$191))=0,"",INDEX('Inspections'!$E$4:$E$503,_calc!$E$191))&amp;". ")&amp;IF(LEN(IF(LEN(INDEX('Inspections'!$F$4:$F$503,_calc!$E$191))=0,"",INDEX('Inspections'!$F$4:$F$503,_calc!$E$191)))=0,"","Done by: "&amp;IF(LEN(INDEX('Inspections'!$F$4:$F$503,_calc!$E$191))=0,"",INDEX('Inspections'!$F$4:$F$503,_calc!$E$191))&amp;". ")&amp;IF(LEN(IF(LEN(INDEX('Inspections'!$M$4:$M$503,_calc!$E$191))=0,"",INDEX('Inspections'!$M$4:$M$503,_calc!$E$191)))=0,"","Source: "&amp;IF(LEN(INDEX('Inspections'!$M$4:$M$503,_calc!$E$191))=0,"",INDEX('Inspections'!$M$4:$M$503,_calc!$E$191))&amp;". ")&amp;IF(LEN(IF(LEN(INDEX('Inspections'!$N$4:$N$503,_calc!$E$191))=0,"",INDEX('Inspections'!$N$4:$N$503,_calc!$E$191)))=0,"","Owner: "&amp;IF(LEN(INDEX('Inspections'!$N$4:$N$503,_calc!$E$191))=0,"",INDEX('Inspections'!$N$4:$N$503,_calc!$E$191))&amp;". ")&amp;IF(LEN(IF(LEN(INDEX('Inspections'!$O$4:$O$503,_calc!$E$191))=0,"",INDEX('Inspections'!$O$4:$O$503,_calc!$E$191)))=0,"","Backup: "&amp;IF(LEN(INDEX('Inspections'!$O$4:$O$503,_calc!$E$191))=0,"",INDEX('Inspections'!$O$4:$O$503,_calc!$E$191))&amp;". ")&amp;IF(LEN(IF(LEN(INDEX('Inspections'!$R$4:$R$503,_calc!$E$191))=0,"",INDEX('Inspections'!$R$4:$R$503,_calc!$E$191)))=0,"",IF(LEN(INDEX('Inspections'!$R$4:$R$503,_calc!$E$191))=0,"",INDEX('Inspections'!$R$4:$R$503,_calc!$E$191)))))</f>
        <v/>
      </c>
      <c r="G189" s="55">
        <f>IF(_calc!$E$191="","",IF(LEN(INDEX('Inspections'!$Q$4:$Q$503,_calc!$E$191))=0,"",INDEX('Inspections'!$Q$4:$Q$503,_calc!$E$191)))</f>
        <v/>
      </c>
      <c r="K189" s="55">
        <f>IF(_calc!$E$191="","",IF(LEN(INDEX('Inspections'!$P$4:$P$503,_calc!$E$191))=0,"",INDEX('Inspections'!$P$4:$P$503,_calc!$E$191)))</f>
        <v/>
      </c>
    </row>
    <row r="190">
      <c r="A190" s="55">
        <f>IF(_calc!$E$192="","",IF(LEN(INDEX('Inspections'!$C$4:$C$503,_calc!$E$192))=0,"",INDEX('Inspections'!$C$4:$C$503,_calc!$E$192))&amp;" – "&amp;IF(LEN(INDEX('Inspections'!$A$4:$A$503,_calc!$E$192))=0,"",INDEX('Inspections'!$A$4:$A$503,_calc!$E$192)))</f>
        <v/>
      </c>
      <c r="B190" s="55">
        <f>IF(_calc!$E$192="","",IF(ISNUMBER(INDEX('Inspections'!$H$4:$H$503,_calc!$E$192)),TEXT(INDEX('Inspections'!$H$4:$H$503,_calc!$E$192),"yyyy-mm-dd"),""))</f>
        <v/>
      </c>
      <c r="C190" s="55">
        <f>IF(_calc!$E$192="","","Inspection")</f>
        <v/>
      </c>
      <c r="D190" s="55">
        <f>IF(_calc!$E$192="","",IF(ISNUMBER(INDEX('Inspections'!$G$4:$G$503,_calc!$E$192)),TEXT(INDEX('Inspections'!$G$4:$G$503,_calc!$E$192),"yyyy-mm-dd"),""))</f>
        <v/>
      </c>
      <c r="F190" s="55">
        <f>IF(_calc!$E$192="","",TRIM(IF(LEN(IF(LEN(INDEX('Inspections'!$B$4:$B$503,_calc!$E$192))=0,"",INDEX('Inspections'!$B$4:$B$503,_calc!$E$192)))=0,"","System: "&amp;IF(LEN(INDEX('Inspections'!$B$4:$B$503,_calc!$E$192))=0,"",INDEX('Inspections'!$B$4:$B$503,_calc!$E$192))&amp;". ")&amp;IF(LEN(IF(LEN(INDEX('Inspections'!$D$4:$D$503,_calc!$E$192))=0,"",INDEX('Inspections'!$D$4:$D$503,_calc!$E$192)))=0,"","Every: "&amp;IF(LEN(INDEX('Inspections'!$D$4:$D$503,_calc!$E$192))=0,"",INDEX('Inspections'!$D$4:$D$503,_calc!$E$192))&amp;". ")&amp;IF(LEN(IF(LEN(INDEX('Inspections'!$E$4:$E$503,_calc!$E$192))=0,"",INDEX('Inspections'!$E$4:$E$503,_calc!$E$192)))=0,"","Unit: "&amp;IF(LEN(INDEX('Inspections'!$E$4:$E$503,_calc!$E$192))=0,"",INDEX('Inspections'!$E$4:$E$503,_calc!$E$192))&amp;". ")&amp;IF(LEN(IF(LEN(INDEX('Inspections'!$F$4:$F$503,_calc!$E$192))=0,"",INDEX('Inspections'!$F$4:$F$503,_calc!$E$192)))=0,"","Done by: "&amp;IF(LEN(INDEX('Inspections'!$F$4:$F$503,_calc!$E$192))=0,"",INDEX('Inspections'!$F$4:$F$503,_calc!$E$192))&amp;". ")&amp;IF(LEN(IF(LEN(INDEX('Inspections'!$M$4:$M$503,_calc!$E$192))=0,"",INDEX('Inspections'!$M$4:$M$503,_calc!$E$192)))=0,"","Source: "&amp;IF(LEN(INDEX('Inspections'!$M$4:$M$503,_calc!$E$192))=0,"",INDEX('Inspections'!$M$4:$M$503,_calc!$E$192))&amp;". ")&amp;IF(LEN(IF(LEN(INDEX('Inspections'!$N$4:$N$503,_calc!$E$192))=0,"",INDEX('Inspections'!$N$4:$N$503,_calc!$E$192)))=0,"","Owner: "&amp;IF(LEN(INDEX('Inspections'!$N$4:$N$503,_calc!$E$192))=0,"",INDEX('Inspections'!$N$4:$N$503,_calc!$E$192))&amp;". ")&amp;IF(LEN(IF(LEN(INDEX('Inspections'!$O$4:$O$503,_calc!$E$192))=0,"",INDEX('Inspections'!$O$4:$O$503,_calc!$E$192)))=0,"","Backup: "&amp;IF(LEN(INDEX('Inspections'!$O$4:$O$503,_calc!$E$192))=0,"",INDEX('Inspections'!$O$4:$O$503,_calc!$E$192))&amp;". ")&amp;IF(LEN(IF(LEN(INDEX('Inspections'!$R$4:$R$503,_calc!$E$192))=0,"",INDEX('Inspections'!$R$4:$R$503,_calc!$E$192)))=0,"",IF(LEN(INDEX('Inspections'!$R$4:$R$503,_calc!$E$192))=0,"",INDEX('Inspections'!$R$4:$R$503,_calc!$E$192)))))</f>
        <v/>
      </c>
      <c r="G190" s="55">
        <f>IF(_calc!$E$192="","",IF(LEN(INDEX('Inspections'!$Q$4:$Q$503,_calc!$E$192))=0,"",INDEX('Inspections'!$Q$4:$Q$503,_calc!$E$192)))</f>
        <v/>
      </c>
      <c r="K190" s="55">
        <f>IF(_calc!$E$192="","",IF(LEN(INDEX('Inspections'!$P$4:$P$503,_calc!$E$192))=0,"",INDEX('Inspections'!$P$4:$P$503,_calc!$E$192)))</f>
        <v/>
      </c>
    </row>
    <row r="191">
      <c r="A191" s="55">
        <f>IF(_calc!$E$193="","",IF(LEN(INDEX('Inspections'!$C$4:$C$503,_calc!$E$193))=0,"",INDEX('Inspections'!$C$4:$C$503,_calc!$E$193))&amp;" – "&amp;IF(LEN(INDEX('Inspections'!$A$4:$A$503,_calc!$E$193))=0,"",INDEX('Inspections'!$A$4:$A$503,_calc!$E$193)))</f>
        <v/>
      </c>
      <c r="B191" s="55">
        <f>IF(_calc!$E$193="","",IF(ISNUMBER(INDEX('Inspections'!$H$4:$H$503,_calc!$E$193)),TEXT(INDEX('Inspections'!$H$4:$H$503,_calc!$E$193),"yyyy-mm-dd"),""))</f>
        <v/>
      </c>
      <c r="C191" s="55">
        <f>IF(_calc!$E$193="","","Inspection")</f>
        <v/>
      </c>
      <c r="D191" s="55">
        <f>IF(_calc!$E$193="","",IF(ISNUMBER(INDEX('Inspections'!$G$4:$G$503,_calc!$E$193)),TEXT(INDEX('Inspections'!$G$4:$G$503,_calc!$E$193),"yyyy-mm-dd"),""))</f>
        <v/>
      </c>
      <c r="F191" s="55">
        <f>IF(_calc!$E$193="","",TRIM(IF(LEN(IF(LEN(INDEX('Inspections'!$B$4:$B$503,_calc!$E$193))=0,"",INDEX('Inspections'!$B$4:$B$503,_calc!$E$193)))=0,"","System: "&amp;IF(LEN(INDEX('Inspections'!$B$4:$B$503,_calc!$E$193))=0,"",INDEX('Inspections'!$B$4:$B$503,_calc!$E$193))&amp;". ")&amp;IF(LEN(IF(LEN(INDEX('Inspections'!$D$4:$D$503,_calc!$E$193))=0,"",INDEX('Inspections'!$D$4:$D$503,_calc!$E$193)))=0,"","Every: "&amp;IF(LEN(INDEX('Inspections'!$D$4:$D$503,_calc!$E$193))=0,"",INDEX('Inspections'!$D$4:$D$503,_calc!$E$193))&amp;". ")&amp;IF(LEN(IF(LEN(INDEX('Inspections'!$E$4:$E$503,_calc!$E$193))=0,"",INDEX('Inspections'!$E$4:$E$503,_calc!$E$193)))=0,"","Unit: "&amp;IF(LEN(INDEX('Inspections'!$E$4:$E$503,_calc!$E$193))=0,"",INDEX('Inspections'!$E$4:$E$503,_calc!$E$193))&amp;". ")&amp;IF(LEN(IF(LEN(INDEX('Inspections'!$F$4:$F$503,_calc!$E$193))=0,"",INDEX('Inspections'!$F$4:$F$503,_calc!$E$193)))=0,"","Done by: "&amp;IF(LEN(INDEX('Inspections'!$F$4:$F$503,_calc!$E$193))=0,"",INDEX('Inspections'!$F$4:$F$503,_calc!$E$193))&amp;". ")&amp;IF(LEN(IF(LEN(INDEX('Inspections'!$M$4:$M$503,_calc!$E$193))=0,"",INDEX('Inspections'!$M$4:$M$503,_calc!$E$193)))=0,"","Source: "&amp;IF(LEN(INDEX('Inspections'!$M$4:$M$503,_calc!$E$193))=0,"",INDEX('Inspections'!$M$4:$M$503,_calc!$E$193))&amp;". ")&amp;IF(LEN(IF(LEN(INDEX('Inspections'!$N$4:$N$503,_calc!$E$193))=0,"",INDEX('Inspections'!$N$4:$N$503,_calc!$E$193)))=0,"","Owner: "&amp;IF(LEN(INDEX('Inspections'!$N$4:$N$503,_calc!$E$193))=0,"",INDEX('Inspections'!$N$4:$N$503,_calc!$E$193))&amp;". ")&amp;IF(LEN(IF(LEN(INDEX('Inspections'!$O$4:$O$503,_calc!$E$193))=0,"",INDEX('Inspections'!$O$4:$O$503,_calc!$E$193)))=0,"","Backup: "&amp;IF(LEN(INDEX('Inspections'!$O$4:$O$503,_calc!$E$193))=0,"",INDEX('Inspections'!$O$4:$O$503,_calc!$E$193))&amp;". ")&amp;IF(LEN(IF(LEN(INDEX('Inspections'!$R$4:$R$503,_calc!$E$193))=0,"",INDEX('Inspections'!$R$4:$R$503,_calc!$E$193)))=0,"",IF(LEN(INDEX('Inspections'!$R$4:$R$503,_calc!$E$193))=0,"",INDEX('Inspections'!$R$4:$R$503,_calc!$E$193)))))</f>
        <v/>
      </c>
      <c r="G191" s="55">
        <f>IF(_calc!$E$193="","",IF(LEN(INDEX('Inspections'!$Q$4:$Q$503,_calc!$E$193))=0,"",INDEX('Inspections'!$Q$4:$Q$503,_calc!$E$193)))</f>
        <v/>
      </c>
      <c r="K191" s="55">
        <f>IF(_calc!$E$193="","",IF(LEN(INDEX('Inspections'!$P$4:$P$503,_calc!$E$193))=0,"",INDEX('Inspections'!$P$4:$P$503,_calc!$E$193)))</f>
        <v/>
      </c>
    </row>
    <row r="192">
      <c r="A192" s="55">
        <f>IF(_calc!$E$194="","",IF(LEN(INDEX('Inspections'!$C$4:$C$503,_calc!$E$194))=0,"",INDEX('Inspections'!$C$4:$C$503,_calc!$E$194))&amp;" – "&amp;IF(LEN(INDEX('Inspections'!$A$4:$A$503,_calc!$E$194))=0,"",INDEX('Inspections'!$A$4:$A$503,_calc!$E$194)))</f>
        <v/>
      </c>
      <c r="B192" s="55">
        <f>IF(_calc!$E$194="","",IF(ISNUMBER(INDEX('Inspections'!$H$4:$H$503,_calc!$E$194)),TEXT(INDEX('Inspections'!$H$4:$H$503,_calc!$E$194),"yyyy-mm-dd"),""))</f>
        <v/>
      </c>
      <c r="C192" s="55">
        <f>IF(_calc!$E$194="","","Inspection")</f>
        <v/>
      </c>
      <c r="D192" s="55">
        <f>IF(_calc!$E$194="","",IF(ISNUMBER(INDEX('Inspections'!$G$4:$G$503,_calc!$E$194)),TEXT(INDEX('Inspections'!$G$4:$G$503,_calc!$E$194),"yyyy-mm-dd"),""))</f>
        <v/>
      </c>
      <c r="F192" s="55">
        <f>IF(_calc!$E$194="","",TRIM(IF(LEN(IF(LEN(INDEX('Inspections'!$B$4:$B$503,_calc!$E$194))=0,"",INDEX('Inspections'!$B$4:$B$503,_calc!$E$194)))=0,"","System: "&amp;IF(LEN(INDEX('Inspections'!$B$4:$B$503,_calc!$E$194))=0,"",INDEX('Inspections'!$B$4:$B$503,_calc!$E$194))&amp;". ")&amp;IF(LEN(IF(LEN(INDEX('Inspections'!$D$4:$D$503,_calc!$E$194))=0,"",INDEX('Inspections'!$D$4:$D$503,_calc!$E$194)))=0,"","Every: "&amp;IF(LEN(INDEX('Inspections'!$D$4:$D$503,_calc!$E$194))=0,"",INDEX('Inspections'!$D$4:$D$503,_calc!$E$194))&amp;". ")&amp;IF(LEN(IF(LEN(INDEX('Inspections'!$E$4:$E$503,_calc!$E$194))=0,"",INDEX('Inspections'!$E$4:$E$503,_calc!$E$194)))=0,"","Unit: "&amp;IF(LEN(INDEX('Inspections'!$E$4:$E$503,_calc!$E$194))=0,"",INDEX('Inspections'!$E$4:$E$503,_calc!$E$194))&amp;". ")&amp;IF(LEN(IF(LEN(INDEX('Inspections'!$F$4:$F$503,_calc!$E$194))=0,"",INDEX('Inspections'!$F$4:$F$503,_calc!$E$194)))=0,"","Done by: "&amp;IF(LEN(INDEX('Inspections'!$F$4:$F$503,_calc!$E$194))=0,"",INDEX('Inspections'!$F$4:$F$503,_calc!$E$194))&amp;". ")&amp;IF(LEN(IF(LEN(INDEX('Inspections'!$M$4:$M$503,_calc!$E$194))=0,"",INDEX('Inspections'!$M$4:$M$503,_calc!$E$194)))=0,"","Source: "&amp;IF(LEN(INDEX('Inspections'!$M$4:$M$503,_calc!$E$194))=0,"",INDEX('Inspections'!$M$4:$M$503,_calc!$E$194))&amp;". ")&amp;IF(LEN(IF(LEN(INDEX('Inspections'!$N$4:$N$503,_calc!$E$194))=0,"",INDEX('Inspections'!$N$4:$N$503,_calc!$E$194)))=0,"","Owner: "&amp;IF(LEN(INDEX('Inspections'!$N$4:$N$503,_calc!$E$194))=0,"",INDEX('Inspections'!$N$4:$N$503,_calc!$E$194))&amp;". ")&amp;IF(LEN(IF(LEN(INDEX('Inspections'!$O$4:$O$503,_calc!$E$194))=0,"",INDEX('Inspections'!$O$4:$O$503,_calc!$E$194)))=0,"","Backup: "&amp;IF(LEN(INDEX('Inspections'!$O$4:$O$503,_calc!$E$194))=0,"",INDEX('Inspections'!$O$4:$O$503,_calc!$E$194))&amp;". ")&amp;IF(LEN(IF(LEN(INDEX('Inspections'!$R$4:$R$503,_calc!$E$194))=0,"",INDEX('Inspections'!$R$4:$R$503,_calc!$E$194)))=0,"",IF(LEN(INDEX('Inspections'!$R$4:$R$503,_calc!$E$194))=0,"",INDEX('Inspections'!$R$4:$R$503,_calc!$E$194)))))</f>
        <v/>
      </c>
      <c r="G192" s="55">
        <f>IF(_calc!$E$194="","",IF(LEN(INDEX('Inspections'!$Q$4:$Q$503,_calc!$E$194))=0,"",INDEX('Inspections'!$Q$4:$Q$503,_calc!$E$194)))</f>
        <v/>
      </c>
      <c r="K192" s="55">
        <f>IF(_calc!$E$194="","",IF(LEN(INDEX('Inspections'!$P$4:$P$503,_calc!$E$194))=0,"",INDEX('Inspections'!$P$4:$P$503,_calc!$E$194)))</f>
        <v/>
      </c>
    </row>
    <row r="193">
      <c r="A193" s="55">
        <f>IF(_calc!$E$195="","",IF(LEN(INDEX('Inspections'!$C$4:$C$503,_calc!$E$195))=0,"",INDEX('Inspections'!$C$4:$C$503,_calc!$E$195))&amp;" – "&amp;IF(LEN(INDEX('Inspections'!$A$4:$A$503,_calc!$E$195))=0,"",INDEX('Inspections'!$A$4:$A$503,_calc!$E$195)))</f>
        <v/>
      </c>
      <c r="B193" s="55">
        <f>IF(_calc!$E$195="","",IF(ISNUMBER(INDEX('Inspections'!$H$4:$H$503,_calc!$E$195)),TEXT(INDEX('Inspections'!$H$4:$H$503,_calc!$E$195),"yyyy-mm-dd"),""))</f>
        <v/>
      </c>
      <c r="C193" s="55">
        <f>IF(_calc!$E$195="","","Inspection")</f>
        <v/>
      </c>
      <c r="D193" s="55">
        <f>IF(_calc!$E$195="","",IF(ISNUMBER(INDEX('Inspections'!$G$4:$G$503,_calc!$E$195)),TEXT(INDEX('Inspections'!$G$4:$G$503,_calc!$E$195),"yyyy-mm-dd"),""))</f>
        <v/>
      </c>
      <c r="F193" s="55">
        <f>IF(_calc!$E$195="","",TRIM(IF(LEN(IF(LEN(INDEX('Inspections'!$B$4:$B$503,_calc!$E$195))=0,"",INDEX('Inspections'!$B$4:$B$503,_calc!$E$195)))=0,"","System: "&amp;IF(LEN(INDEX('Inspections'!$B$4:$B$503,_calc!$E$195))=0,"",INDEX('Inspections'!$B$4:$B$503,_calc!$E$195))&amp;". ")&amp;IF(LEN(IF(LEN(INDEX('Inspections'!$D$4:$D$503,_calc!$E$195))=0,"",INDEX('Inspections'!$D$4:$D$503,_calc!$E$195)))=0,"","Every: "&amp;IF(LEN(INDEX('Inspections'!$D$4:$D$503,_calc!$E$195))=0,"",INDEX('Inspections'!$D$4:$D$503,_calc!$E$195))&amp;". ")&amp;IF(LEN(IF(LEN(INDEX('Inspections'!$E$4:$E$503,_calc!$E$195))=0,"",INDEX('Inspections'!$E$4:$E$503,_calc!$E$195)))=0,"","Unit: "&amp;IF(LEN(INDEX('Inspections'!$E$4:$E$503,_calc!$E$195))=0,"",INDEX('Inspections'!$E$4:$E$503,_calc!$E$195))&amp;". ")&amp;IF(LEN(IF(LEN(INDEX('Inspections'!$F$4:$F$503,_calc!$E$195))=0,"",INDEX('Inspections'!$F$4:$F$503,_calc!$E$195)))=0,"","Done by: "&amp;IF(LEN(INDEX('Inspections'!$F$4:$F$503,_calc!$E$195))=0,"",INDEX('Inspections'!$F$4:$F$503,_calc!$E$195))&amp;". ")&amp;IF(LEN(IF(LEN(INDEX('Inspections'!$M$4:$M$503,_calc!$E$195))=0,"",INDEX('Inspections'!$M$4:$M$503,_calc!$E$195)))=0,"","Source: "&amp;IF(LEN(INDEX('Inspections'!$M$4:$M$503,_calc!$E$195))=0,"",INDEX('Inspections'!$M$4:$M$503,_calc!$E$195))&amp;". ")&amp;IF(LEN(IF(LEN(INDEX('Inspections'!$N$4:$N$503,_calc!$E$195))=0,"",INDEX('Inspections'!$N$4:$N$503,_calc!$E$195)))=0,"","Owner: "&amp;IF(LEN(INDEX('Inspections'!$N$4:$N$503,_calc!$E$195))=0,"",INDEX('Inspections'!$N$4:$N$503,_calc!$E$195))&amp;". ")&amp;IF(LEN(IF(LEN(INDEX('Inspections'!$O$4:$O$503,_calc!$E$195))=0,"",INDEX('Inspections'!$O$4:$O$503,_calc!$E$195)))=0,"","Backup: "&amp;IF(LEN(INDEX('Inspections'!$O$4:$O$503,_calc!$E$195))=0,"",INDEX('Inspections'!$O$4:$O$503,_calc!$E$195))&amp;". ")&amp;IF(LEN(IF(LEN(INDEX('Inspections'!$R$4:$R$503,_calc!$E$195))=0,"",INDEX('Inspections'!$R$4:$R$503,_calc!$E$195)))=0,"",IF(LEN(INDEX('Inspections'!$R$4:$R$503,_calc!$E$195))=0,"",INDEX('Inspections'!$R$4:$R$503,_calc!$E$195)))))</f>
        <v/>
      </c>
      <c r="G193" s="55">
        <f>IF(_calc!$E$195="","",IF(LEN(INDEX('Inspections'!$Q$4:$Q$503,_calc!$E$195))=0,"",INDEX('Inspections'!$Q$4:$Q$503,_calc!$E$195)))</f>
        <v/>
      </c>
      <c r="K193" s="55">
        <f>IF(_calc!$E$195="","",IF(LEN(INDEX('Inspections'!$P$4:$P$503,_calc!$E$195))=0,"",INDEX('Inspections'!$P$4:$P$503,_calc!$E$195)))</f>
        <v/>
      </c>
    </row>
    <row r="194">
      <c r="A194" s="55">
        <f>IF(_calc!$E$196="","",IF(LEN(INDEX('Inspections'!$C$4:$C$503,_calc!$E$196))=0,"",INDEX('Inspections'!$C$4:$C$503,_calc!$E$196))&amp;" – "&amp;IF(LEN(INDEX('Inspections'!$A$4:$A$503,_calc!$E$196))=0,"",INDEX('Inspections'!$A$4:$A$503,_calc!$E$196)))</f>
        <v/>
      </c>
      <c r="B194" s="55">
        <f>IF(_calc!$E$196="","",IF(ISNUMBER(INDEX('Inspections'!$H$4:$H$503,_calc!$E$196)),TEXT(INDEX('Inspections'!$H$4:$H$503,_calc!$E$196),"yyyy-mm-dd"),""))</f>
        <v/>
      </c>
      <c r="C194" s="55">
        <f>IF(_calc!$E$196="","","Inspection")</f>
        <v/>
      </c>
      <c r="D194" s="55">
        <f>IF(_calc!$E$196="","",IF(ISNUMBER(INDEX('Inspections'!$G$4:$G$503,_calc!$E$196)),TEXT(INDEX('Inspections'!$G$4:$G$503,_calc!$E$196),"yyyy-mm-dd"),""))</f>
        <v/>
      </c>
      <c r="F194" s="55">
        <f>IF(_calc!$E$196="","",TRIM(IF(LEN(IF(LEN(INDEX('Inspections'!$B$4:$B$503,_calc!$E$196))=0,"",INDEX('Inspections'!$B$4:$B$503,_calc!$E$196)))=0,"","System: "&amp;IF(LEN(INDEX('Inspections'!$B$4:$B$503,_calc!$E$196))=0,"",INDEX('Inspections'!$B$4:$B$503,_calc!$E$196))&amp;". ")&amp;IF(LEN(IF(LEN(INDEX('Inspections'!$D$4:$D$503,_calc!$E$196))=0,"",INDEX('Inspections'!$D$4:$D$503,_calc!$E$196)))=0,"","Every: "&amp;IF(LEN(INDEX('Inspections'!$D$4:$D$503,_calc!$E$196))=0,"",INDEX('Inspections'!$D$4:$D$503,_calc!$E$196))&amp;". ")&amp;IF(LEN(IF(LEN(INDEX('Inspections'!$E$4:$E$503,_calc!$E$196))=0,"",INDEX('Inspections'!$E$4:$E$503,_calc!$E$196)))=0,"","Unit: "&amp;IF(LEN(INDEX('Inspections'!$E$4:$E$503,_calc!$E$196))=0,"",INDEX('Inspections'!$E$4:$E$503,_calc!$E$196))&amp;". ")&amp;IF(LEN(IF(LEN(INDEX('Inspections'!$F$4:$F$503,_calc!$E$196))=0,"",INDEX('Inspections'!$F$4:$F$503,_calc!$E$196)))=0,"","Done by: "&amp;IF(LEN(INDEX('Inspections'!$F$4:$F$503,_calc!$E$196))=0,"",INDEX('Inspections'!$F$4:$F$503,_calc!$E$196))&amp;". ")&amp;IF(LEN(IF(LEN(INDEX('Inspections'!$M$4:$M$503,_calc!$E$196))=0,"",INDEX('Inspections'!$M$4:$M$503,_calc!$E$196)))=0,"","Source: "&amp;IF(LEN(INDEX('Inspections'!$M$4:$M$503,_calc!$E$196))=0,"",INDEX('Inspections'!$M$4:$M$503,_calc!$E$196))&amp;". ")&amp;IF(LEN(IF(LEN(INDEX('Inspections'!$N$4:$N$503,_calc!$E$196))=0,"",INDEX('Inspections'!$N$4:$N$503,_calc!$E$196)))=0,"","Owner: "&amp;IF(LEN(INDEX('Inspections'!$N$4:$N$503,_calc!$E$196))=0,"",INDEX('Inspections'!$N$4:$N$503,_calc!$E$196))&amp;". ")&amp;IF(LEN(IF(LEN(INDEX('Inspections'!$O$4:$O$503,_calc!$E$196))=0,"",INDEX('Inspections'!$O$4:$O$503,_calc!$E$196)))=0,"","Backup: "&amp;IF(LEN(INDEX('Inspections'!$O$4:$O$503,_calc!$E$196))=0,"",INDEX('Inspections'!$O$4:$O$503,_calc!$E$196))&amp;". ")&amp;IF(LEN(IF(LEN(INDEX('Inspections'!$R$4:$R$503,_calc!$E$196))=0,"",INDEX('Inspections'!$R$4:$R$503,_calc!$E$196)))=0,"",IF(LEN(INDEX('Inspections'!$R$4:$R$503,_calc!$E$196))=0,"",INDEX('Inspections'!$R$4:$R$503,_calc!$E$196)))))</f>
        <v/>
      </c>
      <c r="G194" s="55">
        <f>IF(_calc!$E$196="","",IF(LEN(INDEX('Inspections'!$Q$4:$Q$503,_calc!$E$196))=0,"",INDEX('Inspections'!$Q$4:$Q$503,_calc!$E$196)))</f>
        <v/>
      </c>
      <c r="K194" s="55">
        <f>IF(_calc!$E$196="","",IF(LEN(INDEX('Inspections'!$P$4:$P$503,_calc!$E$196))=0,"",INDEX('Inspections'!$P$4:$P$503,_calc!$E$196)))</f>
        <v/>
      </c>
    </row>
    <row r="195">
      <c r="A195" s="55">
        <f>IF(_calc!$E$197="","",IF(LEN(INDEX('Inspections'!$C$4:$C$503,_calc!$E$197))=0,"",INDEX('Inspections'!$C$4:$C$503,_calc!$E$197))&amp;" – "&amp;IF(LEN(INDEX('Inspections'!$A$4:$A$503,_calc!$E$197))=0,"",INDEX('Inspections'!$A$4:$A$503,_calc!$E$197)))</f>
        <v/>
      </c>
      <c r="B195" s="55">
        <f>IF(_calc!$E$197="","",IF(ISNUMBER(INDEX('Inspections'!$H$4:$H$503,_calc!$E$197)),TEXT(INDEX('Inspections'!$H$4:$H$503,_calc!$E$197),"yyyy-mm-dd"),""))</f>
        <v/>
      </c>
      <c r="C195" s="55">
        <f>IF(_calc!$E$197="","","Inspection")</f>
        <v/>
      </c>
      <c r="D195" s="55">
        <f>IF(_calc!$E$197="","",IF(ISNUMBER(INDEX('Inspections'!$G$4:$G$503,_calc!$E$197)),TEXT(INDEX('Inspections'!$G$4:$G$503,_calc!$E$197),"yyyy-mm-dd"),""))</f>
        <v/>
      </c>
      <c r="F195" s="55">
        <f>IF(_calc!$E$197="","",TRIM(IF(LEN(IF(LEN(INDEX('Inspections'!$B$4:$B$503,_calc!$E$197))=0,"",INDEX('Inspections'!$B$4:$B$503,_calc!$E$197)))=0,"","System: "&amp;IF(LEN(INDEX('Inspections'!$B$4:$B$503,_calc!$E$197))=0,"",INDEX('Inspections'!$B$4:$B$503,_calc!$E$197))&amp;". ")&amp;IF(LEN(IF(LEN(INDEX('Inspections'!$D$4:$D$503,_calc!$E$197))=0,"",INDEX('Inspections'!$D$4:$D$503,_calc!$E$197)))=0,"","Every: "&amp;IF(LEN(INDEX('Inspections'!$D$4:$D$503,_calc!$E$197))=0,"",INDEX('Inspections'!$D$4:$D$503,_calc!$E$197))&amp;". ")&amp;IF(LEN(IF(LEN(INDEX('Inspections'!$E$4:$E$503,_calc!$E$197))=0,"",INDEX('Inspections'!$E$4:$E$503,_calc!$E$197)))=0,"","Unit: "&amp;IF(LEN(INDEX('Inspections'!$E$4:$E$503,_calc!$E$197))=0,"",INDEX('Inspections'!$E$4:$E$503,_calc!$E$197))&amp;". ")&amp;IF(LEN(IF(LEN(INDEX('Inspections'!$F$4:$F$503,_calc!$E$197))=0,"",INDEX('Inspections'!$F$4:$F$503,_calc!$E$197)))=0,"","Done by: "&amp;IF(LEN(INDEX('Inspections'!$F$4:$F$503,_calc!$E$197))=0,"",INDEX('Inspections'!$F$4:$F$503,_calc!$E$197))&amp;". ")&amp;IF(LEN(IF(LEN(INDEX('Inspections'!$M$4:$M$503,_calc!$E$197))=0,"",INDEX('Inspections'!$M$4:$M$503,_calc!$E$197)))=0,"","Source: "&amp;IF(LEN(INDEX('Inspections'!$M$4:$M$503,_calc!$E$197))=0,"",INDEX('Inspections'!$M$4:$M$503,_calc!$E$197))&amp;". ")&amp;IF(LEN(IF(LEN(INDEX('Inspections'!$N$4:$N$503,_calc!$E$197))=0,"",INDEX('Inspections'!$N$4:$N$503,_calc!$E$197)))=0,"","Owner: "&amp;IF(LEN(INDEX('Inspections'!$N$4:$N$503,_calc!$E$197))=0,"",INDEX('Inspections'!$N$4:$N$503,_calc!$E$197))&amp;". ")&amp;IF(LEN(IF(LEN(INDEX('Inspections'!$O$4:$O$503,_calc!$E$197))=0,"",INDEX('Inspections'!$O$4:$O$503,_calc!$E$197)))=0,"","Backup: "&amp;IF(LEN(INDEX('Inspections'!$O$4:$O$503,_calc!$E$197))=0,"",INDEX('Inspections'!$O$4:$O$503,_calc!$E$197))&amp;". ")&amp;IF(LEN(IF(LEN(INDEX('Inspections'!$R$4:$R$503,_calc!$E$197))=0,"",INDEX('Inspections'!$R$4:$R$503,_calc!$E$197)))=0,"",IF(LEN(INDEX('Inspections'!$R$4:$R$503,_calc!$E$197))=0,"",INDEX('Inspections'!$R$4:$R$503,_calc!$E$197)))))</f>
        <v/>
      </c>
      <c r="G195" s="55">
        <f>IF(_calc!$E$197="","",IF(LEN(INDEX('Inspections'!$Q$4:$Q$503,_calc!$E$197))=0,"",INDEX('Inspections'!$Q$4:$Q$503,_calc!$E$197)))</f>
        <v/>
      </c>
      <c r="K195" s="55">
        <f>IF(_calc!$E$197="","",IF(LEN(INDEX('Inspections'!$P$4:$P$503,_calc!$E$197))=0,"",INDEX('Inspections'!$P$4:$P$503,_calc!$E$197)))</f>
        <v/>
      </c>
    </row>
    <row r="196">
      <c r="A196" s="55">
        <f>IF(_calc!$E$198="","",IF(LEN(INDEX('Inspections'!$C$4:$C$503,_calc!$E$198))=0,"",INDEX('Inspections'!$C$4:$C$503,_calc!$E$198))&amp;" – "&amp;IF(LEN(INDEX('Inspections'!$A$4:$A$503,_calc!$E$198))=0,"",INDEX('Inspections'!$A$4:$A$503,_calc!$E$198)))</f>
        <v/>
      </c>
      <c r="B196" s="55">
        <f>IF(_calc!$E$198="","",IF(ISNUMBER(INDEX('Inspections'!$H$4:$H$503,_calc!$E$198)),TEXT(INDEX('Inspections'!$H$4:$H$503,_calc!$E$198),"yyyy-mm-dd"),""))</f>
        <v/>
      </c>
      <c r="C196" s="55">
        <f>IF(_calc!$E$198="","","Inspection")</f>
        <v/>
      </c>
      <c r="D196" s="55">
        <f>IF(_calc!$E$198="","",IF(ISNUMBER(INDEX('Inspections'!$G$4:$G$503,_calc!$E$198)),TEXT(INDEX('Inspections'!$G$4:$G$503,_calc!$E$198),"yyyy-mm-dd"),""))</f>
        <v/>
      </c>
      <c r="F196" s="55">
        <f>IF(_calc!$E$198="","",TRIM(IF(LEN(IF(LEN(INDEX('Inspections'!$B$4:$B$503,_calc!$E$198))=0,"",INDEX('Inspections'!$B$4:$B$503,_calc!$E$198)))=0,"","System: "&amp;IF(LEN(INDEX('Inspections'!$B$4:$B$503,_calc!$E$198))=0,"",INDEX('Inspections'!$B$4:$B$503,_calc!$E$198))&amp;". ")&amp;IF(LEN(IF(LEN(INDEX('Inspections'!$D$4:$D$503,_calc!$E$198))=0,"",INDEX('Inspections'!$D$4:$D$503,_calc!$E$198)))=0,"","Every: "&amp;IF(LEN(INDEX('Inspections'!$D$4:$D$503,_calc!$E$198))=0,"",INDEX('Inspections'!$D$4:$D$503,_calc!$E$198))&amp;". ")&amp;IF(LEN(IF(LEN(INDEX('Inspections'!$E$4:$E$503,_calc!$E$198))=0,"",INDEX('Inspections'!$E$4:$E$503,_calc!$E$198)))=0,"","Unit: "&amp;IF(LEN(INDEX('Inspections'!$E$4:$E$503,_calc!$E$198))=0,"",INDEX('Inspections'!$E$4:$E$503,_calc!$E$198))&amp;". ")&amp;IF(LEN(IF(LEN(INDEX('Inspections'!$F$4:$F$503,_calc!$E$198))=0,"",INDEX('Inspections'!$F$4:$F$503,_calc!$E$198)))=0,"","Done by: "&amp;IF(LEN(INDEX('Inspections'!$F$4:$F$503,_calc!$E$198))=0,"",INDEX('Inspections'!$F$4:$F$503,_calc!$E$198))&amp;". ")&amp;IF(LEN(IF(LEN(INDEX('Inspections'!$M$4:$M$503,_calc!$E$198))=0,"",INDEX('Inspections'!$M$4:$M$503,_calc!$E$198)))=0,"","Source: "&amp;IF(LEN(INDEX('Inspections'!$M$4:$M$503,_calc!$E$198))=0,"",INDEX('Inspections'!$M$4:$M$503,_calc!$E$198))&amp;". ")&amp;IF(LEN(IF(LEN(INDEX('Inspections'!$N$4:$N$503,_calc!$E$198))=0,"",INDEX('Inspections'!$N$4:$N$503,_calc!$E$198)))=0,"","Owner: "&amp;IF(LEN(INDEX('Inspections'!$N$4:$N$503,_calc!$E$198))=0,"",INDEX('Inspections'!$N$4:$N$503,_calc!$E$198))&amp;". ")&amp;IF(LEN(IF(LEN(INDEX('Inspections'!$O$4:$O$503,_calc!$E$198))=0,"",INDEX('Inspections'!$O$4:$O$503,_calc!$E$198)))=0,"","Backup: "&amp;IF(LEN(INDEX('Inspections'!$O$4:$O$503,_calc!$E$198))=0,"",INDEX('Inspections'!$O$4:$O$503,_calc!$E$198))&amp;". ")&amp;IF(LEN(IF(LEN(INDEX('Inspections'!$R$4:$R$503,_calc!$E$198))=0,"",INDEX('Inspections'!$R$4:$R$503,_calc!$E$198)))=0,"",IF(LEN(INDEX('Inspections'!$R$4:$R$503,_calc!$E$198))=0,"",INDEX('Inspections'!$R$4:$R$503,_calc!$E$198)))))</f>
        <v/>
      </c>
      <c r="G196" s="55">
        <f>IF(_calc!$E$198="","",IF(LEN(INDEX('Inspections'!$Q$4:$Q$503,_calc!$E$198))=0,"",INDEX('Inspections'!$Q$4:$Q$503,_calc!$E$198)))</f>
        <v/>
      </c>
      <c r="K196" s="55">
        <f>IF(_calc!$E$198="","",IF(LEN(INDEX('Inspections'!$P$4:$P$503,_calc!$E$198))=0,"",INDEX('Inspections'!$P$4:$P$503,_calc!$E$198)))</f>
        <v/>
      </c>
    </row>
    <row r="197">
      <c r="A197" s="55">
        <f>IF(_calc!$E$199="","",IF(LEN(INDEX('Inspections'!$C$4:$C$503,_calc!$E$199))=0,"",INDEX('Inspections'!$C$4:$C$503,_calc!$E$199))&amp;" – "&amp;IF(LEN(INDEX('Inspections'!$A$4:$A$503,_calc!$E$199))=0,"",INDEX('Inspections'!$A$4:$A$503,_calc!$E$199)))</f>
        <v/>
      </c>
      <c r="B197" s="55">
        <f>IF(_calc!$E$199="","",IF(ISNUMBER(INDEX('Inspections'!$H$4:$H$503,_calc!$E$199)),TEXT(INDEX('Inspections'!$H$4:$H$503,_calc!$E$199),"yyyy-mm-dd"),""))</f>
        <v/>
      </c>
      <c r="C197" s="55">
        <f>IF(_calc!$E$199="","","Inspection")</f>
        <v/>
      </c>
      <c r="D197" s="55">
        <f>IF(_calc!$E$199="","",IF(ISNUMBER(INDEX('Inspections'!$G$4:$G$503,_calc!$E$199)),TEXT(INDEX('Inspections'!$G$4:$G$503,_calc!$E$199),"yyyy-mm-dd"),""))</f>
        <v/>
      </c>
      <c r="F197" s="55">
        <f>IF(_calc!$E$199="","",TRIM(IF(LEN(IF(LEN(INDEX('Inspections'!$B$4:$B$503,_calc!$E$199))=0,"",INDEX('Inspections'!$B$4:$B$503,_calc!$E$199)))=0,"","System: "&amp;IF(LEN(INDEX('Inspections'!$B$4:$B$503,_calc!$E$199))=0,"",INDEX('Inspections'!$B$4:$B$503,_calc!$E$199))&amp;". ")&amp;IF(LEN(IF(LEN(INDEX('Inspections'!$D$4:$D$503,_calc!$E$199))=0,"",INDEX('Inspections'!$D$4:$D$503,_calc!$E$199)))=0,"","Every: "&amp;IF(LEN(INDEX('Inspections'!$D$4:$D$503,_calc!$E$199))=0,"",INDEX('Inspections'!$D$4:$D$503,_calc!$E$199))&amp;". ")&amp;IF(LEN(IF(LEN(INDEX('Inspections'!$E$4:$E$503,_calc!$E$199))=0,"",INDEX('Inspections'!$E$4:$E$503,_calc!$E$199)))=0,"","Unit: "&amp;IF(LEN(INDEX('Inspections'!$E$4:$E$503,_calc!$E$199))=0,"",INDEX('Inspections'!$E$4:$E$503,_calc!$E$199))&amp;". ")&amp;IF(LEN(IF(LEN(INDEX('Inspections'!$F$4:$F$503,_calc!$E$199))=0,"",INDEX('Inspections'!$F$4:$F$503,_calc!$E$199)))=0,"","Done by: "&amp;IF(LEN(INDEX('Inspections'!$F$4:$F$503,_calc!$E$199))=0,"",INDEX('Inspections'!$F$4:$F$503,_calc!$E$199))&amp;". ")&amp;IF(LEN(IF(LEN(INDEX('Inspections'!$M$4:$M$503,_calc!$E$199))=0,"",INDEX('Inspections'!$M$4:$M$503,_calc!$E$199)))=0,"","Source: "&amp;IF(LEN(INDEX('Inspections'!$M$4:$M$503,_calc!$E$199))=0,"",INDEX('Inspections'!$M$4:$M$503,_calc!$E$199))&amp;". ")&amp;IF(LEN(IF(LEN(INDEX('Inspections'!$N$4:$N$503,_calc!$E$199))=0,"",INDEX('Inspections'!$N$4:$N$503,_calc!$E$199)))=0,"","Owner: "&amp;IF(LEN(INDEX('Inspections'!$N$4:$N$503,_calc!$E$199))=0,"",INDEX('Inspections'!$N$4:$N$503,_calc!$E$199))&amp;". ")&amp;IF(LEN(IF(LEN(INDEX('Inspections'!$O$4:$O$503,_calc!$E$199))=0,"",INDEX('Inspections'!$O$4:$O$503,_calc!$E$199)))=0,"","Backup: "&amp;IF(LEN(INDEX('Inspections'!$O$4:$O$503,_calc!$E$199))=0,"",INDEX('Inspections'!$O$4:$O$503,_calc!$E$199))&amp;". ")&amp;IF(LEN(IF(LEN(INDEX('Inspections'!$R$4:$R$503,_calc!$E$199))=0,"",INDEX('Inspections'!$R$4:$R$503,_calc!$E$199)))=0,"",IF(LEN(INDEX('Inspections'!$R$4:$R$503,_calc!$E$199))=0,"",INDEX('Inspections'!$R$4:$R$503,_calc!$E$199)))))</f>
        <v/>
      </c>
      <c r="G197" s="55">
        <f>IF(_calc!$E$199="","",IF(LEN(INDEX('Inspections'!$Q$4:$Q$503,_calc!$E$199))=0,"",INDEX('Inspections'!$Q$4:$Q$503,_calc!$E$199)))</f>
        <v/>
      </c>
      <c r="K197" s="55">
        <f>IF(_calc!$E$199="","",IF(LEN(INDEX('Inspections'!$P$4:$P$503,_calc!$E$199))=0,"",INDEX('Inspections'!$P$4:$P$503,_calc!$E$199)))</f>
        <v/>
      </c>
    </row>
    <row r="198">
      <c r="A198" s="55">
        <f>IF(_calc!$E$200="","",IF(LEN(INDEX('Inspections'!$C$4:$C$503,_calc!$E$200))=0,"",INDEX('Inspections'!$C$4:$C$503,_calc!$E$200))&amp;" – "&amp;IF(LEN(INDEX('Inspections'!$A$4:$A$503,_calc!$E$200))=0,"",INDEX('Inspections'!$A$4:$A$503,_calc!$E$200)))</f>
        <v/>
      </c>
      <c r="B198" s="55">
        <f>IF(_calc!$E$200="","",IF(ISNUMBER(INDEX('Inspections'!$H$4:$H$503,_calc!$E$200)),TEXT(INDEX('Inspections'!$H$4:$H$503,_calc!$E$200),"yyyy-mm-dd"),""))</f>
        <v/>
      </c>
      <c r="C198" s="55">
        <f>IF(_calc!$E$200="","","Inspection")</f>
        <v/>
      </c>
      <c r="D198" s="55">
        <f>IF(_calc!$E$200="","",IF(ISNUMBER(INDEX('Inspections'!$G$4:$G$503,_calc!$E$200)),TEXT(INDEX('Inspections'!$G$4:$G$503,_calc!$E$200),"yyyy-mm-dd"),""))</f>
        <v/>
      </c>
      <c r="F198" s="55">
        <f>IF(_calc!$E$200="","",TRIM(IF(LEN(IF(LEN(INDEX('Inspections'!$B$4:$B$503,_calc!$E$200))=0,"",INDEX('Inspections'!$B$4:$B$503,_calc!$E$200)))=0,"","System: "&amp;IF(LEN(INDEX('Inspections'!$B$4:$B$503,_calc!$E$200))=0,"",INDEX('Inspections'!$B$4:$B$503,_calc!$E$200))&amp;". ")&amp;IF(LEN(IF(LEN(INDEX('Inspections'!$D$4:$D$503,_calc!$E$200))=0,"",INDEX('Inspections'!$D$4:$D$503,_calc!$E$200)))=0,"","Every: "&amp;IF(LEN(INDEX('Inspections'!$D$4:$D$503,_calc!$E$200))=0,"",INDEX('Inspections'!$D$4:$D$503,_calc!$E$200))&amp;". ")&amp;IF(LEN(IF(LEN(INDEX('Inspections'!$E$4:$E$503,_calc!$E$200))=0,"",INDEX('Inspections'!$E$4:$E$503,_calc!$E$200)))=0,"","Unit: "&amp;IF(LEN(INDEX('Inspections'!$E$4:$E$503,_calc!$E$200))=0,"",INDEX('Inspections'!$E$4:$E$503,_calc!$E$200))&amp;". ")&amp;IF(LEN(IF(LEN(INDEX('Inspections'!$F$4:$F$503,_calc!$E$200))=0,"",INDEX('Inspections'!$F$4:$F$503,_calc!$E$200)))=0,"","Done by: "&amp;IF(LEN(INDEX('Inspections'!$F$4:$F$503,_calc!$E$200))=0,"",INDEX('Inspections'!$F$4:$F$503,_calc!$E$200))&amp;". ")&amp;IF(LEN(IF(LEN(INDEX('Inspections'!$M$4:$M$503,_calc!$E$200))=0,"",INDEX('Inspections'!$M$4:$M$503,_calc!$E$200)))=0,"","Source: "&amp;IF(LEN(INDEX('Inspections'!$M$4:$M$503,_calc!$E$200))=0,"",INDEX('Inspections'!$M$4:$M$503,_calc!$E$200))&amp;". ")&amp;IF(LEN(IF(LEN(INDEX('Inspections'!$N$4:$N$503,_calc!$E$200))=0,"",INDEX('Inspections'!$N$4:$N$503,_calc!$E$200)))=0,"","Owner: "&amp;IF(LEN(INDEX('Inspections'!$N$4:$N$503,_calc!$E$200))=0,"",INDEX('Inspections'!$N$4:$N$503,_calc!$E$200))&amp;". ")&amp;IF(LEN(IF(LEN(INDEX('Inspections'!$O$4:$O$503,_calc!$E$200))=0,"",INDEX('Inspections'!$O$4:$O$503,_calc!$E$200)))=0,"","Backup: "&amp;IF(LEN(INDEX('Inspections'!$O$4:$O$503,_calc!$E$200))=0,"",INDEX('Inspections'!$O$4:$O$503,_calc!$E$200))&amp;". ")&amp;IF(LEN(IF(LEN(INDEX('Inspections'!$R$4:$R$503,_calc!$E$200))=0,"",INDEX('Inspections'!$R$4:$R$503,_calc!$E$200)))=0,"",IF(LEN(INDEX('Inspections'!$R$4:$R$503,_calc!$E$200))=0,"",INDEX('Inspections'!$R$4:$R$503,_calc!$E$200)))))</f>
        <v/>
      </c>
      <c r="G198" s="55">
        <f>IF(_calc!$E$200="","",IF(LEN(INDEX('Inspections'!$Q$4:$Q$503,_calc!$E$200))=0,"",INDEX('Inspections'!$Q$4:$Q$503,_calc!$E$200)))</f>
        <v/>
      </c>
      <c r="K198" s="55">
        <f>IF(_calc!$E$200="","",IF(LEN(INDEX('Inspections'!$P$4:$P$503,_calc!$E$200))=0,"",INDEX('Inspections'!$P$4:$P$503,_calc!$E$200)))</f>
        <v/>
      </c>
    </row>
    <row r="199">
      <c r="A199" s="55">
        <f>IF(_calc!$E$201="","",IF(LEN(INDEX('Inspections'!$C$4:$C$503,_calc!$E$201))=0,"",INDEX('Inspections'!$C$4:$C$503,_calc!$E$201))&amp;" – "&amp;IF(LEN(INDEX('Inspections'!$A$4:$A$503,_calc!$E$201))=0,"",INDEX('Inspections'!$A$4:$A$503,_calc!$E$201)))</f>
        <v/>
      </c>
      <c r="B199" s="55">
        <f>IF(_calc!$E$201="","",IF(ISNUMBER(INDEX('Inspections'!$H$4:$H$503,_calc!$E$201)),TEXT(INDEX('Inspections'!$H$4:$H$503,_calc!$E$201),"yyyy-mm-dd"),""))</f>
        <v/>
      </c>
      <c r="C199" s="55">
        <f>IF(_calc!$E$201="","","Inspection")</f>
        <v/>
      </c>
      <c r="D199" s="55">
        <f>IF(_calc!$E$201="","",IF(ISNUMBER(INDEX('Inspections'!$G$4:$G$503,_calc!$E$201)),TEXT(INDEX('Inspections'!$G$4:$G$503,_calc!$E$201),"yyyy-mm-dd"),""))</f>
        <v/>
      </c>
      <c r="F199" s="55">
        <f>IF(_calc!$E$201="","",TRIM(IF(LEN(IF(LEN(INDEX('Inspections'!$B$4:$B$503,_calc!$E$201))=0,"",INDEX('Inspections'!$B$4:$B$503,_calc!$E$201)))=0,"","System: "&amp;IF(LEN(INDEX('Inspections'!$B$4:$B$503,_calc!$E$201))=0,"",INDEX('Inspections'!$B$4:$B$503,_calc!$E$201))&amp;". ")&amp;IF(LEN(IF(LEN(INDEX('Inspections'!$D$4:$D$503,_calc!$E$201))=0,"",INDEX('Inspections'!$D$4:$D$503,_calc!$E$201)))=0,"","Every: "&amp;IF(LEN(INDEX('Inspections'!$D$4:$D$503,_calc!$E$201))=0,"",INDEX('Inspections'!$D$4:$D$503,_calc!$E$201))&amp;". ")&amp;IF(LEN(IF(LEN(INDEX('Inspections'!$E$4:$E$503,_calc!$E$201))=0,"",INDEX('Inspections'!$E$4:$E$503,_calc!$E$201)))=0,"","Unit: "&amp;IF(LEN(INDEX('Inspections'!$E$4:$E$503,_calc!$E$201))=0,"",INDEX('Inspections'!$E$4:$E$503,_calc!$E$201))&amp;". ")&amp;IF(LEN(IF(LEN(INDEX('Inspections'!$F$4:$F$503,_calc!$E$201))=0,"",INDEX('Inspections'!$F$4:$F$503,_calc!$E$201)))=0,"","Done by: "&amp;IF(LEN(INDEX('Inspections'!$F$4:$F$503,_calc!$E$201))=0,"",INDEX('Inspections'!$F$4:$F$503,_calc!$E$201))&amp;". ")&amp;IF(LEN(IF(LEN(INDEX('Inspections'!$M$4:$M$503,_calc!$E$201))=0,"",INDEX('Inspections'!$M$4:$M$503,_calc!$E$201)))=0,"","Source: "&amp;IF(LEN(INDEX('Inspections'!$M$4:$M$503,_calc!$E$201))=0,"",INDEX('Inspections'!$M$4:$M$503,_calc!$E$201))&amp;". ")&amp;IF(LEN(IF(LEN(INDEX('Inspections'!$N$4:$N$503,_calc!$E$201))=0,"",INDEX('Inspections'!$N$4:$N$503,_calc!$E$201)))=0,"","Owner: "&amp;IF(LEN(INDEX('Inspections'!$N$4:$N$503,_calc!$E$201))=0,"",INDEX('Inspections'!$N$4:$N$503,_calc!$E$201))&amp;". ")&amp;IF(LEN(IF(LEN(INDEX('Inspections'!$O$4:$O$503,_calc!$E$201))=0,"",INDEX('Inspections'!$O$4:$O$503,_calc!$E$201)))=0,"","Backup: "&amp;IF(LEN(INDEX('Inspections'!$O$4:$O$503,_calc!$E$201))=0,"",INDEX('Inspections'!$O$4:$O$503,_calc!$E$201))&amp;". ")&amp;IF(LEN(IF(LEN(INDEX('Inspections'!$R$4:$R$503,_calc!$E$201))=0,"",INDEX('Inspections'!$R$4:$R$503,_calc!$E$201)))=0,"",IF(LEN(INDEX('Inspections'!$R$4:$R$503,_calc!$E$201))=0,"",INDEX('Inspections'!$R$4:$R$503,_calc!$E$201)))))</f>
        <v/>
      </c>
      <c r="G199" s="55">
        <f>IF(_calc!$E$201="","",IF(LEN(INDEX('Inspections'!$Q$4:$Q$503,_calc!$E$201))=0,"",INDEX('Inspections'!$Q$4:$Q$503,_calc!$E$201)))</f>
        <v/>
      </c>
      <c r="K199" s="55">
        <f>IF(_calc!$E$201="","",IF(LEN(INDEX('Inspections'!$P$4:$P$503,_calc!$E$201))=0,"",INDEX('Inspections'!$P$4:$P$503,_calc!$E$201)))</f>
        <v/>
      </c>
    </row>
    <row r="200">
      <c r="A200" s="55">
        <f>IF(_calc!$E$202="","",IF(LEN(INDEX('Inspections'!$C$4:$C$503,_calc!$E$202))=0,"",INDEX('Inspections'!$C$4:$C$503,_calc!$E$202))&amp;" – "&amp;IF(LEN(INDEX('Inspections'!$A$4:$A$503,_calc!$E$202))=0,"",INDEX('Inspections'!$A$4:$A$503,_calc!$E$202)))</f>
        <v/>
      </c>
      <c r="B200" s="55">
        <f>IF(_calc!$E$202="","",IF(ISNUMBER(INDEX('Inspections'!$H$4:$H$503,_calc!$E$202)),TEXT(INDEX('Inspections'!$H$4:$H$503,_calc!$E$202),"yyyy-mm-dd"),""))</f>
        <v/>
      </c>
      <c r="C200" s="55">
        <f>IF(_calc!$E$202="","","Inspection")</f>
        <v/>
      </c>
      <c r="D200" s="55">
        <f>IF(_calc!$E$202="","",IF(ISNUMBER(INDEX('Inspections'!$G$4:$G$503,_calc!$E$202)),TEXT(INDEX('Inspections'!$G$4:$G$503,_calc!$E$202),"yyyy-mm-dd"),""))</f>
        <v/>
      </c>
      <c r="F200" s="55">
        <f>IF(_calc!$E$202="","",TRIM(IF(LEN(IF(LEN(INDEX('Inspections'!$B$4:$B$503,_calc!$E$202))=0,"",INDEX('Inspections'!$B$4:$B$503,_calc!$E$202)))=0,"","System: "&amp;IF(LEN(INDEX('Inspections'!$B$4:$B$503,_calc!$E$202))=0,"",INDEX('Inspections'!$B$4:$B$503,_calc!$E$202))&amp;". ")&amp;IF(LEN(IF(LEN(INDEX('Inspections'!$D$4:$D$503,_calc!$E$202))=0,"",INDEX('Inspections'!$D$4:$D$503,_calc!$E$202)))=0,"","Every: "&amp;IF(LEN(INDEX('Inspections'!$D$4:$D$503,_calc!$E$202))=0,"",INDEX('Inspections'!$D$4:$D$503,_calc!$E$202))&amp;". ")&amp;IF(LEN(IF(LEN(INDEX('Inspections'!$E$4:$E$503,_calc!$E$202))=0,"",INDEX('Inspections'!$E$4:$E$503,_calc!$E$202)))=0,"","Unit: "&amp;IF(LEN(INDEX('Inspections'!$E$4:$E$503,_calc!$E$202))=0,"",INDEX('Inspections'!$E$4:$E$503,_calc!$E$202))&amp;". ")&amp;IF(LEN(IF(LEN(INDEX('Inspections'!$F$4:$F$503,_calc!$E$202))=0,"",INDEX('Inspections'!$F$4:$F$503,_calc!$E$202)))=0,"","Done by: "&amp;IF(LEN(INDEX('Inspections'!$F$4:$F$503,_calc!$E$202))=0,"",INDEX('Inspections'!$F$4:$F$503,_calc!$E$202))&amp;". ")&amp;IF(LEN(IF(LEN(INDEX('Inspections'!$M$4:$M$503,_calc!$E$202))=0,"",INDEX('Inspections'!$M$4:$M$503,_calc!$E$202)))=0,"","Source: "&amp;IF(LEN(INDEX('Inspections'!$M$4:$M$503,_calc!$E$202))=0,"",INDEX('Inspections'!$M$4:$M$503,_calc!$E$202))&amp;". ")&amp;IF(LEN(IF(LEN(INDEX('Inspections'!$N$4:$N$503,_calc!$E$202))=0,"",INDEX('Inspections'!$N$4:$N$503,_calc!$E$202)))=0,"","Owner: "&amp;IF(LEN(INDEX('Inspections'!$N$4:$N$503,_calc!$E$202))=0,"",INDEX('Inspections'!$N$4:$N$503,_calc!$E$202))&amp;". ")&amp;IF(LEN(IF(LEN(INDEX('Inspections'!$O$4:$O$503,_calc!$E$202))=0,"",INDEX('Inspections'!$O$4:$O$503,_calc!$E$202)))=0,"","Backup: "&amp;IF(LEN(INDEX('Inspections'!$O$4:$O$503,_calc!$E$202))=0,"",INDEX('Inspections'!$O$4:$O$503,_calc!$E$202))&amp;". ")&amp;IF(LEN(IF(LEN(INDEX('Inspections'!$R$4:$R$503,_calc!$E$202))=0,"",INDEX('Inspections'!$R$4:$R$503,_calc!$E$202)))=0,"",IF(LEN(INDEX('Inspections'!$R$4:$R$503,_calc!$E$202))=0,"",INDEX('Inspections'!$R$4:$R$503,_calc!$E$202)))))</f>
        <v/>
      </c>
      <c r="G200" s="55">
        <f>IF(_calc!$E$202="","",IF(LEN(INDEX('Inspections'!$Q$4:$Q$503,_calc!$E$202))=0,"",INDEX('Inspections'!$Q$4:$Q$503,_calc!$E$202)))</f>
        <v/>
      </c>
      <c r="K200" s="55">
        <f>IF(_calc!$E$202="","",IF(LEN(INDEX('Inspections'!$P$4:$P$503,_calc!$E$202))=0,"",INDEX('Inspections'!$P$4:$P$503,_calc!$E$202)))</f>
        <v/>
      </c>
    </row>
    <row r="201">
      <c r="A201" s="55">
        <f>IF(_calc!$E$203="","",IF(LEN(INDEX('Inspections'!$C$4:$C$503,_calc!$E$203))=0,"",INDEX('Inspections'!$C$4:$C$503,_calc!$E$203))&amp;" – "&amp;IF(LEN(INDEX('Inspections'!$A$4:$A$503,_calc!$E$203))=0,"",INDEX('Inspections'!$A$4:$A$503,_calc!$E$203)))</f>
        <v/>
      </c>
      <c r="B201" s="55">
        <f>IF(_calc!$E$203="","",IF(ISNUMBER(INDEX('Inspections'!$H$4:$H$503,_calc!$E$203)),TEXT(INDEX('Inspections'!$H$4:$H$503,_calc!$E$203),"yyyy-mm-dd"),""))</f>
        <v/>
      </c>
      <c r="C201" s="55">
        <f>IF(_calc!$E$203="","","Inspection")</f>
        <v/>
      </c>
      <c r="D201" s="55">
        <f>IF(_calc!$E$203="","",IF(ISNUMBER(INDEX('Inspections'!$G$4:$G$503,_calc!$E$203)),TEXT(INDEX('Inspections'!$G$4:$G$503,_calc!$E$203),"yyyy-mm-dd"),""))</f>
        <v/>
      </c>
      <c r="F201" s="55">
        <f>IF(_calc!$E$203="","",TRIM(IF(LEN(IF(LEN(INDEX('Inspections'!$B$4:$B$503,_calc!$E$203))=0,"",INDEX('Inspections'!$B$4:$B$503,_calc!$E$203)))=0,"","System: "&amp;IF(LEN(INDEX('Inspections'!$B$4:$B$503,_calc!$E$203))=0,"",INDEX('Inspections'!$B$4:$B$503,_calc!$E$203))&amp;". ")&amp;IF(LEN(IF(LEN(INDEX('Inspections'!$D$4:$D$503,_calc!$E$203))=0,"",INDEX('Inspections'!$D$4:$D$503,_calc!$E$203)))=0,"","Every: "&amp;IF(LEN(INDEX('Inspections'!$D$4:$D$503,_calc!$E$203))=0,"",INDEX('Inspections'!$D$4:$D$503,_calc!$E$203))&amp;". ")&amp;IF(LEN(IF(LEN(INDEX('Inspections'!$E$4:$E$503,_calc!$E$203))=0,"",INDEX('Inspections'!$E$4:$E$503,_calc!$E$203)))=0,"","Unit: "&amp;IF(LEN(INDEX('Inspections'!$E$4:$E$503,_calc!$E$203))=0,"",INDEX('Inspections'!$E$4:$E$503,_calc!$E$203))&amp;". ")&amp;IF(LEN(IF(LEN(INDEX('Inspections'!$F$4:$F$503,_calc!$E$203))=0,"",INDEX('Inspections'!$F$4:$F$503,_calc!$E$203)))=0,"","Done by: "&amp;IF(LEN(INDEX('Inspections'!$F$4:$F$503,_calc!$E$203))=0,"",INDEX('Inspections'!$F$4:$F$503,_calc!$E$203))&amp;". ")&amp;IF(LEN(IF(LEN(INDEX('Inspections'!$M$4:$M$503,_calc!$E$203))=0,"",INDEX('Inspections'!$M$4:$M$503,_calc!$E$203)))=0,"","Source: "&amp;IF(LEN(INDEX('Inspections'!$M$4:$M$503,_calc!$E$203))=0,"",INDEX('Inspections'!$M$4:$M$503,_calc!$E$203))&amp;". ")&amp;IF(LEN(IF(LEN(INDEX('Inspections'!$N$4:$N$503,_calc!$E$203))=0,"",INDEX('Inspections'!$N$4:$N$503,_calc!$E$203)))=0,"","Owner: "&amp;IF(LEN(INDEX('Inspections'!$N$4:$N$503,_calc!$E$203))=0,"",INDEX('Inspections'!$N$4:$N$503,_calc!$E$203))&amp;". ")&amp;IF(LEN(IF(LEN(INDEX('Inspections'!$O$4:$O$503,_calc!$E$203))=0,"",INDEX('Inspections'!$O$4:$O$503,_calc!$E$203)))=0,"","Backup: "&amp;IF(LEN(INDEX('Inspections'!$O$4:$O$503,_calc!$E$203))=0,"",INDEX('Inspections'!$O$4:$O$503,_calc!$E$203))&amp;". ")&amp;IF(LEN(IF(LEN(INDEX('Inspections'!$R$4:$R$503,_calc!$E$203))=0,"",INDEX('Inspections'!$R$4:$R$503,_calc!$E$203)))=0,"",IF(LEN(INDEX('Inspections'!$R$4:$R$503,_calc!$E$203))=0,"",INDEX('Inspections'!$R$4:$R$503,_calc!$E$203)))))</f>
        <v/>
      </c>
      <c r="G201" s="55">
        <f>IF(_calc!$E$203="","",IF(LEN(INDEX('Inspections'!$Q$4:$Q$503,_calc!$E$203))=0,"",INDEX('Inspections'!$Q$4:$Q$503,_calc!$E$203)))</f>
        <v/>
      </c>
      <c r="K201" s="55">
        <f>IF(_calc!$E$203="","",IF(LEN(INDEX('Inspections'!$P$4:$P$503,_calc!$E$203))=0,"",INDEX('Inspections'!$P$4:$P$503,_calc!$E$203)))</f>
        <v/>
      </c>
    </row>
    <row r="202">
      <c r="A202" s="55">
        <f>IF(_calc!$E$204="","",IF(LEN(INDEX('Inspections'!$C$4:$C$503,_calc!$E$204))=0,"",INDEX('Inspections'!$C$4:$C$503,_calc!$E$204))&amp;" – "&amp;IF(LEN(INDEX('Inspections'!$A$4:$A$503,_calc!$E$204))=0,"",INDEX('Inspections'!$A$4:$A$503,_calc!$E$204)))</f>
        <v/>
      </c>
      <c r="B202" s="55">
        <f>IF(_calc!$E$204="","",IF(ISNUMBER(INDEX('Inspections'!$H$4:$H$503,_calc!$E$204)),TEXT(INDEX('Inspections'!$H$4:$H$503,_calc!$E$204),"yyyy-mm-dd"),""))</f>
        <v/>
      </c>
      <c r="C202" s="55">
        <f>IF(_calc!$E$204="","","Inspection")</f>
        <v/>
      </c>
      <c r="D202" s="55">
        <f>IF(_calc!$E$204="","",IF(ISNUMBER(INDEX('Inspections'!$G$4:$G$503,_calc!$E$204)),TEXT(INDEX('Inspections'!$G$4:$G$503,_calc!$E$204),"yyyy-mm-dd"),""))</f>
        <v/>
      </c>
      <c r="F202" s="55">
        <f>IF(_calc!$E$204="","",TRIM(IF(LEN(IF(LEN(INDEX('Inspections'!$B$4:$B$503,_calc!$E$204))=0,"",INDEX('Inspections'!$B$4:$B$503,_calc!$E$204)))=0,"","System: "&amp;IF(LEN(INDEX('Inspections'!$B$4:$B$503,_calc!$E$204))=0,"",INDEX('Inspections'!$B$4:$B$503,_calc!$E$204))&amp;". ")&amp;IF(LEN(IF(LEN(INDEX('Inspections'!$D$4:$D$503,_calc!$E$204))=0,"",INDEX('Inspections'!$D$4:$D$503,_calc!$E$204)))=0,"","Every: "&amp;IF(LEN(INDEX('Inspections'!$D$4:$D$503,_calc!$E$204))=0,"",INDEX('Inspections'!$D$4:$D$503,_calc!$E$204))&amp;". ")&amp;IF(LEN(IF(LEN(INDEX('Inspections'!$E$4:$E$503,_calc!$E$204))=0,"",INDEX('Inspections'!$E$4:$E$503,_calc!$E$204)))=0,"","Unit: "&amp;IF(LEN(INDEX('Inspections'!$E$4:$E$503,_calc!$E$204))=0,"",INDEX('Inspections'!$E$4:$E$503,_calc!$E$204))&amp;". ")&amp;IF(LEN(IF(LEN(INDEX('Inspections'!$F$4:$F$503,_calc!$E$204))=0,"",INDEX('Inspections'!$F$4:$F$503,_calc!$E$204)))=0,"","Done by: "&amp;IF(LEN(INDEX('Inspections'!$F$4:$F$503,_calc!$E$204))=0,"",INDEX('Inspections'!$F$4:$F$503,_calc!$E$204))&amp;". ")&amp;IF(LEN(IF(LEN(INDEX('Inspections'!$M$4:$M$503,_calc!$E$204))=0,"",INDEX('Inspections'!$M$4:$M$503,_calc!$E$204)))=0,"","Source: "&amp;IF(LEN(INDEX('Inspections'!$M$4:$M$503,_calc!$E$204))=0,"",INDEX('Inspections'!$M$4:$M$503,_calc!$E$204))&amp;". ")&amp;IF(LEN(IF(LEN(INDEX('Inspections'!$N$4:$N$503,_calc!$E$204))=0,"",INDEX('Inspections'!$N$4:$N$503,_calc!$E$204)))=0,"","Owner: "&amp;IF(LEN(INDEX('Inspections'!$N$4:$N$503,_calc!$E$204))=0,"",INDEX('Inspections'!$N$4:$N$503,_calc!$E$204))&amp;". ")&amp;IF(LEN(IF(LEN(INDEX('Inspections'!$O$4:$O$503,_calc!$E$204))=0,"",INDEX('Inspections'!$O$4:$O$503,_calc!$E$204)))=0,"","Backup: "&amp;IF(LEN(INDEX('Inspections'!$O$4:$O$503,_calc!$E$204))=0,"",INDEX('Inspections'!$O$4:$O$503,_calc!$E$204))&amp;". ")&amp;IF(LEN(IF(LEN(INDEX('Inspections'!$R$4:$R$503,_calc!$E$204))=0,"",INDEX('Inspections'!$R$4:$R$503,_calc!$E$204)))=0,"",IF(LEN(INDEX('Inspections'!$R$4:$R$503,_calc!$E$204))=0,"",INDEX('Inspections'!$R$4:$R$503,_calc!$E$204)))))</f>
        <v/>
      </c>
      <c r="G202" s="55">
        <f>IF(_calc!$E$204="","",IF(LEN(INDEX('Inspections'!$Q$4:$Q$503,_calc!$E$204))=0,"",INDEX('Inspections'!$Q$4:$Q$503,_calc!$E$204)))</f>
        <v/>
      </c>
      <c r="K202" s="55">
        <f>IF(_calc!$E$204="","",IF(LEN(INDEX('Inspections'!$P$4:$P$503,_calc!$E$204))=0,"",INDEX('Inspections'!$P$4:$P$503,_calc!$E$204)))</f>
        <v/>
      </c>
    </row>
    <row r="203">
      <c r="A203" s="55">
        <f>IF(_calc!$E$205="","",IF(LEN(INDEX('Inspections'!$C$4:$C$503,_calc!$E$205))=0,"",INDEX('Inspections'!$C$4:$C$503,_calc!$E$205))&amp;" – "&amp;IF(LEN(INDEX('Inspections'!$A$4:$A$503,_calc!$E$205))=0,"",INDEX('Inspections'!$A$4:$A$503,_calc!$E$205)))</f>
        <v/>
      </c>
      <c r="B203" s="55">
        <f>IF(_calc!$E$205="","",IF(ISNUMBER(INDEX('Inspections'!$H$4:$H$503,_calc!$E$205)),TEXT(INDEX('Inspections'!$H$4:$H$503,_calc!$E$205),"yyyy-mm-dd"),""))</f>
        <v/>
      </c>
      <c r="C203" s="55">
        <f>IF(_calc!$E$205="","","Inspection")</f>
        <v/>
      </c>
      <c r="D203" s="55">
        <f>IF(_calc!$E$205="","",IF(ISNUMBER(INDEX('Inspections'!$G$4:$G$503,_calc!$E$205)),TEXT(INDEX('Inspections'!$G$4:$G$503,_calc!$E$205),"yyyy-mm-dd"),""))</f>
        <v/>
      </c>
      <c r="F203" s="55">
        <f>IF(_calc!$E$205="","",TRIM(IF(LEN(IF(LEN(INDEX('Inspections'!$B$4:$B$503,_calc!$E$205))=0,"",INDEX('Inspections'!$B$4:$B$503,_calc!$E$205)))=0,"","System: "&amp;IF(LEN(INDEX('Inspections'!$B$4:$B$503,_calc!$E$205))=0,"",INDEX('Inspections'!$B$4:$B$503,_calc!$E$205))&amp;". ")&amp;IF(LEN(IF(LEN(INDEX('Inspections'!$D$4:$D$503,_calc!$E$205))=0,"",INDEX('Inspections'!$D$4:$D$503,_calc!$E$205)))=0,"","Every: "&amp;IF(LEN(INDEX('Inspections'!$D$4:$D$503,_calc!$E$205))=0,"",INDEX('Inspections'!$D$4:$D$503,_calc!$E$205))&amp;". ")&amp;IF(LEN(IF(LEN(INDEX('Inspections'!$E$4:$E$503,_calc!$E$205))=0,"",INDEX('Inspections'!$E$4:$E$503,_calc!$E$205)))=0,"","Unit: "&amp;IF(LEN(INDEX('Inspections'!$E$4:$E$503,_calc!$E$205))=0,"",INDEX('Inspections'!$E$4:$E$503,_calc!$E$205))&amp;". ")&amp;IF(LEN(IF(LEN(INDEX('Inspections'!$F$4:$F$503,_calc!$E$205))=0,"",INDEX('Inspections'!$F$4:$F$503,_calc!$E$205)))=0,"","Done by: "&amp;IF(LEN(INDEX('Inspections'!$F$4:$F$503,_calc!$E$205))=0,"",INDEX('Inspections'!$F$4:$F$503,_calc!$E$205))&amp;". ")&amp;IF(LEN(IF(LEN(INDEX('Inspections'!$M$4:$M$503,_calc!$E$205))=0,"",INDEX('Inspections'!$M$4:$M$503,_calc!$E$205)))=0,"","Source: "&amp;IF(LEN(INDEX('Inspections'!$M$4:$M$503,_calc!$E$205))=0,"",INDEX('Inspections'!$M$4:$M$503,_calc!$E$205))&amp;". ")&amp;IF(LEN(IF(LEN(INDEX('Inspections'!$N$4:$N$503,_calc!$E$205))=0,"",INDEX('Inspections'!$N$4:$N$503,_calc!$E$205)))=0,"","Owner: "&amp;IF(LEN(INDEX('Inspections'!$N$4:$N$503,_calc!$E$205))=0,"",INDEX('Inspections'!$N$4:$N$503,_calc!$E$205))&amp;". ")&amp;IF(LEN(IF(LEN(INDEX('Inspections'!$O$4:$O$503,_calc!$E$205))=0,"",INDEX('Inspections'!$O$4:$O$503,_calc!$E$205)))=0,"","Backup: "&amp;IF(LEN(INDEX('Inspections'!$O$4:$O$503,_calc!$E$205))=0,"",INDEX('Inspections'!$O$4:$O$503,_calc!$E$205))&amp;". ")&amp;IF(LEN(IF(LEN(INDEX('Inspections'!$R$4:$R$503,_calc!$E$205))=0,"",INDEX('Inspections'!$R$4:$R$503,_calc!$E$205)))=0,"",IF(LEN(INDEX('Inspections'!$R$4:$R$503,_calc!$E$205))=0,"",INDEX('Inspections'!$R$4:$R$503,_calc!$E$205)))))</f>
        <v/>
      </c>
      <c r="G203" s="55">
        <f>IF(_calc!$E$205="","",IF(LEN(INDEX('Inspections'!$Q$4:$Q$503,_calc!$E$205))=0,"",INDEX('Inspections'!$Q$4:$Q$503,_calc!$E$205)))</f>
        <v/>
      </c>
      <c r="K203" s="55">
        <f>IF(_calc!$E$205="","",IF(LEN(INDEX('Inspections'!$P$4:$P$503,_calc!$E$205))=0,"",INDEX('Inspections'!$P$4:$P$503,_calc!$E$205)))</f>
        <v/>
      </c>
    </row>
    <row r="204">
      <c r="A204" s="55">
        <f>IF(_calc!$E$206="","",IF(LEN(INDEX('Inspections'!$C$4:$C$503,_calc!$E$206))=0,"",INDEX('Inspections'!$C$4:$C$503,_calc!$E$206))&amp;" – "&amp;IF(LEN(INDEX('Inspections'!$A$4:$A$503,_calc!$E$206))=0,"",INDEX('Inspections'!$A$4:$A$503,_calc!$E$206)))</f>
        <v/>
      </c>
      <c r="B204" s="55">
        <f>IF(_calc!$E$206="","",IF(ISNUMBER(INDEX('Inspections'!$H$4:$H$503,_calc!$E$206)),TEXT(INDEX('Inspections'!$H$4:$H$503,_calc!$E$206),"yyyy-mm-dd"),""))</f>
        <v/>
      </c>
      <c r="C204" s="55">
        <f>IF(_calc!$E$206="","","Inspection")</f>
        <v/>
      </c>
      <c r="D204" s="55">
        <f>IF(_calc!$E$206="","",IF(ISNUMBER(INDEX('Inspections'!$G$4:$G$503,_calc!$E$206)),TEXT(INDEX('Inspections'!$G$4:$G$503,_calc!$E$206),"yyyy-mm-dd"),""))</f>
        <v/>
      </c>
      <c r="F204" s="55">
        <f>IF(_calc!$E$206="","",TRIM(IF(LEN(IF(LEN(INDEX('Inspections'!$B$4:$B$503,_calc!$E$206))=0,"",INDEX('Inspections'!$B$4:$B$503,_calc!$E$206)))=0,"","System: "&amp;IF(LEN(INDEX('Inspections'!$B$4:$B$503,_calc!$E$206))=0,"",INDEX('Inspections'!$B$4:$B$503,_calc!$E$206))&amp;". ")&amp;IF(LEN(IF(LEN(INDEX('Inspections'!$D$4:$D$503,_calc!$E$206))=0,"",INDEX('Inspections'!$D$4:$D$503,_calc!$E$206)))=0,"","Every: "&amp;IF(LEN(INDEX('Inspections'!$D$4:$D$503,_calc!$E$206))=0,"",INDEX('Inspections'!$D$4:$D$503,_calc!$E$206))&amp;". ")&amp;IF(LEN(IF(LEN(INDEX('Inspections'!$E$4:$E$503,_calc!$E$206))=0,"",INDEX('Inspections'!$E$4:$E$503,_calc!$E$206)))=0,"","Unit: "&amp;IF(LEN(INDEX('Inspections'!$E$4:$E$503,_calc!$E$206))=0,"",INDEX('Inspections'!$E$4:$E$503,_calc!$E$206))&amp;". ")&amp;IF(LEN(IF(LEN(INDEX('Inspections'!$F$4:$F$503,_calc!$E$206))=0,"",INDEX('Inspections'!$F$4:$F$503,_calc!$E$206)))=0,"","Done by: "&amp;IF(LEN(INDEX('Inspections'!$F$4:$F$503,_calc!$E$206))=0,"",INDEX('Inspections'!$F$4:$F$503,_calc!$E$206))&amp;". ")&amp;IF(LEN(IF(LEN(INDEX('Inspections'!$M$4:$M$503,_calc!$E$206))=0,"",INDEX('Inspections'!$M$4:$M$503,_calc!$E$206)))=0,"","Source: "&amp;IF(LEN(INDEX('Inspections'!$M$4:$M$503,_calc!$E$206))=0,"",INDEX('Inspections'!$M$4:$M$503,_calc!$E$206))&amp;". ")&amp;IF(LEN(IF(LEN(INDEX('Inspections'!$N$4:$N$503,_calc!$E$206))=0,"",INDEX('Inspections'!$N$4:$N$503,_calc!$E$206)))=0,"","Owner: "&amp;IF(LEN(INDEX('Inspections'!$N$4:$N$503,_calc!$E$206))=0,"",INDEX('Inspections'!$N$4:$N$503,_calc!$E$206))&amp;". ")&amp;IF(LEN(IF(LEN(INDEX('Inspections'!$O$4:$O$503,_calc!$E$206))=0,"",INDEX('Inspections'!$O$4:$O$503,_calc!$E$206)))=0,"","Backup: "&amp;IF(LEN(INDEX('Inspections'!$O$4:$O$503,_calc!$E$206))=0,"",INDEX('Inspections'!$O$4:$O$503,_calc!$E$206))&amp;". ")&amp;IF(LEN(IF(LEN(INDEX('Inspections'!$R$4:$R$503,_calc!$E$206))=0,"",INDEX('Inspections'!$R$4:$R$503,_calc!$E$206)))=0,"",IF(LEN(INDEX('Inspections'!$R$4:$R$503,_calc!$E$206))=0,"",INDEX('Inspections'!$R$4:$R$503,_calc!$E$206)))))</f>
        <v/>
      </c>
      <c r="G204" s="55">
        <f>IF(_calc!$E$206="","",IF(LEN(INDEX('Inspections'!$Q$4:$Q$503,_calc!$E$206))=0,"",INDEX('Inspections'!$Q$4:$Q$503,_calc!$E$206)))</f>
        <v/>
      </c>
      <c r="K204" s="55">
        <f>IF(_calc!$E$206="","",IF(LEN(INDEX('Inspections'!$P$4:$P$503,_calc!$E$206))=0,"",INDEX('Inspections'!$P$4:$P$503,_calc!$E$206)))</f>
        <v/>
      </c>
    </row>
    <row r="205">
      <c r="A205" s="55">
        <f>IF(_calc!$E$207="","",IF(LEN(INDEX('Inspections'!$C$4:$C$503,_calc!$E$207))=0,"",INDEX('Inspections'!$C$4:$C$503,_calc!$E$207))&amp;" – "&amp;IF(LEN(INDEX('Inspections'!$A$4:$A$503,_calc!$E$207))=0,"",INDEX('Inspections'!$A$4:$A$503,_calc!$E$207)))</f>
        <v/>
      </c>
      <c r="B205" s="55">
        <f>IF(_calc!$E$207="","",IF(ISNUMBER(INDEX('Inspections'!$H$4:$H$503,_calc!$E$207)),TEXT(INDEX('Inspections'!$H$4:$H$503,_calc!$E$207),"yyyy-mm-dd"),""))</f>
        <v/>
      </c>
      <c r="C205" s="55">
        <f>IF(_calc!$E$207="","","Inspection")</f>
        <v/>
      </c>
      <c r="D205" s="55">
        <f>IF(_calc!$E$207="","",IF(ISNUMBER(INDEX('Inspections'!$G$4:$G$503,_calc!$E$207)),TEXT(INDEX('Inspections'!$G$4:$G$503,_calc!$E$207),"yyyy-mm-dd"),""))</f>
        <v/>
      </c>
      <c r="F205" s="55">
        <f>IF(_calc!$E$207="","",TRIM(IF(LEN(IF(LEN(INDEX('Inspections'!$B$4:$B$503,_calc!$E$207))=0,"",INDEX('Inspections'!$B$4:$B$503,_calc!$E$207)))=0,"","System: "&amp;IF(LEN(INDEX('Inspections'!$B$4:$B$503,_calc!$E$207))=0,"",INDEX('Inspections'!$B$4:$B$503,_calc!$E$207))&amp;". ")&amp;IF(LEN(IF(LEN(INDEX('Inspections'!$D$4:$D$503,_calc!$E$207))=0,"",INDEX('Inspections'!$D$4:$D$503,_calc!$E$207)))=0,"","Every: "&amp;IF(LEN(INDEX('Inspections'!$D$4:$D$503,_calc!$E$207))=0,"",INDEX('Inspections'!$D$4:$D$503,_calc!$E$207))&amp;". ")&amp;IF(LEN(IF(LEN(INDEX('Inspections'!$E$4:$E$503,_calc!$E$207))=0,"",INDEX('Inspections'!$E$4:$E$503,_calc!$E$207)))=0,"","Unit: "&amp;IF(LEN(INDEX('Inspections'!$E$4:$E$503,_calc!$E$207))=0,"",INDEX('Inspections'!$E$4:$E$503,_calc!$E$207))&amp;". ")&amp;IF(LEN(IF(LEN(INDEX('Inspections'!$F$4:$F$503,_calc!$E$207))=0,"",INDEX('Inspections'!$F$4:$F$503,_calc!$E$207)))=0,"","Done by: "&amp;IF(LEN(INDEX('Inspections'!$F$4:$F$503,_calc!$E$207))=0,"",INDEX('Inspections'!$F$4:$F$503,_calc!$E$207))&amp;". ")&amp;IF(LEN(IF(LEN(INDEX('Inspections'!$M$4:$M$503,_calc!$E$207))=0,"",INDEX('Inspections'!$M$4:$M$503,_calc!$E$207)))=0,"","Source: "&amp;IF(LEN(INDEX('Inspections'!$M$4:$M$503,_calc!$E$207))=0,"",INDEX('Inspections'!$M$4:$M$503,_calc!$E$207))&amp;". ")&amp;IF(LEN(IF(LEN(INDEX('Inspections'!$N$4:$N$503,_calc!$E$207))=0,"",INDEX('Inspections'!$N$4:$N$503,_calc!$E$207)))=0,"","Owner: "&amp;IF(LEN(INDEX('Inspections'!$N$4:$N$503,_calc!$E$207))=0,"",INDEX('Inspections'!$N$4:$N$503,_calc!$E$207))&amp;". ")&amp;IF(LEN(IF(LEN(INDEX('Inspections'!$O$4:$O$503,_calc!$E$207))=0,"",INDEX('Inspections'!$O$4:$O$503,_calc!$E$207)))=0,"","Backup: "&amp;IF(LEN(INDEX('Inspections'!$O$4:$O$503,_calc!$E$207))=0,"",INDEX('Inspections'!$O$4:$O$503,_calc!$E$207))&amp;". ")&amp;IF(LEN(IF(LEN(INDEX('Inspections'!$R$4:$R$503,_calc!$E$207))=0,"",INDEX('Inspections'!$R$4:$R$503,_calc!$E$207)))=0,"",IF(LEN(INDEX('Inspections'!$R$4:$R$503,_calc!$E$207))=0,"",INDEX('Inspections'!$R$4:$R$503,_calc!$E$207)))))</f>
        <v/>
      </c>
      <c r="G205" s="55">
        <f>IF(_calc!$E$207="","",IF(LEN(INDEX('Inspections'!$Q$4:$Q$503,_calc!$E$207))=0,"",INDEX('Inspections'!$Q$4:$Q$503,_calc!$E$207)))</f>
        <v/>
      </c>
      <c r="K205" s="55">
        <f>IF(_calc!$E$207="","",IF(LEN(INDEX('Inspections'!$P$4:$P$503,_calc!$E$207))=0,"",INDEX('Inspections'!$P$4:$P$503,_calc!$E$207)))</f>
        <v/>
      </c>
    </row>
    <row r="206">
      <c r="A206" s="55">
        <f>IF(_calc!$E$208="","",IF(LEN(INDEX('Inspections'!$C$4:$C$503,_calc!$E$208))=0,"",INDEX('Inspections'!$C$4:$C$503,_calc!$E$208))&amp;" – "&amp;IF(LEN(INDEX('Inspections'!$A$4:$A$503,_calc!$E$208))=0,"",INDEX('Inspections'!$A$4:$A$503,_calc!$E$208)))</f>
        <v/>
      </c>
      <c r="B206" s="55">
        <f>IF(_calc!$E$208="","",IF(ISNUMBER(INDEX('Inspections'!$H$4:$H$503,_calc!$E$208)),TEXT(INDEX('Inspections'!$H$4:$H$503,_calc!$E$208),"yyyy-mm-dd"),""))</f>
        <v/>
      </c>
      <c r="C206" s="55">
        <f>IF(_calc!$E$208="","","Inspection")</f>
        <v/>
      </c>
      <c r="D206" s="55">
        <f>IF(_calc!$E$208="","",IF(ISNUMBER(INDEX('Inspections'!$G$4:$G$503,_calc!$E$208)),TEXT(INDEX('Inspections'!$G$4:$G$503,_calc!$E$208),"yyyy-mm-dd"),""))</f>
        <v/>
      </c>
      <c r="F206" s="55">
        <f>IF(_calc!$E$208="","",TRIM(IF(LEN(IF(LEN(INDEX('Inspections'!$B$4:$B$503,_calc!$E$208))=0,"",INDEX('Inspections'!$B$4:$B$503,_calc!$E$208)))=0,"","System: "&amp;IF(LEN(INDEX('Inspections'!$B$4:$B$503,_calc!$E$208))=0,"",INDEX('Inspections'!$B$4:$B$503,_calc!$E$208))&amp;". ")&amp;IF(LEN(IF(LEN(INDEX('Inspections'!$D$4:$D$503,_calc!$E$208))=0,"",INDEX('Inspections'!$D$4:$D$503,_calc!$E$208)))=0,"","Every: "&amp;IF(LEN(INDEX('Inspections'!$D$4:$D$503,_calc!$E$208))=0,"",INDEX('Inspections'!$D$4:$D$503,_calc!$E$208))&amp;". ")&amp;IF(LEN(IF(LEN(INDEX('Inspections'!$E$4:$E$503,_calc!$E$208))=0,"",INDEX('Inspections'!$E$4:$E$503,_calc!$E$208)))=0,"","Unit: "&amp;IF(LEN(INDEX('Inspections'!$E$4:$E$503,_calc!$E$208))=0,"",INDEX('Inspections'!$E$4:$E$503,_calc!$E$208))&amp;". ")&amp;IF(LEN(IF(LEN(INDEX('Inspections'!$F$4:$F$503,_calc!$E$208))=0,"",INDEX('Inspections'!$F$4:$F$503,_calc!$E$208)))=0,"","Done by: "&amp;IF(LEN(INDEX('Inspections'!$F$4:$F$503,_calc!$E$208))=0,"",INDEX('Inspections'!$F$4:$F$503,_calc!$E$208))&amp;". ")&amp;IF(LEN(IF(LEN(INDEX('Inspections'!$M$4:$M$503,_calc!$E$208))=0,"",INDEX('Inspections'!$M$4:$M$503,_calc!$E$208)))=0,"","Source: "&amp;IF(LEN(INDEX('Inspections'!$M$4:$M$503,_calc!$E$208))=0,"",INDEX('Inspections'!$M$4:$M$503,_calc!$E$208))&amp;". ")&amp;IF(LEN(IF(LEN(INDEX('Inspections'!$N$4:$N$503,_calc!$E$208))=0,"",INDEX('Inspections'!$N$4:$N$503,_calc!$E$208)))=0,"","Owner: "&amp;IF(LEN(INDEX('Inspections'!$N$4:$N$503,_calc!$E$208))=0,"",INDEX('Inspections'!$N$4:$N$503,_calc!$E$208))&amp;". ")&amp;IF(LEN(IF(LEN(INDEX('Inspections'!$O$4:$O$503,_calc!$E$208))=0,"",INDEX('Inspections'!$O$4:$O$503,_calc!$E$208)))=0,"","Backup: "&amp;IF(LEN(INDEX('Inspections'!$O$4:$O$503,_calc!$E$208))=0,"",INDEX('Inspections'!$O$4:$O$503,_calc!$E$208))&amp;". ")&amp;IF(LEN(IF(LEN(INDEX('Inspections'!$R$4:$R$503,_calc!$E$208))=0,"",INDEX('Inspections'!$R$4:$R$503,_calc!$E$208)))=0,"",IF(LEN(INDEX('Inspections'!$R$4:$R$503,_calc!$E$208))=0,"",INDEX('Inspections'!$R$4:$R$503,_calc!$E$208)))))</f>
        <v/>
      </c>
      <c r="G206" s="55">
        <f>IF(_calc!$E$208="","",IF(LEN(INDEX('Inspections'!$Q$4:$Q$503,_calc!$E$208))=0,"",INDEX('Inspections'!$Q$4:$Q$503,_calc!$E$208)))</f>
        <v/>
      </c>
      <c r="K206" s="55">
        <f>IF(_calc!$E$208="","",IF(LEN(INDEX('Inspections'!$P$4:$P$503,_calc!$E$208))=0,"",INDEX('Inspections'!$P$4:$P$503,_calc!$E$208)))</f>
        <v/>
      </c>
    </row>
    <row r="207">
      <c r="A207" s="55">
        <f>IF(_calc!$E$209="","",IF(LEN(INDEX('Inspections'!$C$4:$C$503,_calc!$E$209))=0,"",INDEX('Inspections'!$C$4:$C$503,_calc!$E$209))&amp;" – "&amp;IF(LEN(INDEX('Inspections'!$A$4:$A$503,_calc!$E$209))=0,"",INDEX('Inspections'!$A$4:$A$503,_calc!$E$209)))</f>
        <v/>
      </c>
      <c r="B207" s="55">
        <f>IF(_calc!$E$209="","",IF(ISNUMBER(INDEX('Inspections'!$H$4:$H$503,_calc!$E$209)),TEXT(INDEX('Inspections'!$H$4:$H$503,_calc!$E$209),"yyyy-mm-dd"),""))</f>
        <v/>
      </c>
      <c r="C207" s="55">
        <f>IF(_calc!$E$209="","","Inspection")</f>
        <v/>
      </c>
      <c r="D207" s="55">
        <f>IF(_calc!$E$209="","",IF(ISNUMBER(INDEX('Inspections'!$G$4:$G$503,_calc!$E$209)),TEXT(INDEX('Inspections'!$G$4:$G$503,_calc!$E$209),"yyyy-mm-dd"),""))</f>
        <v/>
      </c>
      <c r="F207" s="55">
        <f>IF(_calc!$E$209="","",TRIM(IF(LEN(IF(LEN(INDEX('Inspections'!$B$4:$B$503,_calc!$E$209))=0,"",INDEX('Inspections'!$B$4:$B$503,_calc!$E$209)))=0,"","System: "&amp;IF(LEN(INDEX('Inspections'!$B$4:$B$503,_calc!$E$209))=0,"",INDEX('Inspections'!$B$4:$B$503,_calc!$E$209))&amp;". ")&amp;IF(LEN(IF(LEN(INDEX('Inspections'!$D$4:$D$503,_calc!$E$209))=0,"",INDEX('Inspections'!$D$4:$D$503,_calc!$E$209)))=0,"","Every: "&amp;IF(LEN(INDEX('Inspections'!$D$4:$D$503,_calc!$E$209))=0,"",INDEX('Inspections'!$D$4:$D$503,_calc!$E$209))&amp;". ")&amp;IF(LEN(IF(LEN(INDEX('Inspections'!$E$4:$E$503,_calc!$E$209))=0,"",INDEX('Inspections'!$E$4:$E$503,_calc!$E$209)))=0,"","Unit: "&amp;IF(LEN(INDEX('Inspections'!$E$4:$E$503,_calc!$E$209))=0,"",INDEX('Inspections'!$E$4:$E$503,_calc!$E$209))&amp;". ")&amp;IF(LEN(IF(LEN(INDEX('Inspections'!$F$4:$F$503,_calc!$E$209))=0,"",INDEX('Inspections'!$F$4:$F$503,_calc!$E$209)))=0,"","Done by: "&amp;IF(LEN(INDEX('Inspections'!$F$4:$F$503,_calc!$E$209))=0,"",INDEX('Inspections'!$F$4:$F$503,_calc!$E$209))&amp;". ")&amp;IF(LEN(IF(LEN(INDEX('Inspections'!$M$4:$M$503,_calc!$E$209))=0,"",INDEX('Inspections'!$M$4:$M$503,_calc!$E$209)))=0,"","Source: "&amp;IF(LEN(INDEX('Inspections'!$M$4:$M$503,_calc!$E$209))=0,"",INDEX('Inspections'!$M$4:$M$503,_calc!$E$209))&amp;". ")&amp;IF(LEN(IF(LEN(INDEX('Inspections'!$N$4:$N$503,_calc!$E$209))=0,"",INDEX('Inspections'!$N$4:$N$503,_calc!$E$209)))=0,"","Owner: "&amp;IF(LEN(INDEX('Inspections'!$N$4:$N$503,_calc!$E$209))=0,"",INDEX('Inspections'!$N$4:$N$503,_calc!$E$209))&amp;". ")&amp;IF(LEN(IF(LEN(INDEX('Inspections'!$O$4:$O$503,_calc!$E$209))=0,"",INDEX('Inspections'!$O$4:$O$503,_calc!$E$209)))=0,"","Backup: "&amp;IF(LEN(INDEX('Inspections'!$O$4:$O$503,_calc!$E$209))=0,"",INDEX('Inspections'!$O$4:$O$503,_calc!$E$209))&amp;". ")&amp;IF(LEN(IF(LEN(INDEX('Inspections'!$R$4:$R$503,_calc!$E$209))=0,"",INDEX('Inspections'!$R$4:$R$503,_calc!$E$209)))=0,"",IF(LEN(INDEX('Inspections'!$R$4:$R$503,_calc!$E$209))=0,"",INDEX('Inspections'!$R$4:$R$503,_calc!$E$209)))))</f>
        <v/>
      </c>
      <c r="G207" s="55">
        <f>IF(_calc!$E$209="","",IF(LEN(INDEX('Inspections'!$Q$4:$Q$503,_calc!$E$209))=0,"",INDEX('Inspections'!$Q$4:$Q$503,_calc!$E$209)))</f>
        <v/>
      </c>
      <c r="K207" s="55">
        <f>IF(_calc!$E$209="","",IF(LEN(INDEX('Inspections'!$P$4:$P$503,_calc!$E$209))=0,"",INDEX('Inspections'!$P$4:$P$503,_calc!$E$209)))</f>
        <v/>
      </c>
    </row>
    <row r="208">
      <c r="A208" s="55">
        <f>IF(_calc!$E$210="","",IF(LEN(INDEX('Inspections'!$C$4:$C$503,_calc!$E$210))=0,"",INDEX('Inspections'!$C$4:$C$503,_calc!$E$210))&amp;" – "&amp;IF(LEN(INDEX('Inspections'!$A$4:$A$503,_calc!$E$210))=0,"",INDEX('Inspections'!$A$4:$A$503,_calc!$E$210)))</f>
        <v/>
      </c>
      <c r="B208" s="55">
        <f>IF(_calc!$E$210="","",IF(ISNUMBER(INDEX('Inspections'!$H$4:$H$503,_calc!$E$210)),TEXT(INDEX('Inspections'!$H$4:$H$503,_calc!$E$210),"yyyy-mm-dd"),""))</f>
        <v/>
      </c>
      <c r="C208" s="55">
        <f>IF(_calc!$E$210="","","Inspection")</f>
        <v/>
      </c>
      <c r="D208" s="55">
        <f>IF(_calc!$E$210="","",IF(ISNUMBER(INDEX('Inspections'!$G$4:$G$503,_calc!$E$210)),TEXT(INDEX('Inspections'!$G$4:$G$503,_calc!$E$210),"yyyy-mm-dd"),""))</f>
        <v/>
      </c>
      <c r="F208" s="55">
        <f>IF(_calc!$E$210="","",TRIM(IF(LEN(IF(LEN(INDEX('Inspections'!$B$4:$B$503,_calc!$E$210))=0,"",INDEX('Inspections'!$B$4:$B$503,_calc!$E$210)))=0,"","System: "&amp;IF(LEN(INDEX('Inspections'!$B$4:$B$503,_calc!$E$210))=0,"",INDEX('Inspections'!$B$4:$B$503,_calc!$E$210))&amp;". ")&amp;IF(LEN(IF(LEN(INDEX('Inspections'!$D$4:$D$503,_calc!$E$210))=0,"",INDEX('Inspections'!$D$4:$D$503,_calc!$E$210)))=0,"","Every: "&amp;IF(LEN(INDEX('Inspections'!$D$4:$D$503,_calc!$E$210))=0,"",INDEX('Inspections'!$D$4:$D$503,_calc!$E$210))&amp;". ")&amp;IF(LEN(IF(LEN(INDEX('Inspections'!$E$4:$E$503,_calc!$E$210))=0,"",INDEX('Inspections'!$E$4:$E$503,_calc!$E$210)))=0,"","Unit: "&amp;IF(LEN(INDEX('Inspections'!$E$4:$E$503,_calc!$E$210))=0,"",INDEX('Inspections'!$E$4:$E$503,_calc!$E$210))&amp;". ")&amp;IF(LEN(IF(LEN(INDEX('Inspections'!$F$4:$F$503,_calc!$E$210))=0,"",INDEX('Inspections'!$F$4:$F$503,_calc!$E$210)))=0,"","Done by: "&amp;IF(LEN(INDEX('Inspections'!$F$4:$F$503,_calc!$E$210))=0,"",INDEX('Inspections'!$F$4:$F$503,_calc!$E$210))&amp;". ")&amp;IF(LEN(IF(LEN(INDEX('Inspections'!$M$4:$M$503,_calc!$E$210))=0,"",INDEX('Inspections'!$M$4:$M$503,_calc!$E$210)))=0,"","Source: "&amp;IF(LEN(INDEX('Inspections'!$M$4:$M$503,_calc!$E$210))=0,"",INDEX('Inspections'!$M$4:$M$503,_calc!$E$210))&amp;". ")&amp;IF(LEN(IF(LEN(INDEX('Inspections'!$N$4:$N$503,_calc!$E$210))=0,"",INDEX('Inspections'!$N$4:$N$503,_calc!$E$210)))=0,"","Owner: "&amp;IF(LEN(INDEX('Inspections'!$N$4:$N$503,_calc!$E$210))=0,"",INDEX('Inspections'!$N$4:$N$503,_calc!$E$210))&amp;". ")&amp;IF(LEN(IF(LEN(INDEX('Inspections'!$O$4:$O$503,_calc!$E$210))=0,"",INDEX('Inspections'!$O$4:$O$503,_calc!$E$210)))=0,"","Backup: "&amp;IF(LEN(INDEX('Inspections'!$O$4:$O$503,_calc!$E$210))=0,"",INDEX('Inspections'!$O$4:$O$503,_calc!$E$210))&amp;". ")&amp;IF(LEN(IF(LEN(INDEX('Inspections'!$R$4:$R$503,_calc!$E$210))=0,"",INDEX('Inspections'!$R$4:$R$503,_calc!$E$210)))=0,"",IF(LEN(INDEX('Inspections'!$R$4:$R$503,_calc!$E$210))=0,"",INDEX('Inspections'!$R$4:$R$503,_calc!$E$210)))))</f>
        <v/>
      </c>
      <c r="G208" s="55">
        <f>IF(_calc!$E$210="","",IF(LEN(INDEX('Inspections'!$Q$4:$Q$503,_calc!$E$210))=0,"",INDEX('Inspections'!$Q$4:$Q$503,_calc!$E$210)))</f>
        <v/>
      </c>
      <c r="K208" s="55">
        <f>IF(_calc!$E$210="","",IF(LEN(INDEX('Inspections'!$P$4:$P$503,_calc!$E$210))=0,"",INDEX('Inspections'!$P$4:$P$503,_calc!$E$210)))</f>
        <v/>
      </c>
    </row>
    <row r="209">
      <c r="A209" s="55">
        <f>IF(_calc!$E$211="","",IF(LEN(INDEX('Inspections'!$C$4:$C$503,_calc!$E$211))=0,"",INDEX('Inspections'!$C$4:$C$503,_calc!$E$211))&amp;" – "&amp;IF(LEN(INDEX('Inspections'!$A$4:$A$503,_calc!$E$211))=0,"",INDEX('Inspections'!$A$4:$A$503,_calc!$E$211)))</f>
        <v/>
      </c>
      <c r="B209" s="55">
        <f>IF(_calc!$E$211="","",IF(ISNUMBER(INDEX('Inspections'!$H$4:$H$503,_calc!$E$211)),TEXT(INDEX('Inspections'!$H$4:$H$503,_calc!$E$211),"yyyy-mm-dd"),""))</f>
        <v/>
      </c>
      <c r="C209" s="55">
        <f>IF(_calc!$E$211="","","Inspection")</f>
        <v/>
      </c>
      <c r="D209" s="55">
        <f>IF(_calc!$E$211="","",IF(ISNUMBER(INDEX('Inspections'!$G$4:$G$503,_calc!$E$211)),TEXT(INDEX('Inspections'!$G$4:$G$503,_calc!$E$211),"yyyy-mm-dd"),""))</f>
        <v/>
      </c>
      <c r="F209" s="55">
        <f>IF(_calc!$E$211="","",TRIM(IF(LEN(IF(LEN(INDEX('Inspections'!$B$4:$B$503,_calc!$E$211))=0,"",INDEX('Inspections'!$B$4:$B$503,_calc!$E$211)))=0,"","System: "&amp;IF(LEN(INDEX('Inspections'!$B$4:$B$503,_calc!$E$211))=0,"",INDEX('Inspections'!$B$4:$B$503,_calc!$E$211))&amp;". ")&amp;IF(LEN(IF(LEN(INDEX('Inspections'!$D$4:$D$503,_calc!$E$211))=0,"",INDEX('Inspections'!$D$4:$D$503,_calc!$E$211)))=0,"","Every: "&amp;IF(LEN(INDEX('Inspections'!$D$4:$D$503,_calc!$E$211))=0,"",INDEX('Inspections'!$D$4:$D$503,_calc!$E$211))&amp;". ")&amp;IF(LEN(IF(LEN(INDEX('Inspections'!$E$4:$E$503,_calc!$E$211))=0,"",INDEX('Inspections'!$E$4:$E$503,_calc!$E$211)))=0,"","Unit: "&amp;IF(LEN(INDEX('Inspections'!$E$4:$E$503,_calc!$E$211))=0,"",INDEX('Inspections'!$E$4:$E$503,_calc!$E$211))&amp;". ")&amp;IF(LEN(IF(LEN(INDEX('Inspections'!$F$4:$F$503,_calc!$E$211))=0,"",INDEX('Inspections'!$F$4:$F$503,_calc!$E$211)))=0,"","Done by: "&amp;IF(LEN(INDEX('Inspections'!$F$4:$F$503,_calc!$E$211))=0,"",INDEX('Inspections'!$F$4:$F$503,_calc!$E$211))&amp;". ")&amp;IF(LEN(IF(LEN(INDEX('Inspections'!$M$4:$M$503,_calc!$E$211))=0,"",INDEX('Inspections'!$M$4:$M$503,_calc!$E$211)))=0,"","Source: "&amp;IF(LEN(INDEX('Inspections'!$M$4:$M$503,_calc!$E$211))=0,"",INDEX('Inspections'!$M$4:$M$503,_calc!$E$211))&amp;". ")&amp;IF(LEN(IF(LEN(INDEX('Inspections'!$N$4:$N$503,_calc!$E$211))=0,"",INDEX('Inspections'!$N$4:$N$503,_calc!$E$211)))=0,"","Owner: "&amp;IF(LEN(INDEX('Inspections'!$N$4:$N$503,_calc!$E$211))=0,"",INDEX('Inspections'!$N$4:$N$503,_calc!$E$211))&amp;". ")&amp;IF(LEN(IF(LEN(INDEX('Inspections'!$O$4:$O$503,_calc!$E$211))=0,"",INDEX('Inspections'!$O$4:$O$503,_calc!$E$211)))=0,"","Backup: "&amp;IF(LEN(INDEX('Inspections'!$O$4:$O$503,_calc!$E$211))=0,"",INDEX('Inspections'!$O$4:$O$503,_calc!$E$211))&amp;". ")&amp;IF(LEN(IF(LEN(INDEX('Inspections'!$R$4:$R$503,_calc!$E$211))=0,"",INDEX('Inspections'!$R$4:$R$503,_calc!$E$211)))=0,"",IF(LEN(INDEX('Inspections'!$R$4:$R$503,_calc!$E$211))=0,"",INDEX('Inspections'!$R$4:$R$503,_calc!$E$211)))))</f>
        <v/>
      </c>
      <c r="G209" s="55">
        <f>IF(_calc!$E$211="","",IF(LEN(INDEX('Inspections'!$Q$4:$Q$503,_calc!$E$211))=0,"",INDEX('Inspections'!$Q$4:$Q$503,_calc!$E$211)))</f>
        <v/>
      </c>
      <c r="K209" s="55">
        <f>IF(_calc!$E$211="","",IF(LEN(INDEX('Inspections'!$P$4:$P$503,_calc!$E$211))=0,"",INDEX('Inspections'!$P$4:$P$503,_calc!$E$211)))</f>
        <v/>
      </c>
    </row>
    <row r="210">
      <c r="A210" s="55">
        <f>IF(_calc!$E$212="","",IF(LEN(INDEX('Inspections'!$C$4:$C$503,_calc!$E$212))=0,"",INDEX('Inspections'!$C$4:$C$503,_calc!$E$212))&amp;" – "&amp;IF(LEN(INDEX('Inspections'!$A$4:$A$503,_calc!$E$212))=0,"",INDEX('Inspections'!$A$4:$A$503,_calc!$E$212)))</f>
        <v/>
      </c>
      <c r="B210" s="55">
        <f>IF(_calc!$E$212="","",IF(ISNUMBER(INDEX('Inspections'!$H$4:$H$503,_calc!$E$212)),TEXT(INDEX('Inspections'!$H$4:$H$503,_calc!$E$212),"yyyy-mm-dd"),""))</f>
        <v/>
      </c>
      <c r="C210" s="55">
        <f>IF(_calc!$E$212="","","Inspection")</f>
        <v/>
      </c>
      <c r="D210" s="55">
        <f>IF(_calc!$E$212="","",IF(ISNUMBER(INDEX('Inspections'!$G$4:$G$503,_calc!$E$212)),TEXT(INDEX('Inspections'!$G$4:$G$503,_calc!$E$212),"yyyy-mm-dd"),""))</f>
        <v/>
      </c>
      <c r="F210" s="55">
        <f>IF(_calc!$E$212="","",TRIM(IF(LEN(IF(LEN(INDEX('Inspections'!$B$4:$B$503,_calc!$E$212))=0,"",INDEX('Inspections'!$B$4:$B$503,_calc!$E$212)))=0,"","System: "&amp;IF(LEN(INDEX('Inspections'!$B$4:$B$503,_calc!$E$212))=0,"",INDEX('Inspections'!$B$4:$B$503,_calc!$E$212))&amp;". ")&amp;IF(LEN(IF(LEN(INDEX('Inspections'!$D$4:$D$503,_calc!$E$212))=0,"",INDEX('Inspections'!$D$4:$D$503,_calc!$E$212)))=0,"","Every: "&amp;IF(LEN(INDEX('Inspections'!$D$4:$D$503,_calc!$E$212))=0,"",INDEX('Inspections'!$D$4:$D$503,_calc!$E$212))&amp;". ")&amp;IF(LEN(IF(LEN(INDEX('Inspections'!$E$4:$E$503,_calc!$E$212))=0,"",INDEX('Inspections'!$E$4:$E$503,_calc!$E$212)))=0,"","Unit: "&amp;IF(LEN(INDEX('Inspections'!$E$4:$E$503,_calc!$E$212))=0,"",INDEX('Inspections'!$E$4:$E$503,_calc!$E$212))&amp;". ")&amp;IF(LEN(IF(LEN(INDEX('Inspections'!$F$4:$F$503,_calc!$E$212))=0,"",INDEX('Inspections'!$F$4:$F$503,_calc!$E$212)))=0,"","Done by: "&amp;IF(LEN(INDEX('Inspections'!$F$4:$F$503,_calc!$E$212))=0,"",INDEX('Inspections'!$F$4:$F$503,_calc!$E$212))&amp;". ")&amp;IF(LEN(IF(LEN(INDEX('Inspections'!$M$4:$M$503,_calc!$E$212))=0,"",INDEX('Inspections'!$M$4:$M$503,_calc!$E$212)))=0,"","Source: "&amp;IF(LEN(INDEX('Inspections'!$M$4:$M$503,_calc!$E$212))=0,"",INDEX('Inspections'!$M$4:$M$503,_calc!$E$212))&amp;". ")&amp;IF(LEN(IF(LEN(INDEX('Inspections'!$N$4:$N$503,_calc!$E$212))=0,"",INDEX('Inspections'!$N$4:$N$503,_calc!$E$212)))=0,"","Owner: "&amp;IF(LEN(INDEX('Inspections'!$N$4:$N$503,_calc!$E$212))=0,"",INDEX('Inspections'!$N$4:$N$503,_calc!$E$212))&amp;". ")&amp;IF(LEN(IF(LEN(INDEX('Inspections'!$O$4:$O$503,_calc!$E$212))=0,"",INDEX('Inspections'!$O$4:$O$503,_calc!$E$212)))=0,"","Backup: "&amp;IF(LEN(INDEX('Inspections'!$O$4:$O$503,_calc!$E$212))=0,"",INDEX('Inspections'!$O$4:$O$503,_calc!$E$212))&amp;". ")&amp;IF(LEN(IF(LEN(INDEX('Inspections'!$R$4:$R$503,_calc!$E$212))=0,"",INDEX('Inspections'!$R$4:$R$503,_calc!$E$212)))=0,"",IF(LEN(INDEX('Inspections'!$R$4:$R$503,_calc!$E$212))=0,"",INDEX('Inspections'!$R$4:$R$503,_calc!$E$212)))))</f>
        <v/>
      </c>
      <c r="G210" s="55">
        <f>IF(_calc!$E$212="","",IF(LEN(INDEX('Inspections'!$Q$4:$Q$503,_calc!$E$212))=0,"",INDEX('Inspections'!$Q$4:$Q$503,_calc!$E$212)))</f>
        <v/>
      </c>
      <c r="K210" s="55">
        <f>IF(_calc!$E$212="","",IF(LEN(INDEX('Inspections'!$P$4:$P$503,_calc!$E$212))=0,"",INDEX('Inspections'!$P$4:$P$503,_calc!$E$212)))</f>
        <v/>
      </c>
    </row>
    <row r="211">
      <c r="A211" s="55">
        <f>IF(_calc!$E$213="","",IF(LEN(INDEX('Inspections'!$C$4:$C$503,_calc!$E$213))=0,"",INDEX('Inspections'!$C$4:$C$503,_calc!$E$213))&amp;" – "&amp;IF(LEN(INDEX('Inspections'!$A$4:$A$503,_calc!$E$213))=0,"",INDEX('Inspections'!$A$4:$A$503,_calc!$E$213)))</f>
        <v/>
      </c>
      <c r="B211" s="55">
        <f>IF(_calc!$E$213="","",IF(ISNUMBER(INDEX('Inspections'!$H$4:$H$503,_calc!$E$213)),TEXT(INDEX('Inspections'!$H$4:$H$503,_calc!$E$213),"yyyy-mm-dd"),""))</f>
        <v/>
      </c>
      <c r="C211" s="55">
        <f>IF(_calc!$E$213="","","Inspection")</f>
        <v/>
      </c>
      <c r="D211" s="55">
        <f>IF(_calc!$E$213="","",IF(ISNUMBER(INDEX('Inspections'!$G$4:$G$503,_calc!$E$213)),TEXT(INDEX('Inspections'!$G$4:$G$503,_calc!$E$213),"yyyy-mm-dd"),""))</f>
        <v/>
      </c>
      <c r="F211" s="55">
        <f>IF(_calc!$E$213="","",TRIM(IF(LEN(IF(LEN(INDEX('Inspections'!$B$4:$B$503,_calc!$E$213))=0,"",INDEX('Inspections'!$B$4:$B$503,_calc!$E$213)))=0,"","System: "&amp;IF(LEN(INDEX('Inspections'!$B$4:$B$503,_calc!$E$213))=0,"",INDEX('Inspections'!$B$4:$B$503,_calc!$E$213))&amp;". ")&amp;IF(LEN(IF(LEN(INDEX('Inspections'!$D$4:$D$503,_calc!$E$213))=0,"",INDEX('Inspections'!$D$4:$D$503,_calc!$E$213)))=0,"","Every: "&amp;IF(LEN(INDEX('Inspections'!$D$4:$D$503,_calc!$E$213))=0,"",INDEX('Inspections'!$D$4:$D$503,_calc!$E$213))&amp;". ")&amp;IF(LEN(IF(LEN(INDEX('Inspections'!$E$4:$E$503,_calc!$E$213))=0,"",INDEX('Inspections'!$E$4:$E$503,_calc!$E$213)))=0,"","Unit: "&amp;IF(LEN(INDEX('Inspections'!$E$4:$E$503,_calc!$E$213))=0,"",INDEX('Inspections'!$E$4:$E$503,_calc!$E$213))&amp;". ")&amp;IF(LEN(IF(LEN(INDEX('Inspections'!$F$4:$F$503,_calc!$E$213))=0,"",INDEX('Inspections'!$F$4:$F$503,_calc!$E$213)))=0,"","Done by: "&amp;IF(LEN(INDEX('Inspections'!$F$4:$F$503,_calc!$E$213))=0,"",INDEX('Inspections'!$F$4:$F$503,_calc!$E$213))&amp;". ")&amp;IF(LEN(IF(LEN(INDEX('Inspections'!$M$4:$M$503,_calc!$E$213))=0,"",INDEX('Inspections'!$M$4:$M$503,_calc!$E$213)))=0,"","Source: "&amp;IF(LEN(INDEX('Inspections'!$M$4:$M$503,_calc!$E$213))=0,"",INDEX('Inspections'!$M$4:$M$503,_calc!$E$213))&amp;". ")&amp;IF(LEN(IF(LEN(INDEX('Inspections'!$N$4:$N$503,_calc!$E$213))=0,"",INDEX('Inspections'!$N$4:$N$503,_calc!$E$213)))=0,"","Owner: "&amp;IF(LEN(INDEX('Inspections'!$N$4:$N$503,_calc!$E$213))=0,"",INDEX('Inspections'!$N$4:$N$503,_calc!$E$213))&amp;". ")&amp;IF(LEN(IF(LEN(INDEX('Inspections'!$O$4:$O$503,_calc!$E$213))=0,"",INDEX('Inspections'!$O$4:$O$503,_calc!$E$213)))=0,"","Backup: "&amp;IF(LEN(INDEX('Inspections'!$O$4:$O$503,_calc!$E$213))=0,"",INDEX('Inspections'!$O$4:$O$503,_calc!$E$213))&amp;". ")&amp;IF(LEN(IF(LEN(INDEX('Inspections'!$R$4:$R$503,_calc!$E$213))=0,"",INDEX('Inspections'!$R$4:$R$503,_calc!$E$213)))=0,"",IF(LEN(INDEX('Inspections'!$R$4:$R$503,_calc!$E$213))=0,"",INDEX('Inspections'!$R$4:$R$503,_calc!$E$213)))))</f>
        <v/>
      </c>
      <c r="G211" s="55">
        <f>IF(_calc!$E$213="","",IF(LEN(INDEX('Inspections'!$Q$4:$Q$503,_calc!$E$213))=0,"",INDEX('Inspections'!$Q$4:$Q$503,_calc!$E$213)))</f>
        <v/>
      </c>
      <c r="K211" s="55">
        <f>IF(_calc!$E$213="","",IF(LEN(INDEX('Inspections'!$P$4:$P$503,_calc!$E$213))=0,"",INDEX('Inspections'!$P$4:$P$503,_calc!$E$213)))</f>
        <v/>
      </c>
    </row>
    <row r="212">
      <c r="A212" s="55">
        <f>IF(_calc!$E$214="","",IF(LEN(INDEX('Inspections'!$C$4:$C$503,_calc!$E$214))=0,"",INDEX('Inspections'!$C$4:$C$503,_calc!$E$214))&amp;" – "&amp;IF(LEN(INDEX('Inspections'!$A$4:$A$503,_calc!$E$214))=0,"",INDEX('Inspections'!$A$4:$A$503,_calc!$E$214)))</f>
        <v/>
      </c>
      <c r="B212" s="55">
        <f>IF(_calc!$E$214="","",IF(ISNUMBER(INDEX('Inspections'!$H$4:$H$503,_calc!$E$214)),TEXT(INDEX('Inspections'!$H$4:$H$503,_calc!$E$214),"yyyy-mm-dd"),""))</f>
        <v/>
      </c>
      <c r="C212" s="55">
        <f>IF(_calc!$E$214="","","Inspection")</f>
        <v/>
      </c>
      <c r="D212" s="55">
        <f>IF(_calc!$E$214="","",IF(ISNUMBER(INDEX('Inspections'!$G$4:$G$503,_calc!$E$214)),TEXT(INDEX('Inspections'!$G$4:$G$503,_calc!$E$214),"yyyy-mm-dd"),""))</f>
        <v/>
      </c>
      <c r="F212" s="55">
        <f>IF(_calc!$E$214="","",TRIM(IF(LEN(IF(LEN(INDEX('Inspections'!$B$4:$B$503,_calc!$E$214))=0,"",INDEX('Inspections'!$B$4:$B$503,_calc!$E$214)))=0,"","System: "&amp;IF(LEN(INDEX('Inspections'!$B$4:$B$503,_calc!$E$214))=0,"",INDEX('Inspections'!$B$4:$B$503,_calc!$E$214))&amp;". ")&amp;IF(LEN(IF(LEN(INDEX('Inspections'!$D$4:$D$503,_calc!$E$214))=0,"",INDEX('Inspections'!$D$4:$D$503,_calc!$E$214)))=0,"","Every: "&amp;IF(LEN(INDEX('Inspections'!$D$4:$D$503,_calc!$E$214))=0,"",INDEX('Inspections'!$D$4:$D$503,_calc!$E$214))&amp;". ")&amp;IF(LEN(IF(LEN(INDEX('Inspections'!$E$4:$E$503,_calc!$E$214))=0,"",INDEX('Inspections'!$E$4:$E$503,_calc!$E$214)))=0,"","Unit: "&amp;IF(LEN(INDEX('Inspections'!$E$4:$E$503,_calc!$E$214))=0,"",INDEX('Inspections'!$E$4:$E$503,_calc!$E$214))&amp;". ")&amp;IF(LEN(IF(LEN(INDEX('Inspections'!$F$4:$F$503,_calc!$E$214))=0,"",INDEX('Inspections'!$F$4:$F$503,_calc!$E$214)))=0,"","Done by: "&amp;IF(LEN(INDEX('Inspections'!$F$4:$F$503,_calc!$E$214))=0,"",INDEX('Inspections'!$F$4:$F$503,_calc!$E$214))&amp;". ")&amp;IF(LEN(IF(LEN(INDEX('Inspections'!$M$4:$M$503,_calc!$E$214))=0,"",INDEX('Inspections'!$M$4:$M$503,_calc!$E$214)))=0,"","Source: "&amp;IF(LEN(INDEX('Inspections'!$M$4:$M$503,_calc!$E$214))=0,"",INDEX('Inspections'!$M$4:$M$503,_calc!$E$214))&amp;". ")&amp;IF(LEN(IF(LEN(INDEX('Inspections'!$N$4:$N$503,_calc!$E$214))=0,"",INDEX('Inspections'!$N$4:$N$503,_calc!$E$214)))=0,"","Owner: "&amp;IF(LEN(INDEX('Inspections'!$N$4:$N$503,_calc!$E$214))=0,"",INDEX('Inspections'!$N$4:$N$503,_calc!$E$214))&amp;". ")&amp;IF(LEN(IF(LEN(INDEX('Inspections'!$O$4:$O$503,_calc!$E$214))=0,"",INDEX('Inspections'!$O$4:$O$503,_calc!$E$214)))=0,"","Backup: "&amp;IF(LEN(INDEX('Inspections'!$O$4:$O$503,_calc!$E$214))=0,"",INDEX('Inspections'!$O$4:$O$503,_calc!$E$214))&amp;". ")&amp;IF(LEN(IF(LEN(INDEX('Inspections'!$R$4:$R$503,_calc!$E$214))=0,"",INDEX('Inspections'!$R$4:$R$503,_calc!$E$214)))=0,"",IF(LEN(INDEX('Inspections'!$R$4:$R$503,_calc!$E$214))=0,"",INDEX('Inspections'!$R$4:$R$503,_calc!$E$214)))))</f>
        <v/>
      </c>
      <c r="G212" s="55">
        <f>IF(_calc!$E$214="","",IF(LEN(INDEX('Inspections'!$Q$4:$Q$503,_calc!$E$214))=0,"",INDEX('Inspections'!$Q$4:$Q$503,_calc!$E$214)))</f>
        <v/>
      </c>
      <c r="K212" s="55">
        <f>IF(_calc!$E$214="","",IF(LEN(INDEX('Inspections'!$P$4:$P$503,_calc!$E$214))=0,"",INDEX('Inspections'!$P$4:$P$503,_calc!$E$214)))</f>
        <v/>
      </c>
    </row>
    <row r="213">
      <c r="A213" s="55">
        <f>IF(_calc!$E$215="","",IF(LEN(INDEX('Inspections'!$C$4:$C$503,_calc!$E$215))=0,"",INDEX('Inspections'!$C$4:$C$503,_calc!$E$215))&amp;" – "&amp;IF(LEN(INDEX('Inspections'!$A$4:$A$503,_calc!$E$215))=0,"",INDEX('Inspections'!$A$4:$A$503,_calc!$E$215)))</f>
        <v/>
      </c>
      <c r="B213" s="55">
        <f>IF(_calc!$E$215="","",IF(ISNUMBER(INDEX('Inspections'!$H$4:$H$503,_calc!$E$215)),TEXT(INDEX('Inspections'!$H$4:$H$503,_calc!$E$215),"yyyy-mm-dd"),""))</f>
        <v/>
      </c>
      <c r="C213" s="55">
        <f>IF(_calc!$E$215="","","Inspection")</f>
        <v/>
      </c>
      <c r="D213" s="55">
        <f>IF(_calc!$E$215="","",IF(ISNUMBER(INDEX('Inspections'!$G$4:$G$503,_calc!$E$215)),TEXT(INDEX('Inspections'!$G$4:$G$503,_calc!$E$215),"yyyy-mm-dd"),""))</f>
        <v/>
      </c>
      <c r="F213" s="55">
        <f>IF(_calc!$E$215="","",TRIM(IF(LEN(IF(LEN(INDEX('Inspections'!$B$4:$B$503,_calc!$E$215))=0,"",INDEX('Inspections'!$B$4:$B$503,_calc!$E$215)))=0,"","System: "&amp;IF(LEN(INDEX('Inspections'!$B$4:$B$503,_calc!$E$215))=0,"",INDEX('Inspections'!$B$4:$B$503,_calc!$E$215))&amp;". ")&amp;IF(LEN(IF(LEN(INDEX('Inspections'!$D$4:$D$503,_calc!$E$215))=0,"",INDEX('Inspections'!$D$4:$D$503,_calc!$E$215)))=0,"","Every: "&amp;IF(LEN(INDEX('Inspections'!$D$4:$D$503,_calc!$E$215))=0,"",INDEX('Inspections'!$D$4:$D$503,_calc!$E$215))&amp;". ")&amp;IF(LEN(IF(LEN(INDEX('Inspections'!$E$4:$E$503,_calc!$E$215))=0,"",INDEX('Inspections'!$E$4:$E$503,_calc!$E$215)))=0,"","Unit: "&amp;IF(LEN(INDEX('Inspections'!$E$4:$E$503,_calc!$E$215))=0,"",INDEX('Inspections'!$E$4:$E$503,_calc!$E$215))&amp;". ")&amp;IF(LEN(IF(LEN(INDEX('Inspections'!$F$4:$F$503,_calc!$E$215))=0,"",INDEX('Inspections'!$F$4:$F$503,_calc!$E$215)))=0,"","Done by: "&amp;IF(LEN(INDEX('Inspections'!$F$4:$F$503,_calc!$E$215))=0,"",INDEX('Inspections'!$F$4:$F$503,_calc!$E$215))&amp;". ")&amp;IF(LEN(IF(LEN(INDEX('Inspections'!$M$4:$M$503,_calc!$E$215))=0,"",INDEX('Inspections'!$M$4:$M$503,_calc!$E$215)))=0,"","Source: "&amp;IF(LEN(INDEX('Inspections'!$M$4:$M$503,_calc!$E$215))=0,"",INDEX('Inspections'!$M$4:$M$503,_calc!$E$215))&amp;". ")&amp;IF(LEN(IF(LEN(INDEX('Inspections'!$N$4:$N$503,_calc!$E$215))=0,"",INDEX('Inspections'!$N$4:$N$503,_calc!$E$215)))=0,"","Owner: "&amp;IF(LEN(INDEX('Inspections'!$N$4:$N$503,_calc!$E$215))=0,"",INDEX('Inspections'!$N$4:$N$503,_calc!$E$215))&amp;". ")&amp;IF(LEN(IF(LEN(INDEX('Inspections'!$O$4:$O$503,_calc!$E$215))=0,"",INDEX('Inspections'!$O$4:$O$503,_calc!$E$215)))=0,"","Backup: "&amp;IF(LEN(INDEX('Inspections'!$O$4:$O$503,_calc!$E$215))=0,"",INDEX('Inspections'!$O$4:$O$503,_calc!$E$215))&amp;". ")&amp;IF(LEN(IF(LEN(INDEX('Inspections'!$R$4:$R$503,_calc!$E$215))=0,"",INDEX('Inspections'!$R$4:$R$503,_calc!$E$215)))=0,"",IF(LEN(INDEX('Inspections'!$R$4:$R$503,_calc!$E$215))=0,"",INDEX('Inspections'!$R$4:$R$503,_calc!$E$215)))))</f>
        <v/>
      </c>
      <c r="G213" s="55">
        <f>IF(_calc!$E$215="","",IF(LEN(INDEX('Inspections'!$Q$4:$Q$503,_calc!$E$215))=0,"",INDEX('Inspections'!$Q$4:$Q$503,_calc!$E$215)))</f>
        <v/>
      </c>
      <c r="K213" s="55">
        <f>IF(_calc!$E$215="","",IF(LEN(INDEX('Inspections'!$P$4:$P$503,_calc!$E$215))=0,"",INDEX('Inspections'!$P$4:$P$503,_calc!$E$215)))</f>
        <v/>
      </c>
    </row>
    <row r="214">
      <c r="A214" s="55">
        <f>IF(_calc!$E$216="","",IF(LEN(INDEX('Inspections'!$C$4:$C$503,_calc!$E$216))=0,"",INDEX('Inspections'!$C$4:$C$503,_calc!$E$216))&amp;" – "&amp;IF(LEN(INDEX('Inspections'!$A$4:$A$503,_calc!$E$216))=0,"",INDEX('Inspections'!$A$4:$A$503,_calc!$E$216)))</f>
        <v/>
      </c>
      <c r="B214" s="55">
        <f>IF(_calc!$E$216="","",IF(ISNUMBER(INDEX('Inspections'!$H$4:$H$503,_calc!$E$216)),TEXT(INDEX('Inspections'!$H$4:$H$503,_calc!$E$216),"yyyy-mm-dd"),""))</f>
        <v/>
      </c>
      <c r="C214" s="55">
        <f>IF(_calc!$E$216="","","Inspection")</f>
        <v/>
      </c>
      <c r="D214" s="55">
        <f>IF(_calc!$E$216="","",IF(ISNUMBER(INDEX('Inspections'!$G$4:$G$503,_calc!$E$216)),TEXT(INDEX('Inspections'!$G$4:$G$503,_calc!$E$216),"yyyy-mm-dd"),""))</f>
        <v/>
      </c>
      <c r="F214" s="55">
        <f>IF(_calc!$E$216="","",TRIM(IF(LEN(IF(LEN(INDEX('Inspections'!$B$4:$B$503,_calc!$E$216))=0,"",INDEX('Inspections'!$B$4:$B$503,_calc!$E$216)))=0,"","System: "&amp;IF(LEN(INDEX('Inspections'!$B$4:$B$503,_calc!$E$216))=0,"",INDEX('Inspections'!$B$4:$B$503,_calc!$E$216))&amp;". ")&amp;IF(LEN(IF(LEN(INDEX('Inspections'!$D$4:$D$503,_calc!$E$216))=0,"",INDEX('Inspections'!$D$4:$D$503,_calc!$E$216)))=0,"","Every: "&amp;IF(LEN(INDEX('Inspections'!$D$4:$D$503,_calc!$E$216))=0,"",INDEX('Inspections'!$D$4:$D$503,_calc!$E$216))&amp;". ")&amp;IF(LEN(IF(LEN(INDEX('Inspections'!$E$4:$E$503,_calc!$E$216))=0,"",INDEX('Inspections'!$E$4:$E$503,_calc!$E$216)))=0,"","Unit: "&amp;IF(LEN(INDEX('Inspections'!$E$4:$E$503,_calc!$E$216))=0,"",INDEX('Inspections'!$E$4:$E$503,_calc!$E$216))&amp;". ")&amp;IF(LEN(IF(LEN(INDEX('Inspections'!$F$4:$F$503,_calc!$E$216))=0,"",INDEX('Inspections'!$F$4:$F$503,_calc!$E$216)))=0,"","Done by: "&amp;IF(LEN(INDEX('Inspections'!$F$4:$F$503,_calc!$E$216))=0,"",INDEX('Inspections'!$F$4:$F$503,_calc!$E$216))&amp;". ")&amp;IF(LEN(IF(LEN(INDEX('Inspections'!$M$4:$M$503,_calc!$E$216))=0,"",INDEX('Inspections'!$M$4:$M$503,_calc!$E$216)))=0,"","Source: "&amp;IF(LEN(INDEX('Inspections'!$M$4:$M$503,_calc!$E$216))=0,"",INDEX('Inspections'!$M$4:$M$503,_calc!$E$216))&amp;". ")&amp;IF(LEN(IF(LEN(INDEX('Inspections'!$N$4:$N$503,_calc!$E$216))=0,"",INDEX('Inspections'!$N$4:$N$503,_calc!$E$216)))=0,"","Owner: "&amp;IF(LEN(INDEX('Inspections'!$N$4:$N$503,_calc!$E$216))=0,"",INDEX('Inspections'!$N$4:$N$503,_calc!$E$216))&amp;". ")&amp;IF(LEN(IF(LEN(INDEX('Inspections'!$O$4:$O$503,_calc!$E$216))=0,"",INDEX('Inspections'!$O$4:$O$503,_calc!$E$216)))=0,"","Backup: "&amp;IF(LEN(INDEX('Inspections'!$O$4:$O$503,_calc!$E$216))=0,"",INDEX('Inspections'!$O$4:$O$503,_calc!$E$216))&amp;". ")&amp;IF(LEN(IF(LEN(INDEX('Inspections'!$R$4:$R$503,_calc!$E$216))=0,"",INDEX('Inspections'!$R$4:$R$503,_calc!$E$216)))=0,"",IF(LEN(INDEX('Inspections'!$R$4:$R$503,_calc!$E$216))=0,"",INDEX('Inspections'!$R$4:$R$503,_calc!$E$216)))))</f>
        <v/>
      </c>
      <c r="G214" s="55">
        <f>IF(_calc!$E$216="","",IF(LEN(INDEX('Inspections'!$Q$4:$Q$503,_calc!$E$216))=0,"",INDEX('Inspections'!$Q$4:$Q$503,_calc!$E$216)))</f>
        <v/>
      </c>
      <c r="K214" s="55">
        <f>IF(_calc!$E$216="","",IF(LEN(INDEX('Inspections'!$P$4:$P$503,_calc!$E$216))=0,"",INDEX('Inspections'!$P$4:$P$503,_calc!$E$216)))</f>
        <v/>
      </c>
    </row>
    <row r="215">
      <c r="A215" s="55">
        <f>IF(_calc!$E$217="","",IF(LEN(INDEX('Inspections'!$C$4:$C$503,_calc!$E$217))=0,"",INDEX('Inspections'!$C$4:$C$503,_calc!$E$217))&amp;" – "&amp;IF(LEN(INDEX('Inspections'!$A$4:$A$503,_calc!$E$217))=0,"",INDEX('Inspections'!$A$4:$A$503,_calc!$E$217)))</f>
        <v/>
      </c>
      <c r="B215" s="55">
        <f>IF(_calc!$E$217="","",IF(ISNUMBER(INDEX('Inspections'!$H$4:$H$503,_calc!$E$217)),TEXT(INDEX('Inspections'!$H$4:$H$503,_calc!$E$217),"yyyy-mm-dd"),""))</f>
        <v/>
      </c>
      <c r="C215" s="55">
        <f>IF(_calc!$E$217="","","Inspection")</f>
        <v/>
      </c>
      <c r="D215" s="55">
        <f>IF(_calc!$E$217="","",IF(ISNUMBER(INDEX('Inspections'!$G$4:$G$503,_calc!$E$217)),TEXT(INDEX('Inspections'!$G$4:$G$503,_calc!$E$217),"yyyy-mm-dd"),""))</f>
        <v/>
      </c>
      <c r="F215" s="55">
        <f>IF(_calc!$E$217="","",TRIM(IF(LEN(IF(LEN(INDEX('Inspections'!$B$4:$B$503,_calc!$E$217))=0,"",INDEX('Inspections'!$B$4:$B$503,_calc!$E$217)))=0,"","System: "&amp;IF(LEN(INDEX('Inspections'!$B$4:$B$503,_calc!$E$217))=0,"",INDEX('Inspections'!$B$4:$B$503,_calc!$E$217))&amp;". ")&amp;IF(LEN(IF(LEN(INDEX('Inspections'!$D$4:$D$503,_calc!$E$217))=0,"",INDEX('Inspections'!$D$4:$D$503,_calc!$E$217)))=0,"","Every: "&amp;IF(LEN(INDEX('Inspections'!$D$4:$D$503,_calc!$E$217))=0,"",INDEX('Inspections'!$D$4:$D$503,_calc!$E$217))&amp;". ")&amp;IF(LEN(IF(LEN(INDEX('Inspections'!$E$4:$E$503,_calc!$E$217))=0,"",INDEX('Inspections'!$E$4:$E$503,_calc!$E$217)))=0,"","Unit: "&amp;IF(LEN(INDEX('Inspections'!$E$4:$E$503,_calc!$E$217))=0,"",INDEX('Inspections'!$E$4:$E$503,_calc!$E$217))&amp;". ")&amp;IF(LEN(IF(LEN(INDEX('Inspections'!$F$4:$F$503,_calc!$E$217))=0,"",INDEX('Inspections'!$F$4:$F$503,_calc!$E$217)))=0,"","Done by: "&amp;IF(LEN(INDEX('Inspections'!$F$4:$F$503,_calc!$E$217))=0,"",INDEX('Inspections'!$F$4:$F$503,_calc!$E$217))&amp;". ")&amp;IF(LEN(IF(LEN(INDEX('Inspections'!$M$4:$M$503,_calc!$E$217))=0,"",INDEX('Inspections'!$M$4:$M$503,_calc!$E$217)))=0,"","Source: "&amp;IF(LEN(INDEX('Inspections'!$M$4:$M$503,_calc!$E$217))=0,"",INDEX('Inspections'!$M$4:$M$503,_calc!$E$217))&amp;". ")&amp;IF(LEN(IF(LEN(INDEX('Inspections'!$N$4:$N$503,_calc!$E$217))=0,"",INDEX('Inspections'!$N$4:$N$503,_calc!$E$217)))=0,"","Owner: "&amp;IF(LEN(INDEX('Inspections'!$N$4:$N$503,_calc!$E$217))=0,"",INDEX('Inspections'!$N$4:$N$503,_calc!$E$217))&amp;". ")&amp;IF(LEN(IF(LEN(INDEX('Inspections'!$O$4:$O$503,_calc!$E$217))=0,"",INDEX('Inspections'!$O$4:$O$503,_calc!$E$217)))=0,"","Backup: "&amp;IF(LEN(INDEX('Inspections'!$O$4:$O$503,_calc!$E$217))=0,"",INDEX('Inspections'!$O$4:$O$503,_calc!$E$217))&amp;". ")&amp;IF(LEN(IF(LEN(INDEX('Inspections'!$R$4:$R$503,_calc!$E$217))=0,"",INDEX('Inspections'!$R$4:$R$503,_calc!$E$217)))=0,"",IF(LEN(INDEX('Inspections'!$R$4:$R$503,_calc!$E$217))=0,"",INDEX('Inspections'!$R$4:$R$503,_calc!$E$217)))))</f>
        <v/>
      </c>
      <c r="G215" s="55">
        <f>IF(_calc!$E$217="","",IF(LEN(INDEX('Inspections'!$Q$4:$Q$503,_calc!$E$217))=0,"",INDEX('Inspections'!$Q$4:$Q$503,_calc!$E$217)))</f>
        <v/>
      </c>
      <c r="K215" s="55">
        <f>IF(_calc!$E$217="","",IF(LEN(INDEX('Inspections'!$P$4:$P$503,_calc!$E$217))=0,"",INDEX('Inspections'!$P$4:$P$503,_calc!$E$217)))</f>
        <v/>
      </c>
    </row>
    <row r="216">
      <c r="A216" s="55">
        <f>IF(_calc!$E$218="","",IF(LEN(INDEX('Inspections'!$C$4:$C$503,_calc!$E$218))=0,"",INDEX('Inspections'!$C$4:$C$503,_calc!$E$218))&amp;" – "&amp;IF(LEN(INDEX('Inspections'!$A$4:$A$503,_calc!$E$218))=0,"",INDEX('Inspections'!$A$4:$A$503,_calc!$E$218)))</f>
        <v/>
      </c>
      <c r="B216" s="55">
        <f>IF(_calc!$E$218="","",IF(ISNUMBER(INDEX('Inspections'!$H$4:$H$503,_calc!$E$218)),TEXT(INDEX('Inspections'!$H$4:$H$503,_calc!$E$218),"yyyy-mm-dd"),""))</f>
        <v/>
      </c>
      <c r="C216" s="55">
        <f>IF(_calc!$E$218="","","Inspection")</f>
        <v/>
      </c>
      <c r="D216" s="55">
        <f>IF(_calc!$E$218="","",IF(ISNUMBER(INDEX('Inspections'!$G$4:$G$503,_calc!$E$218)),TEXT(INDEX('Inspections'!$G$4:$G$503,_calc!$E$218),"yyyy-mm-dd"),""))</f>
        <v/>
      </c>
      <c r="F216" s="55">
        <f>IF(_calc!$E$218="","",TRIM(IF(LEN(IF(LEN(INDEX('Inspections'!$B$4:$B$503,_calc!$E$218))=0,"",INDEX('Inspections'!$B$4:$B$503,_calc!$E$218)))=0,"","System: "&amp;IF(LEN(INDEX('Inspections'!$B$4:$B$503,_calc!$E$218))=0,"",INDEX('Inspections'!$B$4:$B$503,_calc!$E$218))&amp;". ")&amp;IF(LEN(IF(LEN(INDEX('Inspections'!$D$4:$D$503,_calc!$E$218))=0,"",INDEX('Inspections'!$D$4:$D$503,_calc!$E$218)))=0,"","Every: "&amp;IF(LEN(INDEX('Inspections'!$D$4:$D$503,_calc!$E$218))=0,"",INDEX('Inspections'!$D$4:$D$503,_calc!$E$218))&amp;". ")&amp;IF(LEN(IF(LEN(INDEX('Inspections'!$E$4:$E$503,_calc!$E$218))=0,"",INDEX('Inspections'!$E$4:$E$503,_calc!$E$218)))=0,"","Unit: "&amp;IF(LEN(INDEX('Inspections'!$E$4:$E$503,_calc!$E$218))=0,"",INDEX('Inspections'!$E$4:$E$503,_calc!$E$218))&amp;". ")&amp;IF(LEN(IF(LEN(INDEX('Inspections'!$F$4:$F$503,_calc!$E$218))=0,"",INDEX('Inspections'!$F$4:$F$503,_calc!$E$218)))=0,"","Done by: "&amp;IF(LEN(INDEX('Inspections'!$F$4:$F$503,_calc!$E$218))=0,"",INDEX('Inspections'!$F$4:$F$503,_calc!$E$218))&amp;". ")&amp;IF(LEN(IF(LEN(INDEX('Inspections'!$M$4:$M$503,_calc!$E$218))=0,"",INDEX('Inspections'!$M$4:$M$503,_calc!$E$218)))=0,"","Source: "&amp;IF(LEN(INDEX('Inspections'!$M$4:$M$503,_calc!$E$218))=0,"",INDEX('Inspections'!$M$4:$M$503,_calc!$E$218))&amp;". ")&amp;IF(LEN(IF(LEN(INDEX('Inspections'!$N$4:$N$503,_calc!$E$218))=0,"",INDEX('Inspections'!$N$4:$N$503,_calc!$E$218)))=0,"","Owner: "&amp;IF(LEN(INDEX('Inspections'!$N$4:$N$503,_calc!$E$218))=0,"",INDEX('Inspections'!$N$4:$N$503,_calc!$E$218))&amp;". ")&amp;IF(LEN(IF(LEN(INDEX('Inspections'!$O$4:$O$503,_calc!$E$218))=0,"",INDEX('Inspections'!$O$4:$O$503,_calc!$E$218)))=0,"","Backup: "&amp;IF(LEN(INDEX('Inspections'!$O$4:$O$503,_calc!$E$218))=0,"",INDEX('Inspections'!$O$4:$O$503,_calc!$E$218))&amp;". ")&amp;IF(LEN(IF(LEN(INDEX('Inspections'!$R$4:$R$503,_calc!$E$218))=0,"",INDEX('Inspections'!$R$4:$R$503,_calc!$E$218)))=0,"",IF(LEN(INDEX('Inspections'!$R$4:$R$503,_calc!$E$218))=0,"",INDEX('Inspections'!$R$4:$R$503,_calc!$E$218)))))</f>
        <v/>
      </c>
      <c r="G216" s="55">
        <f>IF(_calc!$E$218="","",IF(LEN(INDEX('Inspections'!$Q$4:$Q$503,_calc!$E$218))=0,"",INDEX('Inspections'!$Q$4:$Q$503,_calc!$E$218)))</f>
        <v/>
      </c>
      <c r="K216" s="55">
        <f>IF(_calc!$E$218="","",IF(LEN(INDEX('Inspections'!$P$4:$P$503,_calc!$E$218))=0,"",INDEX('Inspections'!$P$4:$P$503,_calc!$E$218)))</f>
        <v/>
      </c>
    </row>
    <row r="217">
      <c r="A217" s="55">
        <f>IF(_calc!$E$219="","",IF(LEN(INDEX('Inspections'!$C$4:$C$503,_calc!$E$219))=0,"",INDEX('Inspections'!$C$4:$C$503,_calc!$E$219))&amp;" – "&amp;IF(LEN(INDEX('Inspections'!$A$4:$A$503,_calc!$E$219))=0,"",INDEX('Inspections'!$A$4:$A$503,_calc!$E$219)))</f>
        <v/>
      </c>
      <c r="B217" s="55">
        <f>IF(_calc!$E$219="","",IF(ISNUMBER(INDEX('Inspections'!$H$4:$H$503,_calc!$E$219)),TEXT(INDEX('Inspections'!$H$4:$H$503,_calc!$E$219),"yyyy-mm-dd"),""))</f>
        <v/>
      </c>
      <c r="C217" s="55">
        <f>IF(_calc!$E$219="","","Inspection")</f>
        <v/>
      </c>
      <c r="D217" s="55">
        <f>IF(_calc!$E$219="","",IF(ISNUMBER(INDEX('Inspections'!$G$4:$G$503,_calc!$E$219)),TEXT(INDEX('Inspections'!$G$4:$G$503,_calc!$E$219),"yyyy-mm-dd"),""))</f>
        <v/>
      </c>
      <c r="F217" s="55">
        <f>IF(_calc!$E$219="","",TRIM(IF(LEN(IF(LEN(INDEX('Inspections'!$B$4:$B$503,_calc!$E$219))=0,"",INDEX('Inspections'!$B$4:$B$503,_calc!$E$219)))=0,"","System: "&amp;IF(LEN(INDEX('Inspections'!$B$4:$B$503,_calc!$E$219))=0,"",INDEX('Inspections'!$B$4:$B$503,_calc!$E$219))&amp;". ")&amp;IF(LEN(IF(LEN(INDEX('Inspections'!$D$4:$D$503,_calc!$E$219))=0,"",INDEX('Inspections'!$D$4:$D$503,_calc!$E$219)))=0,"","Every: "&amp;IF(LEN(INDEX('Inspections'!$D$4:$D$503,_calc!$E$219))=0,"",INDEX('Inspections'!$D$4:$D$503,_calc!$E$219))&amp;". ")&amp;IF(LEN(IF(LEN(INDEX('Inspections'!$E$4:$E$503,_calc!$E$219))=0,"",INDEX('Inspections'!$E$4:$E$503,_calc!$E$219)))=0,"","Unit: "&amp;IF(LEN(INDEX('Inspections'!$E$4:$E$503,_calc!$E$219))=0,"",INDEX('Inspections'!$E$4:$E$503,_calc!$E$219))&amp;". ")&amp;IF(LEN(IF(LEN(INDEX('Inspections'!$F$4:$F$503,_calc!$E$219))=0,"",INDEX('Inspections'!$F$4:$F$503,_calc!$E$219)))=0,"","Done by: "&amp;IF(LEN(INDEX('Inspections'!$F$4:$F$503,_calc!$E$219))=0,"",INDEX('Inspections'!$F$4:$F$503,_calc!$E$219))&amp;". ")&amp;IF(LEN(IF(LEN(INDEX('Inspections'!$M$4:$M$503,_calc!$E$219))=0,"",INDEX('Inspections'!$M$4:$M$503,_calc!$E$219)))=0,"","Source: "&amp;IF(LEN(INDEX('Inspections'!$M$4:$M$503,_calc!$E$219))=0,"",INDEX('Inspections'!$M$4:$M$503,_calc!$E$219))&amp;". ")&amp;IF(LEN(IF(LEN(INDEX('Inspections'!$N$4:$N$503,_calc!$E$219))=0,"",INDEX('Inspections'!$N$4:$N$503,_calc!$E$219)))=0,"","Owner: "&amp;IF(LEN(INDEX('Inspections'!$N$4:$N$503,_calc!$E$219))=0,"",INDEX('Inspections'!$N$4:$N$503,_calc!$E$219))&amp;". ")&amp;IF(LEN(IF(LEN(INDEX('Inspections'!$O$4:$O$503,_calc!$E$219))=0,"",INDEX('Inspections'!$O$4:$O$503,_calc!$E$219)))=0,"","Backup: "&amp;IF(LEN(INDEX('Inspections'!$O$4:$O$503,_calc!$E$219))=0,"",INDEX('Inspections'!$O$4:$O$503,_calc!$E$219))&amp;". ")&amp;IF(LEN(IF(LEN(INDEX('Inspections'!$R$4:$R$503,_calc!$E$219))=0,"",INDEX('Inspections'!$R$4:$R$503,_calc!$E$219)))=0,"",IF(LEN(INDEX('Inspections'!$R$4:$R$503,_calc!$E$219))=0,"",INDEX('Inspections'!$R$4:$R$503,_calc!$E$219)))))</f>
        <v/>
      </c>
      <c r="G217" s="55">
        <f>IF(_calc!$E$219="","",IF(LEN(INDEX('Inspections'!$Q$4:$Q$503,_calc!$E$219))=0,"",INDEX('Inspections'!$Q$4:$Q$503,_calc!$E$219)))</f>
        <v/>
      </c>
      <c r="K217" s="55">
        <f>IF(_calc!$E$219="","",IF(LEN(INDEX('Inspections'!$P$4:$P$503,_calc!$E$219))=0,"",INDEX('Inspections'!$P$4:$P$503,_calc!$E$219)))</f>
        <v/>
      </c>
    </row>
    <row r="218">
      <c r="A218" s="55">
        <f>IF(_calc!$E$220="","",IF(LEN(INDEX('Inspections'!$C$4:$C$503,_calc!$E$220))=0,"",INDEX('Inspections'!$C$4:$C$503,_calc!$E$220))&amp;" – "&amp;IF(LEN(INDEX('Inspections'!$A$4:$A$503,_calc!$E$220))=0,"",INDEX('Inspections'!$A$4:$A$503,_calc!$E$220)))</f>
        <v/>
      </c>
      <c r="B218" s="55">
        <f>IF(_calc!$E$220="","",IF(ISNUMBER(INDEX('Inspections'!$H$4:$H$503,_calc!$E$220)),TEXT(INDEX('Inspections'!$H$4:$H$503,_calc!$E$220),"yyyy-mm-dd"),""))</f>
        <v/>
      </c>
      <c r="C218" s="55">
        <f>IF(_calc!$E$220="","","Inspection")</f>
        <v/>
      </c>
      <c r="D218" s="55">
        <f>IF(_calc!$E$220="","",IF(ISNUMBER(INDEX('Inspections'!$G$4:$G$503,_calc!$E$220)),TEXT(INDEX('Inspections'!$G$4:$G$503,_calc!$E$220),"yyyy-mm-dd"),""))</f>
        <v/>
      </c>
      <c r="F218" s="55">
        <f>IF(_calc!$E$220="","",TRIM(IF(LEN(IF(LEN(INDEX('Inspections'!$B$4:$B$503,_calc!$E$220))=0,"",INDEX('Inspections'!$B$4:$B$503,_calc!$E$220)))=0,"","System: "&amp;IF(LEN(INDEX('Inspections'!$B$4:$B$503,_calc!$E$220))=0,"",INDEX('Inspections'!$B$4:$B$503,_calc!$E$220))&amp;". ")&amp;IF(LEN(IF(LEN(INDEX('Inspections'!$D$4:$D$503,_calc!$E$220))=0,"",INDEX('Inspections'!$D$4:$D$503,_calc!$E$220)))=0,"","Every: "&amp;IF(LEN(INDEX('Inspections'!$D$4:$D$503,_calc!$E$220))=0,"",INDEX('Inspections'!$D$4:$D$503,_calc!$E$220))&amp;". ")&amp;IF(LEN(IF(LEN(INDEX('Inspections'!$E$4:$E$503,_calc!$E$220))=0,"",INDEX('Inspections'!$E$4:$E$503,_calc!$E$220)))=0,"","Unit: "&amp;IF(LEN(INDEX('Inspections'!$E$4:$E$503,_calc!$E$220))=0,"",INDEX('Inspections'!$E$4:$E$503,_calc!$E$220))&amp;". ")&amp;IF(LEN(IF(LEN(INDEX('Inspections'!$F$4:$F$503,_calc!$E$220))=0,"",INDEX('Inspections'!$F$4:$F$503,_calc!$E$220)))=0,"","Done by: "&amp;IF(LEN(INDEX('Inspections'!$F$4:$F$503,_calc!$E$220))=0,"",INDEX('Inspections'!$F$4:$F$503,_calc!$E$220))&amp;". ")&amp;IF(LEN(IF(LEN(INDEX('Inspections'!$M$4:$M$503,_calc!$E$220))=0,"",INDEX('Inspections'!$M$4:$M$503,_calc!$E$220)))=0,"","Source: "&amp;IF(LEN(INDEX('Inspections'!$M$4:$M$503,_calc!$E$220))=0,"",INDEX('Inspections'!$M$4:$M$503,_calc!$E$220))&amp;". ")&amp;IF(LEN(IF(LEN(INDEX('Inspections'!$N$4:$N$503,_calc!$E$220))=0,"",INDEX('Inspections'!$N$4:$N$503,_calc!$E$220)))=0,"","Owner: "&amp;IF(LEN(INDEX('Inspections'!$N$4:$N$503,_calc!$E$220))=0,"",INDEX('Inspections'!$N$4:$N$503,_calc!$E$220))&amp;". ")&amp;IF(LEN(IF(LEN(INDEX('Inspections'!$O$4:$O$503,_calc!$E$220))=0,"",INDEX('Inspections'!$O$4:$O$503,_calc!$E$220)))=0,"","Backup: "&amp;IF(LEN(INDEX('Inspections'!$O$4:$O$503,_calc!$E$220))=0,"",INDEX('Inspections'!$O$4:$O$503,_calc!$E$220))&amp;". ")&amp;IF(LEN(IF(LEN(INDEX('Inspections'!$R$4:$R$503,_calc!$E$220))=0,"",INDEX('Inspections'!$R$4:$R$503,_calc!$E$220)))=0,"",IF(LEN(INDEX('Inspections'!$R$4:$R$503,_calc!$E$220))=0,"",INDEX('Inspections'!$R$4:$R$503,_calc!$E$220)))))</f>
        <v/>
      </c>
      <c r="G218" s="55">
        <f>IF(_calc!$E$220="","",IF(LEN(INDEX('Inspections'!$Q$4:$Q$503,_calc!$E$220))=0,"",INDEX('Inspections'!$Q$4:$Q$503,_calc!$E$220)))</f>
        <v/>
      </c>
      <c r="K218" s="55">
        <f>IF(_calc!$E$220="","",IF(LEN(INDEX('Inspections'!$P$4:$P$503,_calc!$E$220))=0,"",INDEX('Inspections'!$P$4:$P$503,_calc!$E$220)))</f>
        <v/>
      </c>
    </row>
    <row r="219">
      <c r="A219" s="55">
        <f>IF(_calc!$E$221="","",IF(LEN(INDEX('Inspections'!$C$4:$C$503,_calc!$E$221))=0,"",INDEX('Inspections'!$C$4:$C$503,_calc!$E$221))&amp;" – "&amp;IF(LEN(INDEX('Inspections'!$A$4:$A$503,_calc!$E$221))=0,"",INDEX('Inspections'!$A$4:$A$503,_calc!$E$221)))</f>
        <v/>
      </c>
      <c r="B219" s="55">
        <f>IF(_calc!$E$221="","",IF(ISNUMBER(INDEX('Inspections'!$H$4:$H$503,_calc!$E$221)),TEXT(INDEX('Inspections'!$H$4:$H$503,_calc!$E$221),"yyyy-mm-dd"),""))</f>
        <v/>
      </c>
      <c r="C219" s="55">
        <f>IF(_calc!$E$221="","","Inspection")</f>
        <v/>
      </c>
      <c r="D219" s="55">
        <f>IF(_calc!$E$221="","",IF(ISNUMBER(INDEX('Inspections'!$G$4:$G$503,_calc!$E$221)),TEXT(INDEX('Inspections'!$G$4:$G$503,_calc!$E$221),"yyyy-mm-dd"),""))</f>
        <v/>
      </c>
      <c r="F219" s="55">
        <f>IF(_calc!$E$221="","",TRIM(IF(LEN(IF(LEN(INDEX('Inspections'!$B$4:$B$503,_calc!$E$221))=0,"",INDEX('Inspections'!$B$4:$B$503,_calc!$E$221)))=0,"","System: "&amp;IF(LEN(INDEX('Inspections'!$B$4:$B$503,_calc!$E$221))=0,"",INDEX('Inspections'!$B$4:$B$503,_calc!$E$221))&amp;". ")&amp;IF(LEN(IF(LEN(INDEX('Inspections'!$D$4:$D$503,_calc!$E$221))=0,"",INDEX('Inspections'!$D$4:$D$503,_calc!$E$221)))=0,"","Every: "&amp;IF(LEN(INDEX('Inspections'!$D$4:$D$503,_calc!$E$221))=0,"",INDEX('Inspections'!$D$4:$D$503,_calc!$E$221))&amp;". ")&amp;IF(LEN(IF(LEN(INDEX('Inspections'!$E$4:$E$503,_calc!$E$221))=0,"",INDEX('Inspections'!$E$4:$E$503,_calc!$E$221)))=0,"","Unit: "&amp;IF(LEN(INDEX('Inspections'!$E$4:$E$503,_calc!$E$221))=0,"",INDEX('Inspections'!$E$4:$E$503,_calc!$E$221))&amp;". ")&amp;IF(LEN(IF(LEN(INDEX('Inspections'!$F$4:$F$503,_calc!$E$221))=0,"",INDEX('Inspections'!$F$4:$F$503,_calc!$E$221)))=0,"","Done by: "&amp;IF(LEN(INDEX('Inspections'!$F$4:$F$503,_calc!$E$221))=0,"",INDEX('Inspections'!$F$4:$F$503,_calc!$E$221))&amp;". ")&amp;IF(LEN(IF(LEN(INDEX('Inspections'!$M$4:$M$503,_calc!$E$221))=0,"",INDEX('Inspections'!$M$4:$M$503,_calc!$E$221)))=0,"","Source: "&amp;IF(LEN(INDEX('Inspections'!$M$4:$M$503,_calc!$E$221))=0,"",INDEX('Inspections'!$M$4:$M$503,_calc!$E$221))&amp;". ")&amp;IF(LEN(IF(LEN(INDEX('Inspections'!$N$4:$N$503,_calc!$E$221))=0,"",INDEX('Inspections'!$N$4:$N$503,_calc!$E$221)))=0,"","Owner: "&amp;IF(LEN(INDEX('Inspections'!$N$4:$N$503,_calc!$E$221))=0,"",INDEX('Inspections'!$N$4:$N$503,_calc!$E$221))&amp;". ")&amp;IF(LEN(IF(LEN(INDEX('Inspections'!$O$4:$O$503,_calc!$E$221))=0,"",INDEX('Inspections'!$O$4:$O$503,_calc!$E$221)))=0,"","Backup: "&amp;IF(LEN(INDEX('Inspections'!$O$4:$O$503,_calc!$E$221))=0,"",INDEX('Inspections'!$O$4:$O$503,_calc!$E$221))&amp;". ")&amp;IF(LEN(IF(LEN(INDEX('Inspections'!$R$4:$R$503,_calc!$E$221))=0,"",INDEX('Inspections'!$R$4:$R$503,_calc!$E$221)))=0,"",IF(LEN(INDEX('Inspections'!$R$4:$R$503,_calc!$E$221))=0,"",INDEX('Inspections'!$R$4:$R$503,_calc!$E$221)))))</f>
        <v/>
      </c>
      <c r="G219" s="55">
        <f>IF(_calc!$E$221="","",IF(LEN(INDEX('Inspections'!$Q$4:$Q$503,_calc!$E$221))=0,"",INDEX('Inspections'!$Q$4:$Q$503,_calc!$E$221)))</f>
        <v/>
      </c>
      <c r="K219" s="55">
        <f>IF(_calc!$E$221="","",IF(LEN(INDEX('Inspections'!$P$4:$P$503,_calc!$E$221))=0,"",INDEX('Inspections'!$P$4:$P$503,_calc!$E$221)))</f>
        <v/>
      </c>
    </row>
    <row r="220">
      <c r="A220" s="55">
        <f>IF(_calc!$E$222="","",IF(LEN(INDEX('Inspections'!$C$4:$C$503,_calc!$E$222))=0,"",INDEX('Inspections'!$C$4:$C$503,_calc!$E$222))&amp;" – "&amp;IF(LEN(INDEX('Inspections'!$A$4:$A$503,_calc!$E$222))=0,"",INDEX('Inspections'!$A$4:$A$503,_calc!$E$222)))</f>
        <v/>
      </c>
      <c r="B220" s="55">
        <f>IF(_calc!$E$222="","",IF(ISNUMBER(INDEX('Inspections'!$H$4:$H$503,_calc!$E$222)),TEXT(INDEX('Inspections'!$H$4:$H$503,_calc!$E$222),"yyyy-mm-dd"),""))</f>
        <v/>
      </c>
      <c r="C220" s="55">
        <f>IF(_calc!$E$222="","","Inspection")</f>
        <v/>
      </c>
      <c r="D220" s="55">
        <f>IF(_calc!$E$222="","",IF(ISNUMBER(INDEX('Inspections'!$G$4:$G$503,_calc!$E$222)),TEXT(INDEX('Inspections'!$G$4:$G$503,_calc!$E$222),"yyyy-mm-dd"),""))</f>
        <v/>
      </c>
      <c r="F220" s="55">
        <f>IF(_calc!$E$222="","",TRIM(IF(LEN(IF(LEN(INDEX('Inspections'!$B$4:$B$503,_calc!$E$222))=0,"",INDEX('Inspections'!$B$4:$B$503,_calc!$E$222)))=0,"","System: "&amp;IF(LEN(INDEX('Inspections'!$B$4:$B$503,_calc!$E$222))=0,"",INDEX('Inspections'!$B$4:$B$503,_calc!$E$222))&amp;". ")&amp;IF(LEN(IF(LEN(INDEX('Inspections'!$D$4:$D$503,_calc!$E$222))=0,"",INDEX('Inspections'!$D$4:$D$503,_calc!$E$222)))=0,"","Every: "&amp;IF(LEN(INDEX('Inspections'!$D$4:$D$503,_calc!$E$222))=0,"",INDEX('Inspections'!$D$4:$D$503,_calc!$E$222))&amp;". ")&amp;IF(LEN(IF(LEN(INDEX('Inspections'!$E$4:$E$503,_calc!$E$222))=0,"",INDEX('Inspections'!$E$4:$E$503,_calc!$E$222)))=0,"","Unit: "&amp;IF(LEN(INDEX('Inspections'!$E$4:$E$503,_calc!$E$222))=0,"",INDEX('Inspections'!$E$4:$E$503,_calc!$E$222))&amp;". ")&amp;IF(LEN(IF(LEN(INDEX('Inspections'!$F$4:$F$503,_calc!$E$222))=0,"",INDEX('Inspections'!$F$4:$F$503,_calc!$E$222)))=0,"","Done by: "&amp;IF(LEN(INDEX('Inspections'!$F$4:$F$503,_calc!$E$222))=0,"",INDEX('Inspections'!$F$4:$F$503,_calc!$E$222))&amp;". ")&amp;IF(LEN(IF(LEN(INDEX('Inspections'!$M$4:$M$503,_calc!$E$222))=0,"",INDEX('Inspections'!$M$4:$M$503,_calc!$E$222)))=0,"","Source: "&amp;IF(LEN(INDEX('Inspections'!$M$4:$M$503,_calc!$E$222))=0,"",INDEX('Inspections'!$M$4:$M$503,_calc!$E$222))&amp;". ")&amp;IF(LEN(IF(LEN(INDEX('Inspections'!$N$4:$N$503,_calc!$E$222))=0,"",INDEX('Inspections'!$N$4:$N$503,_calc!$E$222)))=0,"","Owner: "&amp;IF(LEN(INDEX('Inspections'!$N$4:$N$503,_calc!$E$222))=0,"",INDEX('Inspections'!$N$4:$N$503,_calc!$E$222))&amp;". ")&amp;IF(LEN(IF(LEN(INDEX('Inspections'!$O$4:$O$503,_calc!$E$222))=0,"",INDEX('Inspections'!$O$4:$O$503,_calc!$E$222)))=0,"","Backup: "&amp;IF(LEN(INDEX('Inspections'!$O$4:$O$503,_calc!$E$222))=0,"",INDEX('Inspections'!$O$4:$O$503,_calc!$E$222))&amp;". ")&amp;IF(LEN(IF(LEN(INDEX('Inspections'!$R$4:$R$503,_calc!$E$222))=0,"",INDEX('Inspections'!$R$4:$R$503,_calc!$E$222)))=0,"",IF(LEN(INDEX('Inspections'!$R$4:$R$503,_calc!$E$222))=0,"",INDEX('Inspections'!$R$4:$R$503,_calc!$E$222)))))</f>
        <v/>
      </c>
      <c r="G220" s="55">
        <f>IF(_calc!$E$222="","",IF(LEN(INDEX('Inspections'!$Q$4:$Q$503,_calc!$E$222))=0,"",INDEX('Inspections'!$Q$4:$Q$503,_calc!$E$222)))</f>
        <v/>
      </c>
      <c r="K220" s="55">
        <f>IF(_calc!$E$222="","",IF(LEN(INDEX('Inspections'!$P$4:$P$503,_calc!$E$222))=0,"",INDEX('Inspections'!$P$4:$P$503,_calc!$E$222)))</f>
        <v/>
      </c>
    </row>
    <row r="221">
      <c r="A221" s="55">
        <f>IF(_calc!$E$223="","",IF(LEN(INDEX('Inspections'!$C$4:$C$503,_calc!$E$223))=0,"",INDEX('Inspections'!$C$4:$C$503,_calc!$E$223))&amp;" – "&amp;IF(LEN(INDEX('Inspections'!$A$4:$A$503,_calc!$E$223))=0,"",INDEX('Inspections'!$A$4:$A$503,_calc!$E$223)))</f>
        <v/>
      </c>
      <c r="B221" s="55">
        <f>IF(_calc!$E$223="","",IF(ISNUMBER(INDEX('Inspections'!$H$4:$H$503,_calc!$E$223)),TEXT(INDEX('Inspections'!$H$4:$H$503,_calc!$E$223),"yyyy-mm-dd"),""))</f>
        <v/>
      </c>
      <c r="C221" s="55">
        <f>IF(_calc!$E$223="","","Inspection")</f>
        <v/>
      </c>
      <c r="D221" s="55">
        <f>IF(_calc!$E$223="","",IF(ISNUMBER(INDEX('Inspections'!$G$4:$G$503,_calc!$E$223)),TEXT(INDEX('Inspections'!$G$4:$G$503,_calc!$E$223),"yyyy-mm-dd"),""))</f>
        <v/>
      </c>
      <c r="F221" s="55">
        <f>IF(_calc!$E$223="","",TRIM(IF(LEN(IF(LEN(INDEX('Inspections'!$B$4:$B$503,_calc!$E$223))=0,"",INDEX('Inspections'!$B$4:$B$503,_calc!$E$223)))=0,"","System: "&amp;IF(LEN(INDEX('Inspections'!$B$4:$B$503,_calc!$E$223))=0,"",INDEX('Inspections'!$B$4:$B$503,_calc!$E$223))&amp;". ")&amp;IF(LEN(IF(LEN(INDEX('Inspections'!$D$4:$D$503,_calc!$E$223))=0,"",INDEX('Inspections'!$D$4:$D$503,_calc!$E$223)))=0,"","Every: "&amp;IF(LEN(INDEX('Inspections'!$D$4:$D$503,_calc!$E$223))=0,"",INDEX('Inspections'!$D$4:$D$503,_calc!$E$223))&amp;". ")&amp;IF(LEN(IF(LEN(INDEX('Inspections'!$E$4:$E$503,_calc!$E$223))=0,"",INDEX('Inspections'!$E$4:$E$503,_calc!$E$223)))=0,"","Unit: "&amp;IF(LEN(INDEX('Inspections'!$E$4:$E$503,_calc!$E$223))=0,"",INDEX('Inspections'!$E$4:$E$503,_calc!$E$223))&amp;". ")&amp;IF(LEN(IF(LEN(INDEX('Inspections'!$F$4:$F$503,_calc!$E$223))=0,"",INDEX('Inspections'!$F$4:$F$503,_calc!$E$223)))=0,"","Done by: "&amp;IF(LEN(INDEX('Inspections'!$F$4:$F$503,_calc!$E$223))=0,"",INDEX('Inspections'!$F$4:$F$503,_calc!$E$223))&amp;". ")&amp;IF(LEN(IF(LEN(INDEX('Inspections'!$M$4:$M$503,_calc!$E$223))=0,"",INDEX('Inspections'!$M$4:$M$503,_calc!$E$223)))=0,"","Source: "&amp;IF(LEN(INDEX('Inspections'!$M$4:$M$503,_calc!$E$223))=0,"",INDEX('Inspections'!$M$4:$M$503,_calc!$E$223))&amp;". ")&amp;IF(LEN(IF(LEN(INDEX('Inspections'!$N$4:$N$503,_calc!$E$223))=0,"",INDEX('Inspections'!$N$4:$N$503,_calc!$E$223)))=0,"","Owner: "&amp;IF(LEN(INDEX('Inspections'!$N$4:$N$503,_calc!$E$223))=0,"",INDEX('Inspections'!$N$4:$N$503,_calc!$E$223))&amp;". ")&amp;IF(LEN(IF(LEN(INDEX('Inspections'!$O$4:$O$503,_calc!$E$223))=0,"",INDEX('Inspections'!$O$4:$O$503,_calc!$E$223)))=0,"","Backup: "&amp;IF(LEN(INDEX('Inspections'!$O$4:$O$503,_calc!$E$223))=0,"",INDEX('Inspections'!$O$4:$O$503,_calc!$E$223))&amp;". ")&amp;IF(LEN(IF(LEN(INDEX('Inspections'!$R$4:$R$503,_calc!$E$223))=0,"",INDEX('Inspections'!$R$4:$R$503,_calc!$E$223)))=0,"",IF(LEN(INDEX('Inspections'!$R$4:$R$503,_calc!$E$223))=0,"",INDEX('Inspections'!$R$4:$R$503,_calc!$E$223)))))</f>
        <v/>
      </c>
      <c r="G221" s="55">
        <f>IF(_calc!$E$223="","",IF(LEN(INDEX('Inspections'!$Q$4:$Q$503,_calc!$E$223))=0,"",INDEX('Inspections'!$Q$4:$Q$503,_calc!$E$223)))</f>
        <v/>
      </c>
      <c r="K221" s="55">
        <f>IF(_calc!$E$223="","",IF(LEN(INDEX('Inspections'!$P$4:$P$503,_calc!$E$223))=0,"",INDEX('Inspections'!$P$4:$P$503,_calc!$E$223)))</f>
        <v/>
      </c>
    </row>
    <row r="222">
      <c r="A222" s="55">
        <f>IF(_calc!$E$224="","",IF(LEN(INDEX('Inspections'!$C$4:$C$503,_calc!$E$224))=0,"",INDEX('Inspections'!$C$4:$C$503,_calc!$E$224))&amp;" – "&amp;IF(LEN(INDEX('Inspections'!$A$4:$A$503,_calc!$E$224))=0,"",INDEX('Inspections'!$A$4:$A$503,_calc!$E$224)))</f>
        <v/>
      </c>
      <c r="B222" s="55">
        <f>IF(_calc!$E$224="","",IF(ISNUMBER(INDEX('Inspections'!$H$4:$H$503,_calc!$E$224)),TEXT(INDEX('Inspections'!$H$4:$H$503,_calc!$E$224),"yyyy-mm-dd"),""))</f>
        <v/>
      </c>
      <c r="C222" s="55">
        <f>IF(_calc!$E$224="","","Inspection")</f>
        <v/>
      </c>
      <c r="D222" s="55">
        <f>IF(_calc!$E$224="","",IF(ISNUMBER(INDEX('Inspections'!$G$4:$G$503,_calc!$E$224)),TEXT(INDEX('Inspections'!$G$4:$G$503,_calc!$E$224),"yyyy-mm-dd"),""))</f>
        <v/>
      </c>
      <c r="F222" s="55">
        <f>IF(_calc!$E$224="","",TRIM(IF(LEN(IF(LEN(INDEX('Inspections'!$B$4:$B$503,_calc!$E$224))=0,"",INDEX('Inspections'!$B$4:$B$503,_calc!$E$224)))=0,"","System: "&amp;IF(LEN(INDEX('Inspections'!$B$4:$B$503,_calc!$E$224))=0,"",INDEX('Inspections'!$B$4:$B$503,_calc!$E$224))&amp;". ")&amp;IF(LEN(IF(LEN(INDEX('Inspections'!$D$4:$D$503,_calc!$E$224))=0,"",INDEX('Inspections'!$D$4:$D$503,_calc!$E$224)))=0,"","Every: "&amp;IF(LEN(INDEX('Inspections'!$D$4:$D$503,_calc!$E$224))=0,"",INDEX('Inspections'!$D$4:$D$503,_calc!$E$224))&amp;". ")&amp;IF(LEN(IF(LEN(INDEX('Inspections'!$E$4:$E$503,_calc!$E$224))=0,"",INDEX('Inspections'!$E$4:$E$503,_calc!$E$224)))=0,"","Unit: "&amp;IF(LEN(INDEX('Inspections'!$E$4:$E$503,_calc!$E$224))=0,"",INDEX('Inspections'!$E$4:$E$503,_calc!$E$224))&amp;". ")&amp;IF(LEN(IF(LEN(INDEX('Inspections'!$F$4:$F$503,_calc!$E$224))=0,"",INDEX('Inspections'!$F$4:$F$503,_calc!$E$224)))=0,"","Done by: "&amp;IF(LEN(INDEX('Inspections'!$F$4:$F$503,_calc!$E$224))=0,"",INDEX('Inspections'!$F$4:$F$503,_calc!$E$224))&amp;". ")&amp;IF(LEN(IF(LEN(INDEX('Inspections'!$M$4:$M$503,_calc!$E$224))=0,"",INDEX('Inspections'!$M$4:$M$503,_calc!$E$224)))=0,"","Source: "&amp;IF(LEN(INDEX('Inspections'!$M$4:$M$503,_calc!$E$224))=0,"",INDEX('Inspections'!$M$4:$M$503,_calc!$E$224))&amp;". ")&amp;IF(LEN(IF(LEN(INDEX('Inspections'!$N$4:$N$503,_calc!$E$224))=0,"",INDEX('Inspections'!$N$4:$N$503,_calc!$E$224)))=0,"","Owner: "&amp;IF(LEN(INDEX('Inspections'!$N$4:$N$503,_calc!$E$224))=0,"",INDEX('Inspections'!$N$4:$N$503,_calc!$E$224))&amp;". ")&amp;IF(LEN(IF(LEN(INDEX('Inspections'!$O$4:$O$503,_calc!$E$224))=0,"",INDEX('Inspections'!$O$4:$O$503,_calc!$E$224)))=0,"","Backup: "&amp;IF(LEN(INDEX('Inspections'!$O$4:$O$503,_calc!$E$224))=0,"",INDEX('Inspections'!$O$4:$O$503,_calc!$E$224))&amp;". ")&amp;IF(LEN(IF(LEN(INDEX('Inspections'!$R$4:$R$503,_calc!$E$224))=0,"",INDEX('Inspections'!$R$4:$R$503,_calc!$E$224)))=0,"",IF(LEN(INDEX('Inspections'!$R$4:$R$503,_calc!$E$224))=0,"",INDEX('Inspections'!$R$4:$R$503,_calc!$E$224)))))</f>
        <v/>
      </c>
      <c r="G222" s="55">
        <f>IF(_calc!$E$224="","",IF(LEN(INDEX('Inspections'!$Q$4:$Q$503,_calc!$E$224))=0,"",INDEX('Inspections'!$Q$4:$Q$503,_calc!$E$224)))</f>
        <v/>
      </c>
      <c r="K222" s="55">
        <f>IF(_calc!$E$224="","",IF(LEN(INDEX('Inspections'!$P$4:$P$503,_calc!$E$224))=0,"",INDEX('Inspections'!$P$4:$P$503,_calc!$E$224)))</f>
        <v/>
      </c>
    </row>
    <row r="223">
      <c r="A223" s="55">
        <f>IF(_calc!$E$225="","",IF(LEN(INDEX('Inspections'!$C$4:$C$503,_calc!$E$225))=0,"",INDEX('Inspections'!$C$4:$C$503,_calc!$E$225))&amp;" – "&amp;IF(LEN(INDEX('Inspections'!$A$4:$A$503,_calc!$E$225))=0,"",INDEX('Inspections'!$A$4:$A$503,_calc!$E$225)))</f>
        <v/>
      </c>
      <c r="B223" s="55">
        <f>IF(_calc!$E$225="","",IF(ISNUMBER(INDEX('Inspections'!$H$4:$H$503,_calc!$E$225)),TEXT(INDEX('Inspections'!$H$4:$H$503,_calc!$E$225),"yyyy-mm-dd"),""))</f>
        <v/>
      </c>
      <c r="C223" s="55">
        <f>IF(_calc!$E$225="","","Inspection")</f>
        <v/>
      </c>
      <c r="D223" s="55">
        <f>IF(_calc!$E$225="","",IF(ISNUMBER(INDEX('Inspections'!$G$4:$G$503,_calc!$E$225)),TEXT(INDEX('Inspections'!$G$4:$G$503,_calc!$E$225),"yyyy-mm-dd"),""))</f>
        <v/>
      </c>
      <c r="F223" s="55">
        <f>IF(_calc!$E$225="","",TRIM(IF(LEN(IF(LEN(INDEX('Inspections'!$B$4:$B$503,_calc!$E$225))=0,"",INDEX('Inspections'!$B$4:$B$503,_calc!$E$225)))=0,"","System: "&amp;IF(LEN(INDEX('Inspections'!$B$4:$B$503,_calc!$E$225))=0,"",INDEX('Inspections'!$B$4:$B$503,_calc!$E$225))&amp;". ")&amp;IF(LEN(IF(LEN(INDEX('Inspections'!$D$4:$D$503,_calc!$E$225))=0,"",INDEX('Inspections'!$D$4:$D$503,_calc!$E$225)))=0,"","Every: "&amp;IF(LEN(INDEX('Inspections'!$D$4:$D$503,_calc!$E$225))=0,"",INDEX('Inspections'!$D$4:$D$503,_calc!$E$225))&amp;". ")&amp;IF(LEN(IF(LEN(INDEX('Inspections'!$E$4:$E$503,_calc!$E$225))=0,"",INDEX('Inspections'!$E$4:$E$503,_calc!$E$225)))=0,"","Unit: "&amp;IF(LEN(INDEX('Inspections'!$E$4:$E$503,_calc!$E$225))=0,"",INDEX('Inspections'!$E$4:$E$503,_calc!$E$225))&amp;". ")&amp;IF(LEN(IF(LEN(INDEX('Inspections'!$F$4:$F$503,_calc!$E$225))=0,"",INDEX('Inspections'!$F$4:$F$503,_calc!$E$225)))=0,"","Done by: "&amp;IF(LEN(INDEX('Inspections'!$F$4:$F$503,_calc!$E$225))=0,"",INDEX('Inspections'!$F$4:$F$503,_calc!$E$225))&amp;". ")&amp;IF(LEN(IF(LEN(INDEX('Inspections'!$M$4:$M$503,_calc!$E$225))=0,"",INDEX('Inspections'!$M$4:$M$503,_calc!$E$225)))=0,"","Source: "&amp;IF(LEN(INDEX('Inspections'!$M$4:$M$503,_calc!$E$225))=0,"",INDEX('Inspections'!$M$4:$M$503,_calc!$E$225))&amp;". ")&amp;IF(LEN(IF(LEN(INDEX('Inspections'!$N$4:$N$503,_calc!$E$225))=0,"",INDEX('Inspections'!$N$4:$N$503,_calc!$E$225)))=0,"","Owner: "&amp;IF(LEN(INDEX('Inspections'!$N$4:$N$503,_calc!$E$225))=0,"",INDEX('Inspections'!$N$4:$N$503,_calc!$E$225))&amp;". ")&amp;IF(LEN(IF(LEN(INDEX('Inspections'!$O$4:$O$503,_calc!$E$225))=0,"",INDEX('Inspections'!$O$4:$O$503,_calc!$E$225)))=0,"","Backup: "&amp;IF(LEN(INDEX('Inspections'!$O$4:$O$503,_calc!$E$225))=0,"",INDEX('Inspections'!$O$4:$O$503,_calc!$E$225))&amp;". ")&amp;IF(LEN(IF(LEN(INDEX('Inspections'!$R$4:$R$503,_calc!$E$225))=0,"",INDEX('Inspections'!$R$4:$R$503,_calc!$E$225)))=0,"",IF(LEN(INDEX('Inspections'!$R$4:$R$503,_calc!$E$225))=0,"",INDEX('Inspections'!$R$4:$R$503,_calc!$E$225)))))</f>
        <v/>
      </c>
      <c r="G223" s="55">
        <f>IF(_calc!$E$225="","",IF(LEN(INDEX('Inspections'!$Q$4:$Q$503,_calc!$E$225))=0,"",INDEX('Inspections'!$Q$4:$Q$503,_calc!$E$225)))</f>
        <v/>
      </c>
      <c r="K223" s="55">
        <f>IF(_calc!$E$225="","",IF(LEN(INDEX('Inspections'!$P$4:$P$503,_calc!$E$225))=0,"",INDEX('Inspections'!$P$4:$P$503,_calc!$E$225)))</f>
        <v/>
      </c>
    </row>
    <row r="224">
      <c r="A224" s="55">
        <f>IF(_calc!$E$226="","",IF(LEN(INDEX('Inspections'!$C$4:$C$503,_calc!$E$226))=0,"",INDEX('Inspections'!$C$4:$C$503,_calc!$E$226))&amp;" – "&amp;IF(LEN(INDEX('Inspections'!$A$4:$A$503,_calc!$E$226))=0,"",INDEX('Inspections'!$A$4:$A$503,_calc!$E$226)))</f>
        <v/>
      </c>
      <c r="B224" s="55">
        <f>IF(_calc!$E$226="","",IF(ISNUMBER(INDEX('Inspections'!$H$4:$H$503,_calc!$E$226)),TEXT(INDEX('Inspections'!$H$4:$H$503,_calc!$E$226),"yyyy-mm-dd"),""))</f>
        <v/>
      </c>
      <c r="C224" s="55">
        <f>IF(_calc!$E$226="","","Inspection")</f>
        <v/>
      </c>
      <c r="D224" s="55">
        <f>IF(_calc!$E$226="","",IF(ISNUMBER(INDEX('Inspections'!$G$4:$G$503,_calc!$E$226)),TEXT(INDEX('Inspections'!$G$4:$G$503,_calc!$E$226),"yyyy-mm-dd"),""))</f>
        <v/>
      </c>
      <c r="F224" s="55">
        <f>IF(_calc!$E$226="","",TRIM(IF(LEN(IF(LEN(INDEX('Inspections'!$B$4:$B$503,_calc!$E$226))=0,"",INDEX('Inspections'!$B$4:$B$503,_calc!$E$226)))=0,"","System: "&amp;IF(LEN(INDEX('Inspections'!$B$4:$B$503,_calc!$E$226))=0,"",INDEX('Inspections'!$B$4:$B$503,_calc!$E$226))&amp;". ")&amp;IF(LEN(IF(LEN(INDEX('Inspections'!$D$4:$D$503,_calc!$E$226))=0,"",INDEX('Inspections'!$D$4:$D$503,_calc!$E$226)))=0,"","Every: "&amp;IF(LEN(INDEX('Inspections'!$D$4:$D$503,_calc!$E$226))=0,"",INDEX('Inspections'!$D$4:$D$503,_calc!$E$226))&amp;". ")&amp;IF(LEN(IF(LEN(INDEX('Inspections'!$E$4:$E$503,_calc!$E$226))=0,"",INDEX('Inspections'!$E$4:$E$503,_calc!$E$226)))=0,"","Unit: "&amp;IF(LEN(INDEX('Inspections'!$E$4:$E$503,_calc!$E$226))=0,"",INDEX('Inspections'!$E$4:$E$503,_calc!$E$226))&amp;". ")&amp;IF(LEN(IF(LEN(INDEX('Inspections'!$F$4:$F$503,_calc!$E$226))=0,"",INDEX('Inspections'!$F$4:$F$503,_calc!$E$226)))=0,"","Done by: "&amp;IF(LEN(INDEX('Inspections'!$F$4:$F$503,_calc!$E$226))=0,"",INDEX('Inspections'!$F$4:$F$503,_calc!$E$226))&amp;". ")&amp;IF(LEN(IF(LEN(INDEX('Inspections'!$M$4:$M$503,_calc!$E$226))=0,"",INDEX('Inspections'!$M$4:$M$503,_calc!$E$226)))=0,"","Source: "&amp;IF(LEN(INDEX('Inspections'!$M$4:$M$503,_calc!$E$226))=0,"",INDEX('Inspections'!$M$4:$M$503,_calc!$E$226))&amp;". ")&amp;IF(LEN(IF(LEN(INDEX('Inspections'!$N$4:$N$503,_calc!$E$226))=0,"",INDEX('Inspections'!$N$4:$N$503,_calc!$E$226)))=0,"","Owner: "&amp;IF(LEN(INDEX('Inspections'!$N$4:$N$503,_calc!$E$226))=0,"",INDEX('Inspections'!$N$4:$N$503,_calc!$E$226))&amp;". ")&amp;IF(LEN(IF(LEN(INDEX('Inspections'!$O$4:$O$503,_calc!$E$226))=0,"",INDEX('Inspections'!$O$4:$O$503,_calc!$E$226)))=0,"","Backup: "&amp;IF(LEN(INDEX('Inspections'!$O$4:$O$503,_calc!$E$226))=0,"",INDEX('Inspections'!$O$4:$O$503,_calc!$E$226))&amp;". ")&amp;IF(LEN(IF(LEN(INDEX('Inspections'!$R$4:$R$503,_calc!$E$226))=0,"",INDEX('Inspections'!$R$4:$R$503,_calc!$E$226)))=0,"",IF(LEN(INDEX('Inspections'!$R$4:$R$503,_calc!$E$226))=0,"",INDEX('Inspections'!$R$4:$R$503,_calc!$E$226)))))</f>
        <v/>
      </c>
      <c r="G224" s="55">
        <f>IF(_calc!$E$226="","",IF(LEN(INDEX('Inspections'!$Q$4:$Q$503,_calc!$E$226))=0,"",INDEX('Inspections'!$Q$4:$Q$503,_calc!$E$226)))</f>
        <v/>
      </c>
      <c r="K224" s="55">
        <f>IF(_calc!$E$226="","",IF(LEN(INDEX('Inspections'!$P$4:$P$503,_calc!$E$226))=0,"",INDEX('Inspections'!$P$4:$P$503,_calc!$E$226)))</f>
        <v/>
      </c>
    </row>
    <row r="225">
      <c r="A225" s="55">
        <f>IF(_calc!$E$227="","",IF(LEN(INDEX('Inspections'!$C$4:$C$503,_calc!$E$227))=0,"",INDEX('Inspections'!$C$4:$C$503,_calc!$E$227))&amp;" – "&amp;IF(LEN(INDEX('Inspections'!$A$4:$A$503,_calc!$E$227))=0,"",INDEX('Inspections'!$A$4:$A$503,_calc!$E$227)))</f>
        <v/>
      </c>
      <c r="B225" s="55">
        <f>IF(_calc!$E$227="","",IF(ISNUMBER(INDEX('Inspections'!$H$4:$H$503,_calc!$E$227)),TEXT(INDEX('Inspections'!$H$4:$H$503,_calc!$E$227),"yyyy-mm-dd"),""))</f>
        <v/>
      </c>
      <c r="C225" s="55">
        <f>IF(_calc!$E$227="","","Inspection")</f>
        <v/>
      </c>
      <c r="D225" s="55">
        <f>IF(_calc!$E$227="","",IF(ISNUMBER(INDEX('Inspections'!$G$4:$G$503,_calc!$E$227)),TEXT(INDEX('Inspections'!$G$4:$G$503,_calc!$E$227),"yyyy-mm-dd"),""))</f>
        <v/>
      </c>
      <c r="F225" s="55">
        <f>IF(_calc!$E$227="","",TRIM(IF(LEN(IF(LEN(INDEX('Inspections'!$B$4:$B$503,_calc!$E$227))=0,"",INDEX('Inspections'!$B$4:$B$503,_calc!$E$227)))=0,"","System: "&amp;IF(LEN(INDEX('Inspections'!$B$4:$B$503,_calc!$E$227))=0,"",INDEX('Inspections'!$B$4:$B$503,_calc!$E$227))&amp;". ")&amp;IF(LEN(IF(LEN(INDEX('Inspections'!$D$4:$D$503,_calc!$E$227))=0,"",INDEX('Inspections'!$D$4:$D$503,_calc!$E$227)))=0,"","Every: "&amp;IF(LEN(INDEX('Inspections'!$D$4:$D$503,_calc!$E$227))=0,"",INDEX('Inspections'!$D$4:$D$503,_calc!$E$227))&amp;". ")&amp;IF(LEN(IF(LEN(INDEX('Inspections'!$E$4:$E$503,_calc!$E$227))=0,"",INDEX('Inspections'!$E$4:$E$503,_calc!$E$227)))=0,"","Unit: "&amp;IF(LEN(INDEX('Inspections'!$E$4:$E$503,_calc!$E$227))=0,"",INDEX('Inspections'!$E$4:$E$503,_calc!$E$227))&amp;". ")&amp;IF(LEN(IF(LEN(INDEX('Inspections'!$F$4:$F$503,_calc!$E$227))=0,"",INDEX('Inspections'!$F$4:$F$503,_calc!$E$227)))=0,"","Done by: "&amp;IF(LEN(INDEX('Inspections'!$F$4:$F$503,_calc!$E$227))=0,"",INDEX('Inspections'!$F$4:$F$503,_calc!$E$227))&amp;". ")&amp;IF(LEN(IF(LEN(INDEX('Inspections'!$M$4:$M$503,_calc!$E$227))=0,"",INDEX('Inspections'!$M$4:$M$503,_calc!$E$227)))=0,"","Source: "&amp;IF(LEN(INDEX('Inspections'!$M$4:$M$503,_calc!$E$227))=0,"",INDEX('Inspections'!$M$4:$M$503,_calc!$E$227))&amp;". ")&amp;IF(LEN(IF(LEN(INDEX('Inspections'!$N$4:$N$503,_calc!$E$227))=0,"",INDEX('Inspections'!$N$4:$N$503,_calc!$E$227)))=0,"","Owner: "&amp;IF(LEN(INDEX('Inspections'!$N$4:$N$503,_calc!$E$227))=0,"",INDEX('Inspections'!$N$4:$N$503,_calc!$E$227))&amp;". ")&amp;IF(LEN(IF(LEN(INDEX('Inspections'!$O$4:$O$503,_calc!$E$227))=0,"",INDEX('Inspections'!$O$4:$O$503,_calc!$E$227)))=0,"","Backup: "&amp;IF(LEN(INDEX('Inspections'!$O$4:$O$503,_calc!$E$227))=0,"",INDEX('Inspections'!$O$4:$O$503,_calc!$E$227))&amp;". ")&amp;IF(LEN(IF(LEN(INDEX('Inspections'!$R$4:$R$503,_calc!$E$227))=0,"",INDEX('Inspections'!$R$4:$R$503,_calc!$E$227)))=0,"",IF(LEN(INDEX('Inspections'!$R$4:$R$503,_calc!$E$227))=0,"",INDEX('Inspections'!$R$4:$R$503,_calc!$E$227)))))</f>
        <v/>
      </c>
      <c r="G225" s="55">
        <f>IF(_calc!$E$227="","",IF(LEN(INDEX('Inspections'!$Q$4:$Q$503,_calc!$E$227))=0,"",INDEX('Inspections'!$Q$4:$Q$503,_calc!$E$227)))</f>
        <v/>
      </c>
      <c r="K225" s="55">
        <f>IF(_calc!$E$227="","",IF(LEN(INDEX('Inspections'!$P$4:$P$503,_calc!$E$227))=0,"",INDEX('Inspections'!$P$4:$P$503,_calc!$E$227)))</f>
        <v/>
      </c>
    </row>
    <row r="226">
      <c r="A226" s="55">
        <f>IF(_calc!$E$228="","",IF(LEN(INDEX('Inspections'!$C$4:$C$503,_calc!$E$228))=0,"",INDEX('Inspections'!$C$4:$C$503,_calc!$E$228))&amp;" – "&amp;IF(LEN(INDEX('Inspections'!$A$4:$A$503,_calc!$E$228))=0,"",INDEX('Inspections'!$A$4:$A$503,_calc!$E$228)))</f>
        <v/>
      </c>
      <c r="B226" s="55">
        <f>IF(_calc!$E$228="","",IF(ISNUMBER(INDEX('Inspections'!$H$4:$H$503,_calc!$E$228)),TEXT(INDEX('Inspections'!$H$4:$H$503,_calc!$E$228),"yyyy-mm-dd"),""))</f>
        <v/>
      </c>
      <c r="C226" s="55">
        <f>IF(_calc!$E$228="","","Inspection")</f>
        <v/>
      </c>
      <c r="D226" s="55">
        <f>IF(_calc!$E$228="","",IF(ISNUMBER(INDEX('Inspections'!$G$4:$G$503,_calc!$E$228)),TEXT(INDEX('Inspections'!$G$4:$G$503,_calc!$E$228),"yyyy-mm-dd"),""))</f>
        <v/>
      </c>
      <c r="F226" s="55">
        <f>IF(_calc!$E$228="","",TRIM(IF(LEN(IF(LEN(INDEX('Inspections'!$B$4:$B$503,_calc!$E$228))=0,"",INDEX('Inspections'!$B$4:$B$503,_calc!$E$228)))=0,"","System: "&amp;IF(LEN(INDEX('Inspections'!$B$4:$B$503,_calc!$E$228))=0,"",INDEX('Inspections'!$B$4:$B$503,_calc!$E$228))&amp;". ")&amp;IF(LEN(IF(LEN(INDEX('Inspections'!$D$4:$D$503,_calc!$E$228))=0,"",INDEX('Inspections'!$D$4:$D$503,_calc!$E$228)))=0,"","Every: "&amp;IF(LEN(INDEX('Inspections'!$D$4:$D$503,_calc!$E$228))=0,"",INDEX('Inspections'!$D$4:$D$503,_calc!$E$228))&amp;". ")&amp;IF(LEN(IF(LEN(INDEX('Inspections'!$E$4:$E$503,_calc!$E$228))=0,"",INDEX('Inspections'!$E$4:$E$503,_calc!$E$228)))=0,"","Unit: "&amp;IF(LEN(INDEX('Inspections'!$E$4:$E$503,_calc!$E$228))=0,"",INDEX('Inspections'!$E$4:$E$503,_calc!$E$228))&amp;". ")&amp;IF(LEN(IF(LEN(INDEX('Inspections'!$F$4:$F$503,_calc!$E$228))=0,"",INDEX('Inspections'!$F$4:$F$503,_calc!$E$228)))=0,"","Done by: "&amp;IF(LEN(INDEX('Inspections'!$F$4:$F$503,_calc!$E$228))=0,"",INDEX('Inspections'!$F$4:$F$503,_calc!$E$228))&amp;". ")&amp;IF(LEN(IF(LEN(INDEX('Inspections'!$M$4:$M$503,_calc!$E$228))=0,"",INDEX('Inspections'!$M$4:$M$503,_calc!$E$228)))=0,"","Source: "&amp;IF(LEN(INDEX('Inspections'!$M$4:$M$503,_calc!$E$228))=0,"",INDEX('Inspections'!$M$4:$M$503,_calc!$E$228))&amp;". ")&amp;IF(LEN(IF(LEN(INDEX('Inspections'!$N$4:$N$503,_calc!$E$228))=0,"",INDEX('Inspections'!$N$4:$N$503,_calc!$E$228)))=0,"","Owner: "&amp;IF(LEN(INDEX('Inspections'!$N$4:$N$503,_calc!$E$228))=0,"",INDEX('Inspections'!$N$4:$N$503,_calc!$E$228))&amp;". ")&amp;IF(LEN(IF(LEN(INDEX('Inspections'!$O$4:$O$503,_calc!$E$228))=0,"",INDEX('Inspections'!$O$4:$O$503,_calc!$E$228)))=0,"","Backup: "&amp;IF(LEN(INDEX('Inspections'!$O$4:$O$503,_calc!$E$228))=0,"",INDEX('Inspections'!$O$4:$O$503,_calc!$E$228))&amp;". ")&amp;IF(LEN(IF(LEN(INDEX('Inspections'!$R$4:$R$503,_calc!$E$228))=0,"",INDEX('Inspections'!$R$4:$R$503,_calc!$E$228)))=0,"",IF(LEN(INDEX('Inspections'!$R$4:$R$503,_calc!$E$228))=0,"",INDEX('Inspections'!$R$4:$R$503,_calc!$E$228)))))</f>
        <v/>
      </c>
      <c r="G226" s="55">
        <f>IF(_calc!$E$228="","",IF(LEN(INDEX('Inspections'!$Q$4:$Q$503,_calc!$E$228))=0,"",INDEX('Inspections'!$Q$4:$Q$503,_calc!$E$228)))</f>
        <v/>
      </c>
      <c r="K226" s="55">
        <f>IF(_calc!$E$228="","",IF(LEN(INDEX('Inspections'!$P$4:$P$503,_calc!$E$228))=0,"",INDEX('Inspections'!$P$4:$P$503,_calc!$E$228)))</f>
        <v/>
      </c>
    </row>
    <row r="227">
      <c r="A227" s="55">
        <f>IF(_calc!$E$229="","",IF(LEN(INDEX('Inspections'!$C$4:$C$503,_calc!$E$229))=0,"",INDEX('Inspections'!$C$4:$C$503,_calc!$E$229))&amp;" – "&amp;IF(LEN(INDEX('Inspections'!$A$4:$A$503,_calc!$E$229))=0,"",INDEX('Inspections'!$A$4:$A$503,_calc!$E$229)))</f>
        <v/>
      </c>
      <c r="B227" s="55">
        <f>IF(_calc!$E$229="","",IF(ISNUMBER(INDEX('Inspections'!$H$4:$H$503,_calc!$E$229)),TEXT(INDEX('Inspections'!$H$4:$H$503,_calc!$E$229),"yyyy-mm-dd"),""))</f>
        <v/>
      </c>
      <c r="C227" s="55">
        <f>IF(_calc!$E$229="","","Inspection")</f>
        <v/>
      </c>
      <c r="D227" s="55">
        <f>IF(_calc!$E$229="","",IF(ISNUMBER(INDEX('Inspections'!$G$4:$G$503,_calc!$E$229)),TEXT(INDEX('Inspections'!$G$4:$G$503,_calc!$E$229),"yyyy-mm-dd"),""))</f>
        <v/>
      </c>
      <c r="F227" s="55">
        <f>IF(_calc!$E$229="","",TRIM(IF(LEN(IF(LEN(INDEX('Inspections'!$B$4:$B$503,_calc!$E$229))=0,"",INDEX('Inspections'!$B$4:$B$503,_calc!$E$229)))=0,"","System: "&amp;IF(LEN(INDEX('Inspections'!$B$4:$B$503,_calc!$E$229))=0,"",INDEX('Inspections'!$B$4:$B$503,_calc!$E$229))&amp;". ")&amp;IF(LEN(IF(LEN(INDEX('Inspections'!$D$4:$D$503,_calc!$E$229))=0,"",INDEX('Inspections'!$D$4:$D$503,_calc!$E$229)))=0,"","Every: "&amp;IF(LEN(INDEX('Inspections'!$D$4:$D$503,_calc!$E$229))=0,"",INDEX('Inspections'!$D$4:$D$503,_calc!$E$229))&amp;". ")&amp;IF(LEN(IF(LEN(INDEX('Inspections'!$E$4:$E$503,_calc!$E$229))=0,"",INDEX('Inspections'!$E$4:$E$503,_calc!$E$229)))=0,"","Unit: "&amp;IF(LEN(INDEX('Inspections'!$E$4:$E$503,_calc!$E$229))=0,"",INDEX('Inspections'!$E$4:$E$503,_calc!$E$229))&amp;". ")&amp;IF(LEN(IF(LEN(INDEX('Inspections'!$F$4:$F$503,_calc!$E$229))=0,"",INDEX('Inspections'!$F$4:$F$503,_calc!$E$229)))=0,"","Done by: "&amp;IF(LEN(INDEX('Inspections'!$F$4:$F$503,_calc!$E$229))=0,"",INDEX('Inspections'!$F$4:$F$503,_calc!$E$229))&amp;". ")&amp;IF(LEN(IF(LEN(INDEX('Inspections'!$M$4:$M$503,_calc!$E$229))=0,"",INDEX('Inspections'!$M$4:$M$503,_calc!$E$229)))=0,"","Source: "&amp;IF(LEN(INDEX('Inspections'!$M$4:$M$503,_calc!$E$229))=0,"",INDEX('Inspections'!$M$4:$M$503,_calc!$E$229))&amp;". ")&amp;IF(LEN(IF(LEN(INDEX('Inspections'!$N$4:$N$503,_calc!$E$229))=0,"",INDEX('Inspections'!$N$4:$N$503,_calc!$E$229)))=0,"","Owner: "&amp;IF(LEN(INDEX('Inspections'!$N$4:$N$503,_calc!$E$229))=0,"",INDEX('Inspections'!$N$4:$N$503,_calc!$E$229))&amp;". ")&amp;IF(LEN(IF(LEN(INDEX('Inspections'!$O$4:$O$503,_calc!$E$229))=0,"",INDEX('Inspections'!$O$4:$O$503,_calc!$E$229)))=0,"","Backup: "&amp;IF(LEN(INDEX('Inspections'!$O$4:$O$503,_calc!$E$229))=0,"",INDEX('Inspections'!$O$4:$O$503,_calc!$E$229))&amp;". ")&amp;IF(LEN(IF(LEN(INDEX('Inspections'!$R$4:$R$503,_calc!$E$229))=0,"",INDEX('Inspections'!$R$4:$R$503,_calc!$E$229)))=0,"",IF(LEN(INDEX('Inspections'!$R$4:$R$503,_calc!$E$229))=0,"",INDEX('Inspections'!$R$4:$R$503,_calc!$E$229)))))</f>
        <v/>
      </c>
      <c r="G227" s="55">
        <f>IF(_calc!$E$229="","",IF(LEN(INDEX('Inspections'!$Q$4:$Q$503,_calc!$E$229))=0,"",INDEX('Inspections'!$Q$4:$Q$503,_calc!$E$229)))</f>
        <v/>
      </c>
      <c r="K227" s="55">
        <f>IF(_calc!$E$229="","",IF(LEN(INDEX('Inspections'!$P$4:$P$503,_calc!$E$229))=0,"",INDEX('Inspections'!$P$4:$P$503,_calc!$E$229)))</f>
        <v/>
      </c>
    </row>
    <row r="228">
      <c r="A228" s="55">
        <f>IF(_calc!$E$230="","",IF(LEN(INDEX('Inspections'!$C$4:$C$503,_calc!$E$230))=0,"",INDEX('Inspections'!$C$4:$C$503,_calc!$E$230))&amp;" – "&amp;IF(LEN(INDEX('Inspections'!$A$4:$A$503,_calc!$E$230))=0,"",INDEX('Inspections'!$A$4:$A$503,_calc!$E$230)))</f>
        <v/>
      </c>
      <c r="B228" s="55">
        <f>IF(_calc!$E$230="","",IF(ISNUMBER(INDEX('Inspections'!$H$4:$H$503,_calc!$E$230)),TEXT(INDEX('Inspections'!$H$4:$H$503,_calc!$E$230),"yyyy-mm-dd"),""))</f>
        <v/>
      </c>
      <c r="C228" s="55">
        <f>IF(_calc!$E$230="","","Inspection")</f>
        <v/>
      </c>
      <c r="D228" s="55">
        <f>IF(_calc!$E$230="","",IF(ISNUMBER(INDEX('Inspections'!$G$4:$G$503,_calc!$E$230)),TEXT(INDEX('Inspections'!$G$4:$G$503,_calc!$E$230),"yyyy-mm-dd"),""))</f>
        <v/>
      </c>
      <c r="F228" s="55">
        <f>IF(_calc!$E$230="","",TRIM(IF(LEN(IF(LEN(INDEX('Inspections'!$B$4:$B$503,_calc!$E$230))=0,"",INDEX('Inspections'!$B$4:$B$503,_calc!$E$230)))=0,"","System: "&amp;IF(LEN(INDEX('Inspections'!$B$4:$B$503,_calc!$E$230))=0,"",INDEX('Inspections'!$B$4:$B$503,_calc!$E$230))&amp;". ")&amp;IF(LEN(IF(LEN(INDEX('Inspections'!$D$4:$D$503,_calc!$E$230))=0,"",INDEX('Inspections'!$D$4:$D$503,_calc!$E$230)))=0,"","Every: "&amp;IF(LEN(INDEX('Inspections'!$D$4:$D$503,_calc!$E$230))=0,"",INDEX('Inspections'!$D$4:$D$503,_calc!$E$230))&amp;". ")&amp;IF(LEN(IF(LEN(INDEX('Inspections'!$E$4:$E$503,_calc!$E$230))=0,"",INDEX('Inspections'!$E$4:$E$503,_calc!$E$230)))=0,"","Unit: "&amp;IF(LEN(INDEX('Inspections'!$E$4:$E$503,_calc!$E$230))=0,"",INDEX('Inspections'!$E$4:$E$503,_calc!$E$230))&amp;". ")&amp;IF(LEN(IF(LEN(INDEX('Inspections'!$F$4:$F$503,_calc!$E$230))=0,"",INDEX('Inspections'!$F$4:$F$503,_calc!$E$230)))=0,"","Done by: "&amp;IF(LEN(INDEX('Inspections'!$F$4:$F$503,_calc!$E$230))=0,"",INDEX('Inspections'!$F$4:$F$503,_calc!$E$230))&amp;". ")&amp;IF(LEN(IF(LEN(INDEX('Inspections'!$M$4:$M$503,_calc!$E$230))=0,"",INDEX('Inspections'!$M$4:$M$503,_calc!$E$230)))=0,"","Source: "&amp;IF(LEN(INDEX('Inspections'!$M$4:$M$503,_calc!$E$230))=0,"",INDEX('Inspections'!$M$4:$M$503,_calc!$E$230))&amp;". ")&amp;IF(LEN(IF(LEN(INDEX('Inspections'!$N$4:$N$503,_calc!$E$230))=0,"",INDEX('Inspections'!$N$4:$N$503,_calc!$E$230)))=0,"","Owner: "&amp;IF(LEN(INDEX('Inspections'!$N$4:$N$503,_calc!$E$230))=0,"",INDEX('Inspections'!$N$4:$N$503,_calc!$E$230))&amp;". ")&amp;IF(LEN(IF(LEN(INDEX('Inspections'!$O$4:$O$503,_calc!$E$230))=0,"",INDEX('Inspections'!$O$4:$O$503,_calc!$E$230)))=0,"","Backup: "&amp;IF(LEN(INDEX('Inspections'!$O$4:$O$503,_calc!$E$230))=0,"",INDEX('Inspections'!$O$4:$O$503,_calc!$E$230))&amp;". ")&amp;IF(LEN(IF(LEN(INDEX('Inspections'!$R$4:$R$503,_calc!$E$230))=0,"",INDEX('Inspections'!$R$4:$R$503,_calc!$E$230)))=0,"",IF(LEN(INDEX('Inspections'!$R$4:$R$503,_calc!$E$230))=0,"",INDEX('Inspections'!$R$4:$R$503,_calc!$E$230)))))</f>
        <v/>
      </c>
      <c r="G228" s="55">
        <f>IF(_calc!$E$230="","",IF(LEN(INDEX('Inspections'!$Q$4:$Q$503,_calc!$E$230))=0,"",INDEX('Inspections'!$Q$4:$Q$503,_calc!$E$230)))</f>
        <v/>
      </c>
      <c r="K228" s="55">
        <f>IF(_calc!$E$230="","",IF(LEN(INDEX('Inspections'!$P$4:$P$503,_calc!$E$230))=0,"",INDEX('Inspections'!$P$4:$P$503,_calc!$E$230)))</f>
        <v/>
      </c>
    </row>
    <row r="229">
      <c r="A229" s="55">
        <f>IF(_calc!$E$231="","",IF(LEN(INDEX('Inspections'!$C$4:$C$503,_calc!$E$231))=0,"",INDEX('Inspections'!$C$4:$C$503,_calc!$E$231))&amp;" – "&amp;IF(LEN(INDEX('Inspections'!$A$4:$A$503,_calc!$E$231))=0,"",INDEX('Inspections'!$A$4:$A$503,_calc!$E$231)))</f>
        <v/>
      </c>
      <c r="B229" s="55">
        <f>IF(_calc!$E$231="","",IF(ISNUMBER(INDEX('Inspections'!$H$4:$H$503,_calc!$E$231)),TEXT(INDEX('Inspections'!$H$4:$H$503,_calc!$E$231),"yyyy-mm-dd"),""))</f>
        <v/>
      </c>
      <c r="C229" s="55">
        <f>IF(_calc!$E$231="","","Inspection")</f>
        <v/>
      </c>
      <c r="D229" s="55">
        <f>IF(_calc!$E$231="","",IF(ISNUMBER(INDEX('Inspections'!$G$4:$G$503,_calc!$E$231)),TEXT(INDEX('Inspections'!$G$4:$G$503,_calc!$E$231),"yyyy-mm-dd"),""))</f>
        <v/>
      </c>
      <c r="F229" s="55">
        <f>IF(_calc!$E$231="","",TRIM(IF(LEN(IF(LEN(INDEX('Inspections'!$B$4:$B$503,_calc!$E$231))=0,"",INDEX('Inspections'!$B$4:$B$503,_calc!$E$231)))=0,"","System: "&amp;IF(LEN(INDEX('Inspections'!$B$4:$B$503,_calc!$E$231))=0,"",INDEX('Inspections'!$B$4:$B$503,_calc!$E$231))&amp;". ")&amp;IF(LEN(IF(LEN(INDEX('Inspections'!$D$4:$D$503,_calc!$E$231))=0,"",INDEX('Inspections'!$D$4:$D$503,_calc!$E$231)))=0,"","Every: "&amp;IF(LEN(INDEX('Inspections'!$D$4:$D$503,_calc!$E$231))=0,"",INDEX('Inspections'!$D$4:$D$503,_calc!$E$231))&amp;". ")&amp;IF(LEN(IF(LEN(INDEX('Inspections'!$E$4:$E$503,_calc!$E$231))=0,"",INDEX('Inspections'!$E$4:$E$503,_calc!$E$231)))=0,"","Unit: "&amp;IF(LEN(INDEX('Inspections'!$E$4:$E$503,_calc!$E$231))=0,"",INDEX('Inspections'!$E$4:$E$503,_calc!$E$231))&amp;". ")&amp;IF(LEN(IF(LEN(INDEX('Inspections'!$F$4:$F$503,_calc!$E$231))=0,"",INDEX('Inspections'!$F$4:$F$503,_calc!$E$231)))=0,"","Done by: "&amp;IF(LEN(INDEX('Inspections'!$F$4:$F$503,_calc!$E$231))=0,"",INDEX('Inspections'!$F$4:$F$503,_calc!$E$231))&amp;". ")&amp;IF(LEN(IF(LEN(INDEX('Inspections'!$M$4:$M$503,_calc!$E$231))=0,"",INDEX('Inspections'!$M$4:$M$503,_calc!$E$231)))=0,"","Source: "&amp;IF(LEN(INDEX('Inspections'!$M$4:$M$503,_calc!$E$231))=0,"",INDEX('Inspections'!$M$4:$M$503,_calc!$E$231))&amp;". ")&amp;IF(LEN(IF(LEN(INDEX('Inspections'!$N$4:$N$503,_calc!$E$231))=0,"",INDEX('Inspections'!$N$4:$N$503,_calc!$E$231)))=0,"","Owner: "&amp;IF(LEN(INDEX('Inspections'!$N$4:$N$503,_calc!$E$231))=0,"",INDEX('Inspections'!$N$4:$N$503,_calc!$E$231))&amp;". ")&amp;IF(LEN(IF(LEN(INDEX('Inspections'!$O$4:$O$503,_calc!$E$231))=0,"",INDEX('Inspections'!$O$4:$O$503,_calc!$E$231)))=0,"","Backup: "&amp;IF(LEN(INDEX('Inspections'!$O$4:$O$503,_calc!$E$231))=0,"",INDEX('Inspections'!$O$4:$O$503,_calc!$E$231))&amp;". ")&amp;IF(LEN(IF(LEN(INDEX('Inspections'!$R$4:$R$503,_calc!$E$231))=0,"",INDEX('Inspections'!$R$4:$R$503,_calc!$E$231)))=0,"",IF(LEN(INDEX('Inspections'!$R$4:$R$503,_calc!$E$231))=0,"",INDEX('Inspections'!$R$4:$R$503,_calc!$E$231)))))</f>
        <v/>
      </c>
      <c r="G229" s="55">
        <f>IF(_calc!$E$231="","",IF(LEN(INDEX('Inspections'!$Q$4:$Q$503,_calc!$E$231))=0,"",INDEX('Inspections'!$Q$4:$Q$503,_calc!$E$231)))</f>
        <v/>
      </c>
      <c r="K229" s="55">
        <f>IF(_calc!$E$231="","",IF(LEN(INDEX('Inspections'!$P$4:$P$503,_calc!$E$231))=0,"",INDEX('Inspections'!$P$4:$P$503,_calc!$E$231)))</f>
        <v/>
      </c>
    </row>
    <row r="230">
      <c r="A230" s="55">
        <f>IF(_calc!$E$232="","",IF(LEN(INDEX('Inspections'!$C$4:$C$503,_calc!$E$232))=0,"",INDEX('Inspections'!$C$4:$C$503,_calc!$E$232))&amp;" – "&amp;IF(LEN(INDEX('Inspections'!$A$4:$A$503,_calc!$E$232))=0,"",INDEX('Inspections'!$A$4:$A$503,_calc!$E$232)))</f>
        <v/>
      </c>
      <c r="B230" s="55">
        <f>IF(_calc!$E$232="","",IF(ISNUMBER(INDEX('Inspections'!$H$4:$H$503,_calc!$E$232)),TEXT(INDEX('Inspections'!$H$4:$H$503,_calc!$E$232),"yyyy-mm-dd"),""))</f>
        <v/>
      </c>
      <c r="C230" s="55">
        <f>IF(_calc!$E$232="","","Inspection")</f>
        <v/>
      </c>
      <c r="D230" s="55">
        <f>IF(_calc!$E$232="","",IF(ISNUMBER(INDEX('Inspections'!$G$4:$G$503,_calc!$E$232)),TEXT(INDEX('Inspections'!$G$4:$G$503,_calc!$E$232),"yyyy-mm-dd"),""))</f>
        <v/>
      </c>
      <c r="F230" s="55">
        <f>IF(_calc!$E$232="","",TRIM(IF(LEN(IF(LEN(INDEX('Inspections'!$B$4:$B$503,_calc!$E$232))=0,"",INDEX('Inspections'!$B$4:$B$503,_calc!$E$232)))=0,"","System: "&amp;IF(LEN(INDEX('Inspections'!$B$4:$B$503,_calc!$E$232))=0,"",INDEX('Inspections'!$B$4:$B$503,_calc!$E$232))&amp;". ")&amp;IF(LEN(IF(LEN(INDEX('Inspections'!$D$4:$D$503,_calc!$E$232))=0,"",INDEX('Inspections'!$D$4:$D$503,_calc!$E$232)))=0,"","Every: "&amp;IF(LEN(INDEX('Inspections'!$D$4:$D$503,_calc!$E$232))=0,"",INDEX('Inspections'!$D$4:$D$503,_calc!$E$232))&amp;". ")&amp;IF(LEN(IF(LEN(INDEX('Inspections'!$E$4:$E$503,_calc!$E$232))=0,"",INDEX('Inspections'!$E$4:$E$503,_calc!$E$232)))=0,"","Unit: "&amp;IF(LEN(INDEX('Inspections'!$E$4:$E$503,_calc!$E$232))=0,"",INDEX('Inspections'!$E$4:$E$503,_calc!$E$232))&amp;". ")&amp;IF(LEN(IF(LEN(INDEX('Inspections'!$F$4:$F$503,_calc!$E$232))=0,"",INDEX('Inspections'!$F$4:$F$503,_calc!$E$232)))=0,"","Done by: "&amp;IF(LEN(INDEX('Inspections'!$F$4:$F$503,_calc!$E$232))=0,"",INDEX('Inspections'!$F$4:$F$503,_calc!$E$232))&amp;". ")&amp;IF(LEN(IF(LEN(INDEX('Inspections'!$M$4:$M$503,_calc!$E$232))=0,"",INDEX('Inspections'!$M$4:$M$503,_calc!$E$232)))=0,"","Source: "&amp;IF(LEN(INDEX('Inspections'!$M$4:$M$503,_calc!$E$232))=0,"",INDEX('Inspections'!$M$4:$M$503,_calc!$E$232))&amp;". ")&amp;IF(LEN(IF(LEN(INDEX('Inspections'!$N$4:$N$503,_calc!$E$232))=0,"",INDEX('Inspections'!$N$4:$N$503,_calc!$E$232)))=0,"","Owner: "&amp;IF(LEN(INDEX('Inspections'!$N$4:$N$503,_calc!$E$232))=0,"",INDEX('Inspections'!$N$4:$N$503,_calc!$E$232))&amp;". ")&amp;IF(LEN(IF(LEN(INDEX('Inspections'!$O$4:$O$503,_calc!$E$232))=0,"",INDEX('Inspections'!$O$4:$O$503,_calc!$E$232)))=0,"","Backup: "&amp;IF(LEN(INDEX('Inspections'!$O$4:$O$503,_calc!$E$232))=0,"",INDEX('Inspections'!$O$4:$O$503,_calc!$E$232))&amp;". ")&amp;IF(LEN(IF(LEN(INDEX('Inspections'!$R$4:$R$503,_calc!$E$232))=0,"",INDEX('Inspections'!$R$4:$R$503,_calc!$E$232)))=0,"",IF(LEN(INDEX('Inspections'!$R$4:$R$503,_calc!$E$232))=0,"",INDEX('Inspections'!$R$4:$R$503,_calc!$E$232)))))</f>
        <v/>
      </c>
      <c r="G230" s="55">
        <f>IF(_calc!$E$232="","",IF(LEN(INDEX('Inspections'!$Q$4:$Q$503,_calc!$E$232))=0,"",INDEX('Inspections'!$Q$4:$Q$503,_calc!$E$232)))</f>
        <v/>
      </c>
      <c r="K230" s="55">
        <f>IF(_calc!$E$232="","",IF(LEN(INDEX('Inspections'!$P$4:$P$503,_calc!$E$232))=0,"",INDEX('Inspections'!$P$4:$P$503,_calc!$E$232)))</f>
        <v/>
      </c>
    </row>
    <row r="231">
      <c r="A231" s="55">
        <f>IF(_calc!$E$233="","",IF(LEN(INDEX('Inspections'!$C$4:$C$503,_calc!$E$233))=0,"",INDEX('Inspections'!$C$4:$C$503,_calc!$E$233))&amp;" – "&amp;IF(LEN(INDEX('Inspections'!$A$4:$A$503,_calc!$E$233))=0,"",INDEX('Inspections'!$A$4:$A$503,_calc!$E$233)))</f>
        <v/>
      </c>
      <c r="B231" s="55">
        <f>IF(_calc!$E$233="","",IF(ISNUMBER(INDEX('Inspections'!$H$4:$H$503,_calc!$E$233)),TEXT(INDEX('Inspections'!$H$4:$H$503,_calc!$E$233),"yyyy-mm-dd"),""))</f>
        <v/>
      </c>
      <c r="C231" s="55">
        <f>IF(_calc!$E$233="","","Inspection")</f>
        <v/>
      </c>
      <c r="D231" s="55">
        <f>IF(_calc!$E$233="","",IF(ISNUMBER(INDEX('Inspections'!$G$4:$G$503,_calc!$E$233)),TEXT(INDEX('Inspections'!$G$4:$G$503,_calc!$E$233),"yyyy-mm-dd"),""))</f>
        <v/>
      </c>
      <c r="F231" s="55">
        <f>IF(_calc!$E$233="","",TRIM(IF(LEN(IF(LEN(INDEX('Inspections'!$B$4:$B$503,_calc!$E$233))=0,"",INDEX('Inspections'!$B$4:$B$503,_calc!$E$233)))=0,"","System: "&amp;IF(LEN(INDEX('Inspections'!$B$4:$B$503,_calc!$E$233))=0,"",INDEX('Inspections'!$B$4:$B$503,_calc!$E$233))&amp;". ")&amp;IF(LEN(IF(LEN(INDEX('Inspections'!$D$4:$D$503,_calc!$E$233))=0,"",INDEX('Inspections'!$D$4:$D$503,_calc!$E$233)))=0,"","Every: "&amp;IF(LEN(INDEX('Inspections'!$D$4:$D$503,_calc!$E$233))=0,"",INDEX('Inspections'!$D$4:$D$503,_calc!$E$233))&amp;". ")&amp;IF(LEN(IF(LEN(INDEX('Inspections'!$E$4:$E$503,_calc!$E$233))=0,"",INDEX('Inspections'!$E$4:$E$503,_calc!$E$233)))=0,"","Unit: "&amp;IF(LEN(INDEX('Inspections'!$E$4:$E$503,_calc!$E$233))=0,"",INDEX('Inspections'!$E$4:$E$503,_calc!$E$233))&amp;". ")&amp;IF(LEN(IF(LEN(INDEX('Inspections'!$F$4:$F$503,_calc!$E$233))=0,"",INDEX('Inspections'!$F$4:$F$503,_calc!$E$233)))=0,"","Done by: "&amp;IF(LEN(INDEX('Inspections'!$F$4:$F$503,_calc!$E$233))=0,"",INDEX('Inspections'!$F$4:$F$503,_calc!$E$233))&amp;". ")&amp;IF(LEN(IF(LEN(INDEX('Inspections'!$M$4:$M$503,_calc!$E$233))=0,"",INDEX('Inspections'!$M$4:$M$503,_calc!$E$233)))=0,"","Source: "&amp;IF(LEN(INDEX('Inspections'!$M$4:$M$503,_calc!$E$233))=0,"",INDEX('Inspections'!$M$4:$M$503,_calc!$E$233))&amp;". ")&amp;IF(LEN(IF(LEN(INDEX('Inspections'!$N$4:$N$503,_calc!$E$233))=0,"",INDEX('Inspections'!$N$4:$N$503,_calc!$E$233)))=0,"","Owner: "&amp;IF(LEN(INDEX('Inspections'!$N$4:$N$503,_calc!$E$233))=0,"",INDEX('Inspections'!$N$4:$N$503,_calc!$E$233))&amp;". ")&amp;IF(LEN(IF(LEN(INDEX('Inspections'!$O$4:$O$503,_calc!$E$233))=0,"",INDEX('Inspections'!$O$4:$O$503,_calc!$E$233)))=0,"","Backup: "&amp;IF(LEN(INDEX('Inspections'!$O$4:$O$503,_calc!$E$233))=0,"",INDEX('Inspections'!$O$4:$O$503,_calc!$E$233))&amp;". ")&amp;IF(LEN(IF(LEN(INDEX('Inspections'!$R$4:$R$503,_calc!$E$233))=0,"",INDEX('Inspections'!$R$4:$R$503,_calc!$E$233)))=0,"",IF(LEN(INDEX('Inspections'!$R$4:$R$503,_calc!$E$233))=0,"",INDEX('Inspections'!$R$4:$R$503,_calc!$E$233)))))</f>
        <v/>
      </c>
      <c r="G231" s="55">
        <f>IF(_calc!$E$233="","",IF(LEN(INDEX('Inspections'!$Q$4:$Q$503,_calc!$E$233))=0,"",INDEX('Inspections'!$Q$4:$Q$503,_calc!$E$233)))</f>
        <v/>
      </c>
      <c r="K231" s="55">
        <f>IF(_calc!$E$233="","",IF(LEN(INDEX('Inspections'!$P$4:$P$503,_calc!$E$233))=0,"",INDEX('Inspections'!$P$4:$P$503,_calc!$E$233)))</f>
        <v/>
      </c>
    </row>
    <row r="232">
      <c r="A232" s="55">
        <f>IF(_calc!$E$234="","",IF(LEN(INDEX('Inspections'!$C$4:$C$503,_calc!$E$234))=0,"",INDEX('Inspections'!$C$4:$C$503,_calc!$E$234))&amp;" – "&amp;IF(LEN(INDEX('Inspections'!$A$4:$A$503,_calc!$E$234))=0,"",INDEX('Inspections'!$A$4:$A$503,_calc!$E$234)))</f>
        <v/>
      </c>
      <c r="B232" s="55">
        <f>IF(_calc!$E$234="","",IF(ISNUMBER(INDEX('Inspections'!$H$4:$H$503,_calc!$E$234)),TEXT(INDEX('Inspections'!$H$4:$H$503,_calc!$E$234),"yyyy-mm-dd"),""))</f>
        <v/>
      </c>
      <c r="C232" s="55">
        <f>IF(_calc!$E$234="","","Inspection")</f>
        <v/>
      </c>
      <c r="D232" s="55">
        <f>IF(_calc!$E$234="","",IF(ISNUMBER(INDEX('Inspections'!$G$4:$G$503,_calc!$E$234)),TEXT(INDEX('Inspections'!$G$4:$G$503,_calc!$E$234),"yyyy-mm-dd"),""))</f>
        <v/>
      </c>
      <c r="F232" s="55">
        <f>IF(_calc!$E$234="","",TRIM(IF(LEN(IF(LEN(INDEX('Inspections'!$B$4:$B$503,_calc!$E$234))=0,"",INDEX('Inspections'!$B$4:$B$503,_calc!$E$234)))=0,"","System: "&amp;IF(LEN(INDEX('Inspections'!$B$4:$B$503,_calc!$E$234))=0,"",INDEX('Inspections'!$B$4:$B$503,_calc!$E$234))&amp;". ")&amp;IF(LEN(IF(LEN(INDEX('Inspections'!$D$4:$D$503,_calc!$E$234))=0,"",INDEX('Inspections'!$D$4:$D$503,_calc!$E$234)))=0,"","Every: "&amp;IF(LEN(INDEX('Inspections'!$D$4:$D$503,_calc!$E$234))=0,"",INDEX('Inspections'!$D$4:$D$503,_calc!$E$234))&amp;". ")&amp;IF(LEN(IF(LEN(INDEX('Inspections'!$E$4:$E$503,_calc!$E$234))=0,"",INDEX('Inspections'!$E$4:$E$503,_calc!$E$234)))=0,"","Unit: "&amp;IF(LEN(INDEX('Inspections'!$E$4:$E$503,_calc!$E$234))=0,"",INDEX('Inspections'!$E$4:$E$503,_calc!$E$234))&amp;". ")&amp;IF(LEN(IF(LEN(INDEX('Inspections'!$F$4:$F$503,_calc!$E$234))=0,"",INDEX('Inspections'!$F$4:$F$503,_calc!$E$234)))=0,"","Done by: "&amp;IF(LEN(INDEX('Inspections'!$F$4:$F$503,_calc!$E$234))=0,"",INDEX('Inspections'!$F$4:$F$503,_calc!$E$234))&amp;". ")&amp;IF(LEN(IF(LEN(INDEX('Inspections'!$M$4:$M$503,_calc!$E$234))=0,"",INDEX('Inspections'!$M$4:$M$503,_calc!$E$234)))=0,"","Source: "&amp;IF(LEN(INDEX('Inspections'!$M$4:$M$503,_calc!$E$234))=0,"",INDEX('Inspections'!$M$4:$M$503,_calc!$E$234))&amp;". ")&amp;IF(LEN(IF(LEN(INDEX('Inspections'!$N$4:$N$503,_calc!$E$234))=0,"",INDEX('Inspections'!$N$4:$N$503,_calc!$E$234)))=0,"","Owner: "&amp;IF(LEN(INDEX('Inspections'!$N$4:$N$503,_calc!$E$234))=0,"",INDEX('Inspections'!$N$4:$N$503,_calc!$E$234))&amp;". ")&amp;IF(LEN(IF(LEN(INDEX('Inspections'!$O$4:$O$503,_calc!$E$234))=0,"",INDEX('Inspections'!$O$4:$O$503,_calc!$E$234)))=0,"","Backup: "&amp;IF(LEN(INDEX('Inspections'!$O$4:$O$503,_calc!$E$234))=0,"",INDEX('Inspections'!$O$4:$O$503,_calc!$E$234))&amp;". ")&amp;IF(LEN(IF(LEN(INDEX('Inspections'!$R$4:$R$503,_calc!$E$234))=0,"",INDEX('Inspections'!$R$4:$R$503,_calc!$E$234)))=0,"",IF(LEN(INDEX('Inspections'!$R$4:$R$503,_calc!$E$234))=0,"",INDEX('Inspections'!$R$4:$R$503,_calc!$E$234)))))</f>
        <v/>
      </c>
      <c r="G232" s="55">
        <f>IF(_calc!$E$234="","",IF(LEN(INDEX('Inspections'!$Q$4:$Q$503,_calc!$E$234))=0,"",INDEX('Inspections'!$Q$4:$Q$503,_calc!$E$234)))</f>
        <v/>
      </c>
      <c r="K232" s="55">
        <f>IF(_calc!$E$234="","",IF(LEN(INDEX('Inspections'!$P$4:$P$503,_calc!$E$234))=0,"",INDEX('Inspections'!$P$4:$P$503,_calc!$E$234)))</f>
        <v/>
      </c>
    </row>
    <row r="233">
      <c r="A233" s="55">
        <f>IF(_calc!$E$235="","",IF(LEN(INDEX('Inspections'!$C$4:$C$503,_calc!$E$235))=0,"",INDEX('Inspections'!$C$4:$C$503,_calc!$E$235))&amp;" – "&amp;IF(LEN(INDEX('Inspections'!$A$4:$A$503,_calc!$E$235))=0,"",INDEX('Inspections'!$A$4:$A$503,_calc!$E$235)))</f>
        <v/>
      </c>
      <c r="B233" s="55">
        <f>IF(_calc!$E$235="","",IF(ISNUMBER(INDEX('Inspections'!$H$4:$H$503,_calc!$E$235)),TEXT(INDEX('Inspections'!$H$4:$H$503,_calc!$E$235),"yyyy-mm-dd"),""))</f>
        <v/>
      </c>
      <c r="C233" s="55">
        <f>IF(_calc!$E$235="","","Inspection")</f>
        <v/>
      </c>
      <c r="D233" s="55">
        <f>IF(_calc!$E$235="","",IF(ISNUMBER(INDEX('Inspections'!$G$4:$G$503,_calc!$E$235)),TEXT(INDEX('Inspections'!$G$4:$G$503,_calc!$E$235),"yyyy-mm-dd"),""))</f>
        <v/>
      </c>
      <c r="F233" s="55">
        <f>IF(_calc!$E$235="","",TRIM(IF(LEN(IF(LEN(INDEX('Inspections'!$B$4:$B$503,_calc!$E$235))=0,"",INDEX('Inspections'!$B$4:$B$503,_calc!$E$235)))=0,"","System: "&amp;IF(LEN(INDEX('Inspections'!$B$4:$B$503,_calc!$E$235))=0,"",INDEX('Inspections'!$B$4:$B$503,_calc!$E$235))&amp;". ")&amp;IF(LEN(IF(LEN(INDEX('Inspections'!$D$4:$D$503,_calc!$E$235))=0,"",INDEX('Inspections'!$D$4:$D$503,_calc!$E$235)))=0,"","Every: "&amp;IF(LEN(INDEX('Inspections'!$D$4:$D$503,_calc!$E$235))=0,"",INDEX('Inspections'!$D$4:$D$503,_calc!$E$235))&amp;". ")&amp;IF(LEN(IF(LEN(INDEX('Inspections'!$E$4:$E$503,_calc!$E$235))=0,"",INDEX('Inspections'!$E$4:$E$503,_calc!$E$235)))=0,"","Unit: "&amp;IF(LEN(INDEX('Inspections'!$E$4:$E$503,_calc!$E$235))=0,"",INDEX('Inspections'!$E$4:$E$503,_calc!$E$235))&amp;". ")&amp;IF(LEN(IF(LEN(INDEX('Inspections'!$F$4:$F$503,_calc!$E$235))=0,"",INDEX('Inspections'!$F$4:$F$503,_calc!$E$235)))=0,"","Done by: "&amp;IF(LEN(INDEX('Inspections'!$F$4:$F$503,_calc!$E$235))=0,"",INDEX('Inspections'!$F$4:$F$503,_calc!$E$235))&amp;". ")&amp;IF(LEN(IF(LEN(INDEX('Inspections'!$M$4:$M$503,_calc!$E$235))=0,"",INDEX('Inspections'!$M$4:$M$503,_calc!$E$235)))=0,"","Source: "&amp;IF(LEN(INDEX('Inspections'!$M$4:$M$503,_calc!$E$235))=0,"",INDEX('Inspections'!$M$4:$M$503,_calc!$E$235))&amp;". ")&amp;IF(LEN(IF(LEN(INDEX('Inspections'!$N$4:$N$503,_calc!$E$235))=0,"",INDEX('Inspections'!$N$4:$N$503,_calc!$E$235)))=0,"","Owner: "&amp;IF(LEN(INDEX('Inspections'!$N$4:$N$503,_calc!$E$235))=0,"",INDEX('Inspections'!$N$4:$N$503,_calc!$E$235))&amp;". ")&amp;IF(LEN(IF(LEN(INDEX('Inspections'!$O$4:$O$503,_calc!$E$235))=0,"",INDEX('Inspections'!$O$4:$O$503,_calc!$E$235)))=0,"","Backup: "&amp;IF(LEN(INDEX('Inspections'!$O$4:$O$503,_calc!$E$235))=0,"",INDEX('Inspections'!$O$4:$O$503,_calc!$E$235))&amp;". ")&amp;IF(LEN(IF(LEN(INDEX('Inspections'!$R$4:$R$503,_calc!$E$235))=0,"",INDEX('Inspections'!$R$4:$R$503,_calc!$E$235)))=0,"",IF(LEN(INDEX('Inspections'!$R$4:$R$503,_calc!$E$235))=0,"",INDEX('Inspections'!$R$4:$R$503,_calc!$E$235)))))</f>
        <v/>
      </c>
      <c r="G233" s="55">
        <f>IF(_calc!$E$235="","",IF(LEN(INDEX('Inspections'!$Q$4:$Q$503,_calc!$E$235))=0,"",INDEX('Inspections'!$Q$4:$Q$503,_calc!$E$235)))</f>
        <v/>
      </c>
      <c r="K233" s="55">
        <f>IF(_calc!$E$235="","",IF(LEN(INDEX('Inspections'!$P$4:$P$503,_calc!$E$235))=0,"",INDEX('Inspections'!$P$4:$P$503,_calc!$E$235)))</f>
        <v/>
      </c>
    </row>
    <row r="234">
      <c r="A234" s="55">
        <f>IF(_calc!$E$236="","",IF(LEN(INDEX('Inspections'!$C$4:$C$503,_calc!$E$236))=0,"",INDEX('Inspections'!$C$4:$C$503,_calc!$E$236))&amp;" – "&amp;IF(LEN(INDEX('Inspections'!$A$4:$A$503,_calc!$E$236))=0,"",INDEX('Inspections'!$A$4:$A$503,_calc!$E$236)))</f>
        <v/>
      </c>
      <c r="B234" s="55">
        <f>IF(_calc!$E$236="","",IF(ISNUMBER(INDEX('Inspections'!$H$4:$H$503,_calc!$E$236)),TEXT(INDEX('Inspections'!$H$4:$H$503,_calc!$E$236),"yyyy-mm-dd"),""))</f>
        <v/>
      </c>
      <c r="C234" s="55">
        <f>IF(_calc!$E$236="","","Inspection")</f>
        <v/>
      </c>
      <c r="D234" s="55">
        <f>IF(_calc!$E$236="","",IF(ISNUMBER(INDEX('Inspections'!$G$4:$G$503,_calc!$E$236)),TEXT(INDEX('Inspections'!$G$4:$G$503,_calc!$E$236),"yyyy-mm-dd"),""))</f>
        <v/>
      </c>
      <c r="F234" s="55">
        <f>IF(_calc!$E$236="","",TRIM(IF(LEN(IF(LEN(INDEX('Inspections'!$B$4:$B$503,_calc!$E$236))=0,"",INDEX('Inspections'!$B$4:$B$503,_calc!$E$236)))=0,"","System: "&amp;IF(LEN(INDEX('Inspections'!$B$4:$B$503,_calc!$E$236))=0,"",INDEX('Inspections'!$B$4:$B$503,_calc!$E$236))&amp;". ")&amp;IF(LEN(IF(LEN(INDEX('Inspections'!$D$4:$D$503,_calc!$E$236))=0,"",INDEX('Inspections'!$D$4:$D$503,_calc!$E$236)))=0,"","Every: "&amp;IF(LEN(INDEX('Inspections'!$D$4:$D$503,_calc!$E$236))=0,"",INDEX('Inspections'!$D$4:$D$503,_calc!$E$236))&amp;". ")&amp;IF(LEN(IF(LEN(INDEX('Inspections'!$E$4:$E$503,_calc!$E$236))=0,"",INDEX('Inspections'!$E$4:$E$503,_calc!$E$236)))=0,"","Unit: "&amp;IF(LEN(INDEX('Inspections'!$E$4:$E$503,_calc!$E$236))=0,"",INDEX('Inspections'!$E$4:$E$503,_calc!$E$236))&amp;". ")&amp;IF(LEN(IF(LEN(INDEX('Inspections'!$F$4:$F$503,_calc!$E$236))=0,"",INDEX('Inspections'!$F$4:$F$503,_calc!$E$236)))=0,"","Done by: "&amp;IF(LEN(INDEX('Inspections'!$F$4:$F$503,_calc!$E$236))=0,"",INDEX('Inspections'!$F$4:$F$503,_calc!$E$236))&amp;". ")&amp;IF(LEN(IF(LEN(INDEX('Inspections'!$M$4:$M$503,_calc!$E$236))=0,"",INDEX('Inspections'!$M$4:$M$503,_calc!$E$236)))=0,"","Source: "&amp;IF(LEN(INDEX('Inspections'!$M$4:$M$503,_calc!$E$236))=0,"",INDEX('Inspections'!$M$4:$M$503,_calc!$E$236))&amp;". ")&amp;IF(LEN(IF(LEN(INDEX('Inspections'!$N$4:$N$503,_calc!$E$236))=0,"",INDEX('Inspections'!$N$4:$N$503,_calc!$E$236)))=0,"","Owner: "&amp;IF(LEN(INDEX('Inspections'!$N$4:$N$503,_calc!$E$236))=0,"",INDEX('Inspections'!$N$4:$N$503,_calc!$E$236))&amp;". ")&amp;IF(LEN(IF(LEN(INDEX('Inspections'!$O$4:$O$503,_calc!$E$236))=0,"",INDEX('Inspections'!$O$4:$O$503,_calc!$E$236)))=0,"","Backup: "&amp;IF(LEN(INDEX('Inspections'!$O$4:$O$503,_calc!$E$236))=0,"",INDEX('Inspections'!$O$4:$O$503,_calc!$E$236))&amp;". ")&amp;IF(LEN(IF(LEN(INDEX('Inspections'!$R$4:$R$503,_calc!$E$236))=0,"",INDEX('Inspections'!$R$4:$R$503,_calc!$E$236)))=0,"",IF(LEN(INDEX('Inspections'!$R$4:$R$503,_calc!$E$236))=0,"",INDEX('Inspections'!$R$4:$R$503,_calc!$E$236)))))</f>
        <v/>
      </c>
      <c r="G234" s="55">
        <f>IF(_calc!$E$236="","",IF(LEN(INDEX('Inspections'!$Q$4:$Q$503,_calc!$E$236))=0,"",INDEX('Inspections'!$Q$4:$Q$503,_calc!$E$236)))</f>
        <v/>
      </c>
      <c r="K234" s="55">
        <f>IF(_calc!$E$236="","",IF(LEN(INDEX('Inspections'!$P$4:$P$503,_calc!$E$236))=0,"",INDEX('Inspections'!$P$4:$P$503,_calc!$E$236)))</f>
        <v/>
      </c>
    </row>
    <row r="235">
      <c r="A235" s="55">
        <f>IF(_calc!$E$237="","",IF(LEN(INDEX('Inspections'!$C$4:$C$503,_calc!$E$237))=0,"",INDEX('Inspections'!$C$4:$C$503,_calc!$E$237))&amp;" – "&amp;IF(LEN(INDEX('Inspections'!$A$4:$A$503,_calc!$E$237))=0,"",INDEX('Inspections'!$A$4:$A$503,_calc!$E$237)))</f>
        <v/>
      </c>
      <c r="B235" s="55">
        <f>IF(_calc!$E$237="","",IF(ISNUMBER(INDEX('Inspections'!$H$4:$H$503,_calc!$E$237)),TEXT(INDEX('Inspections'!$H$4:$H$503,_calc!$E$237),"yyyy-mm-dd"),""))</f>
        <v/>
      </c>
      <c r="C235" s="55">
        <f>IF(_calc!$E$237="","","Inspection")</f>
        <v/>
      </c>
      <c r="D235" s="55">
        <f>IF(_calc!$E$237="","",IF(ISNUMBER(INDEX('Inspections'!$G$4:$G$503,_calc!$E$237)),TEXT(INDEX('Inspections'!$G$4:$G$503,_calc!$E$237),"yyyy-mm-dd"),""))</f>
        <v/>
      </c>
      <c r="F235" s="55">
        <f>IF(_calc!$E$237="","",TRIM(IF(LEN(IF(LEN(INDEX('Inspections'!$B$4:$B$503,_calc!$E$237))=0,"",INDEX('Inspections'!$B$4:$B$503,_calc!$E$237)))=0,"","System: "&amp;IF(LEN(INDEX('Inspections'!$B$4:$B$503,_calc!$E$237))=0,"",INDEX('Inspections'!$B$4:$B$503,_calc!$E$237))&amp;". ")&amp;IF(LEN(IF(LEN(INDEX('Inspections'!$D$4:$D$503,_calc!$E$237))=0,"",INDEX('Inspections'!$D$4:$D$503,_calc!$E$237)))=0,"","Every: "&amp;IF(LEN(INDEX('Inspections'!$D$4:$D$503,_calc!$E$237))=0,"",INDEX('Inspections'!$D$4:$D$503,_calc!$E$237))&amp;". ")&amp;IF(LEN(IF(LEN(INDEX('Inspections'!$E$4:$E$503,_calc!$E$237))=0,"",INDEX('Inspections'!$E$4:$E$503,_calc!$E$237)))=0,"","Unit: "&amp;IF(LEN(INDEX('Inspections'!$E$4:$E$503,_calc!$E$237))=0,"",INDEX('Inspections'!$E$4:$E$503,_calc!$E$237))&amp;". ")&amp;IF(LEN(IF(LEN(INDEX('Inspections'!$F$4:$F$503,_calc!$E$237))=0,"",INDEX('Inspections'!$F$4:$F$503,_calc!$E$237)))=0,"","Done by: "&amp;IF(LEN(INDEX('Inspections'!$F$4:$F$503,_calc!$E$237))=0,"",INDEX('Inspections'!$F$4:$F$503,_calc!$E$237))&amp;". ")&amp;IF(LEN(IF(LEN(INDEX('Inspections'!$M$4:$M$503,_calc!$E$237))=0,"",INDEX('Inspections'!$M$4:$M$503,_calc!$E$237)))=0,"","Source: "&amp;IF(LEN(INDEX('Inspections'!$M$4:$M$503,_calc!$E$237))=0,"",INDEX('Inspections'!$M$4:$M$503,_calc!$E$237))&amp;". ")&amp;IF(LEN(IF(LEN(INDEX('Inspections'!$N$4:$N$503,_calc!$E$237))=0,"",INDEX('Inspections'!$N$4:$N$503,_calc!$E$237)))=0,"","Owner: "&amp;IF(LEN(INDEX('Inspections'!$N$4:$N$503,_calc!$E$237))=0,"",INDEX('Inspections'!$N$4:$N$503,_calc!$E$237))&amp;". ")&amp;IF(LEN(IF(LEN(INDEX('Inspections'!$O$4:$O$503,_calc!$E$237))=0,"",INDEX('Inspections'!$O$4:$O$503,_calc!$E$237)))=0,"","Backup: "&amp;IF(LEN(INDEX('Inspections'!$O$4:$O$503,_calc!$E$237))=0,"",INDEX('Inspections'!$O$4:$O$503,_calc!$E$237))&amp;". ")&amp;IF(LEN(IF(LEN(INDEX('Inspections'!$R$4:$R$503,_calc!$E$237))=0,"",INDEX('Inspections'!$R$4:$R$503,_calc!$E$237)))=0,"",IF(LEN(INDEX('Inspections'!$R$4:$R$503,_calc!$E$237))=0,"",INDEX('Inspections'!$R$4:$R$503,_calc!$E$237)))))</f>
        <v/>
      </c>
      <c r="G235" s="55">
        <f>IF(_calc!$E$237="","",IF(LEN(INDEX('Inspections'!$Q$4:$Q$503,_calc!$E$237))=0,"",INDEX('Inspections'!$Q$4:$Q$503,_calc!$E$237)))</f>
        <v/>
      </c>
      <c r="K235" s="55">
        <f>IF(_calc!$E$237="","",IF(LEN(INDEX('Inspections'!$P$4:$P$503,_calc!$E$237))=0,"",INDEX('Inspections'!$P$4:$P$503,_calc!$E$237)))</f>
        <v/>
      </c>
    </row>
    <row r="236">
      <c r="A236" s="55">
        <f>IF(_calc!$E$238="","",IF(LEN(INDEX('Inspections'!$C$4:$C$503,_calc!$E$238))=0,"",INDEX('Inspections'!$C$4:$C$503,_calc!$E$238))&amp;" – "&amp;IF(LEN(INDEX('Inspections'!$A$4:$A$503,_calc!$E$238))=0,"",INDEX('Inspections'!$A$4:$A$503,_calc!$E$238)))</f>
        <v/>
      </c>
      <c r="B236" s="55">
        <f>IF(_calc!$E$238="","",IF(ISNUMBER(INDEX('Inspections'!$H$4:$H$503,_calc!$E$238)),TEXT(INDEX('Inspections'!$H$4:$H$503,_calc!$E$238),"yyyy-mm-dd"),""))</f>
        <v/>
      </c>
      <c r="C236" s="55">
        <f>IF(_calc!$E$238="","","Inspection")</f>
        <v/>
      </c>
      <c r="D236" s="55">
        <f>IF(_calc!$E$238="","",IF(ISNUMBER(INDEX('Inspections'!$G$4:$G$503,_calc!$E$238)),TEXT(INDEX('Inspections'!$G$4:$G$503,_calc!$E$238),"yyyy-mm-dd"),""))</f>
        <v/>
      </c>
      <c r="F236" s="55">
        <f>IF(_calc!$E$238="","",TRIM(IF(LEN(IF(LEN(INDEX('Inspections'!$B$4:$B$503,_calc!$E$238))=0,"",INDEX('Inspections'!$B$4:$B$503,_calc!$E$238)))=0,"","System: "&amp;IF(LEN(INDEX('Inspections'!$B$4:$B$503,_calc!$E$238))=0,"",INDEX('Inspections'!$B$4:$B$503,_calc!$E$238))&amp;". ")&amp;IF(LEN(IF(LEN(INDEX('Inspections'!$D$4:$D$503,_calc!$E$238))=0,"",INDEX('Inspections'!$D$4:$D$503,_calc!$E$238)))=0,"","Every: "&amp;IF(LEN(INDEX('Inspections'!$D$4:$D$503,_calc!$E$238))=0,"",INDEX('Inspections'!$D$4:$D$503,_calc!$E$238))&amp;". ")&amp;IF(LEN(IF(LEN(INDEX('Inspections'!$E$4:$E$503,_calc!$E$238))=0,"",INDEX('Inspections'!$E$4:$E$503,_calc!$E$238)))=0,"","Unit: "&amp;IF(LEN(INDEX('Inspections'!$E$4:$E$503,_calc!$E$238))=0,"",INDEX('Inspections'!$E$4:$E$503,_calc!$E$238))&amp;". ")&amp;IF(LEN(IF(LEN(INDEX('Inspections'!$F$4:$F$503,_calc!$E$238))=0,"",INDEX('Inspections'!$F$4:$F$503,_calc!$E$238)))=0,"","Done by: "&amp;IF(LEN(INDEX('Inspections'!$F$4:$F$503,_calc!$E$238))=0,"",INDEX('Inspections'!$F$4:$F$503,_calc!$E$238))&amp;". ")&amp;IF(LEN(IF(LEN(INDEX('Inspections'!$M$4:$M$503,_calc!$E$238))=0,"",INDEX('Inspections'!$M$4:$M$503,_calc!$E$238)))=0,"","Source: "&amp;IF(LEN(INDEX('Inspections'!$M$4:$M$503,_calc!$E$238))=0,"",INDEX('Inspections'!$M$4:$M$503,_calc!$E$238))&amp;". ")&amp;IF(LEN(IF(LEN(INDEX('Inspections'!$N$4:$N$503,_calc!$E$238))=0,"",INDEX('Inspections'!$N$4:$N$503,_calc!$E$238)))=0,"","Owner: "&amp;IF(LEN(INDEX('Inspections'!$N$4:$N$503,_calc!$E$238))=0,"",INDEX('Inspections'!$N$4:$N$503,_calc!$E$238))&amp;". ")&amp;IF(LEN(IF(LEN(INDEX('Inspections'!$O$4:$O$503,_calc!$E$238))=0,"",INDEX('Inspections'!$O$4:$O$503,_calc!$E$238)))=0,"","Backup: "&amp;IF(LEN(INDEX('Inspections'!$O$4:$O$503,_calc!$E$238))=0,"",INDEX('Inspections'!$O$4:$O$503,_calc!$E$238))&amp;". ")&amp;IF(LEN(IF(LEN(INDEX('Inspections'!$R$4:$R$503,_calc!$E$238))=0,"",INDEX('Inspections'!$R$4:$R$503,_calc!$E$238)))=0,"",IF(LEN(INDEX('Inspections'!$R$4:$R$503,_calc!$E$238))=0,"",INDEX('Inspections'!$R$4:$R$503,_calc!$E$238)))))</f>
        <v/>
      </c>
      <c r="G236" s="55">
        <f>IF(_calc!$E$238="","",IF(LEN(INDEX('Inspections'!$Q$4:$Q$503,_calc!$E$238))=0,"",INDEX('Inspections'!$Q$4:$Q$503,_calc!$E$238)))</f>
        <v/>
      </c>
      <c r="K236" s="55">
        <f>IF(_calc!$E$238="","",IF(LEN(INDEX('Inspections'!$P$4:$P$503,_calc!$E$238))=0,"",INDEX('Inspections'!$P$4:$P$503,_calc!$E$238)))</f>
        <v/>
      </c>
    </row>
    <row r="237">
      <c r="A237" s="55">
        <f>IF(_calc!$E$239="","",IF(LEN(INDEX('Inspections'!$C$4:$C$503,_calc!$E$239))=0,"",INDEX('Inspections'!$C$4:$C$503,_calc!$E$239))&amp;" – "&amp;IF(LEN(INDEX('Inspections'!$A$4:$A$503,_calc!$E$239))=0,"",INDEX('Inspections'!$A$4:$A$503,_calc!$E$239)))</f>
        <v/>
      </c>
      <c r="B237" s="55">
        <f>IF(_calc!$E$239="","",IF(ISNUMBER(INDEX('Inspections'!$H$4:$H$503,_calc!$E$239)),TEXT(INDEX('Inspections'!$H$4:$H$503,_calc!$E$239),"yyyy-mm-dd"),""))</f>
        <v/>
      </c>
      <c r="C237" s="55">
        <f>IF(_calc!$E$239="","","Inspection")</f>
        <v/>
      </c>
      <c r="D237" s="55">
        <f>IF(_calc!$E$239="","",IF(ISNUMBER(INDEX('Inspections'!$G$4:$G$503,_calc!$E$239)),TEXT(INDEX('Inspections'!$G$4:$G$503,_calc!$E$239),"yyyy-mm-dd"),""))</f>
        <v/>
      </c>
      <c r="F237" s="55">
        <f>IF(_calc!$E$239="","",TRIM(IF(LEN(IF(LEN(INDEX('Inspections'!$B$4:$B$503,_calc!$E$239))=0,"",INDEX('Inspections'!$B$4:$B$503,_calc!$E$239)))=0,"","System: "&amp;IF(LEN(INDEX('Inspections'!$B$4:$B$503,_calc!$E$239))=0,"",INDEX('Inspections'!$B$4:$B$503,_calc!$E$239))&amp;". ")&amp;IF(LEN(IF(LEN(INDEX('Inspections'!$D$4:$D$503,_calc!$E$239))=0,"",INDEX('Inspections'!$D$4:$D$503,_calc!$E$239)))=0,"","Every: "&amp;IF(LEN(INDEX('Inspections'!$D$4:$D$503,_calc!$E$239))=0,"",INDEX('Inspections'!$D$4:$D$503,_calc!$E$239))&amp;". ")&amp;IF(LEN(IF(LEN(INDEX('Inspections'!$E$4:$E$503,_calc!$E$239))=0,"",INDEX('Inspections'!$E$4:$E$503,_calc!$E$239)))=0,"","Unit: "&amp;IF(LEN(INDEX('Inspections'!$E$4:$E$503,_calc!$E$239))=0,"",INDEX('Inspections'!$E$4:$E$503,_calc!$E$239))&amp;". ")&amp;IF(LEN(IF(LEN(INDEX('Inspections'!$F$4:$F$503,_calc!$E$239))=0,"",INDEX('Inspections'!$F$4:$F$503,_calc!$E$239)))=0,"","Done by: "&amp;IF(LEN(INDEX('Inspections'!$F$4:$F$503,_calc!$E$239))=0,"",INDEX('Inspections'!$F$4:$F$503,_calc!$E$239))&amp;". ")&amp;IF(LEN(IF(LEN(INDEX('Inspections'!$M$4:$M$503,_calc!$E$239))=0,"",INDEX('Inspections'!$M$4:$M$503,_calc!$E$239)))=0,"","Source: "&amp;IF(LEN(INDEX('Inspections'!$M$4:$M$503,_calc!$E$239))=0,"",INDEX('Inspections'!$M$4:$M$503,_calc!$E$239))&amp;". ")&amp;IF(LEN(IF(LEN(INDEX('Inspections'!$N$4:$N$503,_calc!$E$239))=0,"",INDEX('Inspections'!$N$4:$N$503,_calc!$E$239)))=0,"","Owner: "&amp;IF(LEN(INDEX('Inspections'!$N$4:$N$503,_calc!$E$239))=0,"",INDEX('Inspections'!$N$4:$N$503,_calc!$E$239))&amp;". ")&amp;IF(LEN(IF(LEN(INDEX('Inspections'!$O$4:$O$503,_calc!$E$239))=0,"",INDEX('Inspections'!$O$4:$O$503,_calc!$E$239)))=0,"","Backup: "&amp;IF(LEN(INDEX('Inspections'!$O$4:$O$503,_calc!$E$239))=0,"",INDEX('Inspections'!$O$4:$O$503,_calc!$E$239))&amp;". ")&amp;IF(LEN(IF(LEN(INDEX('Inspections'!$R$4:$R$503,_calc!$E$239))=0,"",INDEX('Inspections'!$R$4:$R$503,_calc!$E$239)))=0,"",IF(LEN(INDEX('Inspections'!$R$4:$R$503,_calc!$E$239))=0,"",INDEX('Inspections'!$R$4:$R$503,_calc!$E$239)))))</f>
        <v/>
      </c>
      <c r="G237" s="55">
        <f>IF(_calc!$E$239="","",IF(LEN(INDEX('Inspections'!$Q$4:$Q$503,_calc!$E$239))=0,"",INDEX('Inspections'!$Q$4:$Q$503,_calc!$E$239)))</f>
        <v/>
      </c>
      <c r="K237" s="55">
        <f>IF(_calc!$E$239="","",IF(LEN(INDEX('Inspections'!$P$4:$P$503,_calc!$E$239))=0,"",INDEX('Inspections'!$P$4:$P$503,_calc!$E$239)))</f>
        <v/>
      </c>
    </row>
    <row r="238">
      <c r="A238" s="55">
        <f>IF(_calc!$E$240="","",IF(LEN(INDEX('Inspections'!$C$4:$C$503,_calc!$E$240))=0,"",INDEX('Inspections'!$C$4:$C$503,_calc!$E$240))&amp;" – "&amp;IF(LEN(INDEX('Inspections'!$A$4:$A$503,_calc!$E$240))=0,"",INDEX('Inspections'!$A$4:$A$503,_calc!$E$240)))</f>
        <v/>
      </c>
      <c r="B238" s="55">
        <f>IF(_calc!$E$240="","",IF(ISNUMBER(INDEX('Inspections'!$H$4:$H$503,_calc!$E$240)),TEXT(INDEX('Inspections'!$H$4:$H$503,_calc!$E$240),"yyyy-mm-dd"),""))</f>
        <v/>
      </c>
      <c r="C238" s="55">
        <f>IF(_calc!$E$240="","","Inspection")</f>
        <v/>
      </c>
      <c r="D238" s="55">
        <f>IF(_calc!$E$240="","",IF(ISNUMBER(INDEX('Inspections'!$G$4:$G$503,_calc!$E$240)),TEXT(INDEX('Inspections'!$G$4:$G$503,_calc!$E$240),"yyyy-mm-dd"),""))</f>
        <v/>
      </c>
      <c r="F238" s="55">
        <f>IF(_calc!$E$240="","",TRIM(IF(LEN(IF(LEN(INDEX('Inspections'!$B$4:$B$503,_calc!$E$240))=0,"",INDEX('Inspections'!$B$4:$B$503,_calc!$E$240)))=0,"","System: "&amp;IF(LEN(INDEX('Inspections'!$B$4:$B$503,_calc!$E$240))=0,"",INDEX('Inspections'!$B$4:$B$503,_calc!$E$240))&amp;". ")&amp;IF(LEN(IF(LEN(INDEX('Inspections'!$D$4:$D$503,_calc!$E$240))=0,"",INDEX('Inspections'!$D$4:$D$503,_calc!$E$240)))=0,"","Every: "&amp;IF(LEN(INDEX('Inspections'!$D$4:$D$503,_calc!$E$240))=0,"",INDEX('Inspections'!$D$4:$D$503,_calc!$E$240))&amp;". ")&amp;IF(LEN(IF(LEN(INDEX('Inspections'!$E$4:$E$503,_calc!$E$240))=0,"",INDEX('Inspections'!$E$4:$E$503,_calc!$E$240)))=0,"","Unit: "&amp;IF(LEN(INDEX('Inspections'!$E$4:$E$503,_calc!$E$240))=0,"",INDEX('Inspections'!$E$4:$E$503,_calc!$E$240))&amp;". ")&amp;IF(LEN(IF(LEN(INDEX('Inspections'!$F$4:$F$503,_calc!$E$240))=0,"",INDEX('Inspections'!$F$4:$F$503,_calc!$E$240)))=0,"","Done by: "&amp;IF(LEN(INDEX('Inspections'!$F$4:$F$503,_calc!$E$240))=0,"",INDEX('Inspections'!$F$4:$F$503,_calc!$E$240))&amp;". ")&amp;IF(LEN(IF(LEN(INDEX('Inspections'!$M$4:$M$503,_calc!$E$240))=0,"",INDEX('Inspections'!$M$4:$M$503,_calc!$E$240)))=0,"","Source: "&amp;IF(LEN(INDEX('Inspections'!$M$4:$M$503,_calc!$E$240))=0,"",INDEX('Inspections'!$M$4:$M$503,_calc!$E$240))&amp;". ")&amp;IF(LEN(IF(LEN(INDEX('Inspections'!$N$4:$N$503,_calc!$E$240))=0,"",INDEX('Inspections'!$N$4:$N$503,_calc!$E$240)))=0,"","Owner: "&amp;IF(LEN(INDEX('Inspections'!$N$4:$N$503,_calc!$E$240))=0,"",INDEX('Inspections'!$N$4:$N$503,_calc!$E$240))&amp;". ")&amp;IF(LEN(IF(LEN(INDEX('Inspections'!$O$4:$O$503,_calc!$E$240))=0,"",INDEX('Inspections'!$O$4:$O$503,_calc!$E$240)))=0,"","Backup: "&amp;IF(LEN(INDEX('Inspections'!$O$4:$O$503,_calc!$E$240))=0,"",INDEX('Inspections'!$O$4:$O$503,_calc!$E$240))&amp;". ")&amp;IF(LEN(IF(LEN(INDEX('Inspections'!$R$4:$R$503,_calc!$E$240))=0,"",INDEX('Inspections'!$R$4:$R$503,_calc!$E$240)))=0,"",IF(LEN(INDEX('Inspections'!$R$4:$R$503,_calc!$E$240))=0,"",INDEX('Inspections'!$R$4:$R$503,_calc!$E$240)))))</f>
        <v/>
      </c>
      <c r="G238" s="55">
        <f>IF(_calc!$E$240="","",IF(LEN(INDEX('Inspections'!$Q$4:$Q$503,_calc!$E$240))=0,"",INDEX('Inspections'!$Q$4:$Q$503,_calc!$E$240)))</f>
        <v/>
      </c>
      <c r="K238" s="55">
        <f>IF(_calc!$E$240="","",IF(LEN(INDEX('Inspections'!$P$4:$P$503,_calc!$E$240))=0,"",INDEX('Inspections'!$P$4:$P$503,_calc!$E$240)))</f>
        <v/>
      </c>
    </row>
    <row r="239">
      <c r="A239" s="55">
        <f>IF(_calc!$E$241="","",IF(LEN(INDEX('Inspections'!$C$4:$C$503,_calc!$E$241))=0,"",INDEX('Inspections'!$C$4:$C$503,_calc!$E$241))&amp;" – "&amp;IF(LEN(INDEX('Inspections'!$A$4:$A$503,_calc!$E$241))=0,"",INDEX('Inspections'!$A$4:$A$503,_calc!$E$241)))</f>
        <v/>
      </c>
      <c r="B239" s="55">
        <f>IF(_calc!$E$241="","",IF(ISNUMBER(INDEX('Inspections'!$H$4:$H$503,_calc!$E$241)),TEXT(INDEX('Inspections'!$H$4:$H$503,_calc!$E$241),"yyyy-mm-dd"),""))</f>
        <v/>
      </c>
      <c r="C239" s="55">
        <f>IF(_calc!$E$241="","","Inspection")</f>
        <v/>
      </c>
      <c r="D239" s="55">
        <f>IF(_calc!$E$241="","",IF(ISNUMBER(INDEX('Inspections'!$G$4:$G$503,_calc!$E$241)),TEXT(INDEX('Inspections'!$G$4:$G$503,_calc!$E$241),"yyyy-mm-dd"),""))</f>
        <v/>
      </c>
      <c r="F239" s="55">
        <f>IF(_calc!$E$241="","",TRIM(IF(LEN(IF(LEN(INDEX('Inspections'!$B$4:$B$503,_calc!$E$241))=0,"",INDEX('Inspections'!$B$4:$B$503,_calc!$E$241)))=0,"","System: "&amp;IF(LEN(INDEX('Inspections'!$B$4:$B$503,_calc!$E$241))=0,"",INDEX('Inspections'!$B$4:$B$503,_calc!$E$241))&amp;". ")&amp;IF(LEN(IF(LEN(INDEX('Inspections'!$D$4:$D$503,_calc!$E$241))=0,"",INDEX('Inspections'!$D$4:$D$503,_calc!$E$241)))=0,"","Every: "&amp;IF(LEN(INDEX('Inspections'!$D$4:$D$503,_calc!$E$241))=0,"",INDEX('Inspections'!$D$4:$D$503,_calc!$E$241))&amp;". ")&amp;IF(LEN(IF(LEN(INDEX('Inspections'!$E$4:$E$503,_calc!$E$241))=0,"",INDEX('Inspections'!$E$4:$E$503,_calc!$E$241)))=0,"","Unit: "&amp;IF(LEN(INDEX('Inspections'!$E$4:$E$503,_calc!$E$241))=0,"",INDEX('Inspections'!$E$4:$E$503,_calc!$E$241))&amp;". ")&amp;IF(LEN(IF(LEN(INDEX('Inspections'!$F$4:$F$503,_calc!$E$241))=0,"",INDEX('Inspections'!$F$4:$F$503,_calc!$E$241)))=0,"","Done by: "&amp;IF(LEN(INDEX('Inspections'!$F$4:$F$503,_calc!$E$241))=0,"",INDEX('Inspections'!$F$4:$F$503,_calc!$E$241))&amp;". ")&amp;IF(LEN(IF(LEN(INDEX('Inspections'!$M$4:$M$503,_calc!$E$241))=0,"",INDEX('Inspections'!$M$4:$M$503,_calc!$E$241)))=0,"","Source: "&amp;IF(LEN(INDEX('Inspections'!$M$4:$M$503,_calc!$E$241))=0,"",INDEX('Inspections'!$M$4:$M$503,_calc!$E$241))&amp;". ")&amp;IF(LEN(IF(LEN(INDEX('Inspections'!$N$4:$N$503,_calc!$E$241))=0,"",INDEX('Inspections'!$N$4:$N$503,_calc!$E$241)))=0,"","Owner: "&amp;IF(LEN(INDEX('Inspections'!$N$4:$N$503,_calc!$E$241))=0,"",INDEX('Inspections'!$N$4:$N$503,_calc!$E$241))&amp;". ")&amp;IF(LEN(IF(LEN(INDEX('Inspections'!$O$4:$O$503,_calc!$E$241))=0,"",INDEX('Inspections'!$O$4:$O$503,_calc!$E$241)))=0,"","Backup: "&amp;IF(LEN(INDEX('Inspections'!$O$4:$O$503,_calc!$E$241))=0,"",INDEX('Inspections'!$O$4:$O$503,_calc!$E$241))&amp;". ")&amp;IF(LEN(IF(LEN(INDEX('Inspections'!$R$4:$R$503,_calc!$E$241))=0,"",INDEX('Inspections'!$R$4:$R$503,_calc!$E$241)))=0,"",IF(LEN(INDEX('Inspections'!$R$4:$R$503,_calc!$E$241))=0,"",INDEX('Inspections'!$R$4:$R$503,_calc!$E$241)))))</f>
        <v/>
      </c>
      <c r="G239" s="55">
        <f>IF(_calc!$E$241="","",IF(LEN(INDEX('Inspections'!$Q$4:$Q$503,_calc!$E$241))=0,"",INDEX('Inspections'!$Q$4:$Q$503,_calc!$E$241)))</f>
        <v/>
      </c>
      <c r="K239" s="55">
        <f>IF(_calc!$E$241="","",IF(LEN(INDEX('Inspections'!$P$4:$P$503,_calc!$E$241))=0,"",INDEX('Inspections'!$P$4:$P$503,_calc!$E$241)))</f>
        <v/>
      </c>
    </row>
    <row r="240">
      <c r="A240" s="55">
        <f>IF(_calc!$E$242="","",IF(LEN(INDEX('Inspections'!$C$4:$C$503,_calc!$E$242))=0,"",INDEX('Inspections'!$C$4:$C$503,_calc!$E$242))&amp;" – "&amp;IF(LEN(INDEX('Inspections'!$A$4:$A$503,_calc!$E$242))=0,"",INDEX('Inspections'!$A$4:$A$503,_calc!$E$242)))</f>
        <v/>
      </c>
      <c r="B240" s="55">
        <f>IF(_calc!$E$242="","",IF(ISNUMBER(INDEX('Inspections'!$H$4:$H$503,_calc!$E$242)),TEXT(INDEX('Inspections'!$H$4:$H$503,_calc!$E$242),"yyyy-mm-dd"),""))</f>
        <v/>
      </c>
      <c r="C240" s="55">
        <f>IF(_calc!$E$242="","","Inspection")</f>
        <v/>
      </c>
      <c r="D240" s="55">
        <f>IF(_calc!$E$242="","",IF(ISNUMBER(INDEX('Inspections'!$G$4:$G$503,_calc!$E$242)),TEXT(INDEX('Inspections'!$G$4:$G$503,_calc!$E$242),"yyyy-mm-dd"),""))</f>
        <v/>
      </c>
      <c r="F240" s="55">
        <f>IF(_calc!$E$242="","",TRIM(IF(LEN(IF(LEN(INDEX('Inspections'!$B$4:$B$503,_calc!$E$242))=0,"",INDEX('Inspections'!$B$4:$B$503,_calc!$E$242)))=0,"","System: "&amp;IF(LEN(INDEX('Inspections'!$B$4:$B$503,_calc!$E$242))=0,"",INDEX('Inspections'!$B$4:$B$503,_calc!$E$242))&amp;". ")&amp;IF(LEN(IF(LEN(INDEX('Inspections'!$D$4:$D$503,_calc!$E$242))=0,"",INDEX('Inspections'!$D$4:$D$503,_calc!$E$242)))=0,"","Every: "&amp;IF(LEN(INDEX('Inspections'!$D$4:$D$503,_calc!$E$242))=0,"",INDEX('Inspections'!$D$4:$D$503,_calc!$E$242))&amp;". ")&amp;IF(LEN(IF(LEN(INDEX('Inspections'!$E$4:$E$503,_calc!$E$242))=0,"",INDEX('Inspections'!$E$4:$E$503,_calc!$E$242)))=0,"","Unit: "&amp;IF(LEN(INDEX('Inspections'!$E$4:$E$503,_calc!$E$242))=0,"",INDEX('Inspections'!$E$4:$E$503,_calc!$E$242))&amp;". ")&amp;IF(LEN(IF(LEN(INDEX('Inspections'!$F$4:$F$503,_calc!$E$242))=0,"",INDEX('Inspections'!$F$4:$F$503,_calc!$E$242)))=0,"","Done by: "&amp;IF(LEN(INDEX('Inspections'!$F$4:$F$503,_calc!$E$242))=0,"",INDEX('Inspections'!$F$4:$F$503,_calc!$E$242))&amp;". ")&amp;IF(LEN(IF(LEN(INDEX('Inspections'!$M$4:$M$503,_calc!$E$242))=0,"",INDEX('Inspections'!$M$4:$M$503,_calc!$E$242)))=0,"","Source: "&amp;IF(LEN(INDEX('Inspections'!$M$4:$M$503,_calc!$E$242))=0,"",INDEX('Inspections'!$M$4:$M$503,_calc!$E$242))&amp;". ")&amp;IF(LEN(IF(LEN(INDEX('Inspections'!$N$4:$N$503,_calc!$E$242))=0,"",INDEX('Inspections'!$N$4:$N$503,_calc!$E$242)))=0,"","Owner: "&amp;IF(LEN(INDEX('Inspections'!$N$4:$N$503,_calc!$E$242))=0,"",INDEX('Inspections'!$N$4:$N$503,_calc!$E$242))&amp;". ")&amp;IF(LEN(IF(LEN(INDEX('Inspections'!$O$4:$O$503,_calc!$E$242))=0,"",INDEX('Inspections'!$O$4:$O$503,_calc!$E$242)))=0,"","Backup: "&amp;IF(LEN(INDEX('Inspections'!$O$4:$O$503,_calc!$E$242))=0,"",INDEX('Inspections'!$O$4:$O$503,_calc!$E$242))&amp;". ")&amp;IF(LEN(IF(LEN(INDEX('Inspections'!$R$4:$R$503,_calc!$E$242))=0,"",INDEX('Inspections'!$R$4:$R$503,_calc!$E$242)))=0,"",IF(LEN(INDEX('Inspections'!$R$4:$R$503,_calc!$E$242))=0,"",INDEX('Inspections'!$R$4:$R$503,_calc!$E$242)))))</f>
        <v/>
      </c>
      <c r="G240" s="55">
        <f>IF(_calc!$E$242="","",IF(LEN(INDEX('Inspections'!$Q$4:$Q$503,_calc!$E$242))=0,"",INDEX('Inspections'!$Q$4:$Q$503,_calc!$E$242)))</f>
        <v/>
      </c>
      <c r="K240" s="55">
        <f>IF(_calc!$E$242="","",IF(LEN(INDEX('Inspections'!$P$4:$P$503,_calc!$E$242))=0,"",INDEX('Inspections'!$P$4:$P$503,_calc!$E$242)))</f>
        <v/>
      </c>
    </row>
    <row r="241">
      <c r="A241" s="55">
        <f>IF(_calc!$E$243="","",IF(LEN(INDEX('Inspections'!$C$4:$C$503,_calc!$E$243))=0,"",INDEX('Inspections'!$C$4:$C$503,_calc!$E$243))&amp;" – "&amp;IF(LEN(INDEX('Inspections'!$A$4:$A$503,_calc!$E$243))=0,"",INDEX('Inspections'!$A$4:$A$503,_calc!$E$243)))</f>
        <v/>
      </c>
      <c r="B241" s="55">
        <f>IF(_calc!$E$243="","",IF(ISNUMBER(INDEX('Inspections'!$H$4:$H$503,_calc!$E$243)),TEXT(INDEX('Inspections'!$H$4:$H$503,_calc!$E$243),"yyyy-mm-dd"),""))</f>
        <v/>
      </c>
      <c r="C241" s="55">
        <f>IF(_calc!$E$243="","","Inspection")</f>
        <v/>
      </c>
      <c r="D241" s="55">
        <f>IF(_calc!$E$243="","",IF(ISNUMBER(INDEX('Inspections'!$G$4:$G$503,_calc!$E$243)),TEXT(INDEX('Inspections'!$G$4:$G$503,_calc!$E$243),"yyyy-mm-dd"),""))</f>
        <v/>
      </c>
      <c r="F241" s="55">
        <f>IF(_calc!$E$243="","",TRIM(IF(LEN(IF(LEN(INDEX('Inspections'!$B$4:$B$503,_calc!$E$243))=0,"",INDEX('Inspections'!$B$4:$B$503,_calc!$E$243)))=0,"","System: "&amp;IF(LEN(INDEX('Inspections'!$B$4:$B$503,_calc!$E$243))=0,"",INDEX('Inspections'!$B$4:$B$503,_calc!$E$243))&amp;". ")&amp;IF(LEN(IF(LEN(INDEX('Inspections'!$D$4:$D$503,_calc!$E$243))=0,"",INDEX('Inspections'!$D$4:$D$503,_calc!$E$243)))=0,"","Every: "&amp;IF(LEN(INDEX('Inspections'!$D$4:$D$503,_calc!$E$243))=0,"",INDEX('Inspections'!$D$4:$D$503,_calc!$E$243))&amp;". ")&amp;IF(LEN(IF(LEN(INDEX('Inspections'!$E$4:$E$503,_calc!$E$243))=0,"",INDEX('Inspections'!$E$4:$E$503,_calc!$E$243)))=0,"","Unit: "&amp;IF(LEN(INDEX('Inspections'!$E$4:$E$503,_calc!$E$243))=0,"",INDEX('Inspections'!$E$4:$E$503,_calc!$E$243))&amp;". ")&amp;IF(LEN(IF(LEN(INDEX('Inspections'!$F$4:$F$503,_calc!$E$243))=0,"",INDEX('Inspections'!$F$4:$F$503,_calc!$E$243)))=0,"","Done by: "&amp;IF(LEN(INDEX('Inspections'!$F$4:$F$503,_calc!$E$243))=0,"",INDEX('Inspections'!$F$4:$F$503,_calc!$E$243))&amp;". ")&amp;IF(LEN(IF(LEN(INDEX('Inspections'!$M$4:$M$503,_calc!$E$243))=0,"",INDEX('Inspections'!$M$4:$M$503,_calc!$E$243)))=0,"","Source: "&amp;IF(LEN(INDEX('Inspections'!$M$4:$M$503,_calc!$E$243))=0,"",INDEX('Inspections'!$M$4:$M$503,_calc!$E$243))&amp;". ")&amp;IF(LEN(IF(LEN(INDEX('Inspections'!$N$4:$N$503,_calc!$E$243))=0,"",INDEX('Inspections'!$N$4:$N$503,_calc!$E$243)))=0,"","Owner: "&amp;IF(LEN(INDEX('Inspections'!$N$4:$N$503,_calc!$E$243))=0,"",INDEX('Inspections'!$N$4:$N$503,_calc!$E$243))&amp;". ")&amp;IF(LEN(IF(LEN(INDEX('Inspections'!$O$4:$O$503,_calc!$E$243))=0,"",INDEX('Inspections'!$O$4:$O$503,_calc!$E$243)))=0,"","Backup: "&amp;IF(LEN(INDEX('Inspections'!$O$4:$O$503,_calc!$E$243))=0,"",INDEX('Inspections'!$O$4:$O$503,_calc!$E$243))&amp;". ")&amp;IF(LEN(IF(LEN(INDEX('Inspections'!$R$4:$R$503,_calc!$E$243))=0,"",INDEX('Inspections'!$R$4:$R$503,_calc!$E$243)))=0,"",IF(LEN(INDEX('Inspections'!$R$4:$R$503,_calc!$E$243))=0,"",INDEX('Inspections'!$R$4:$R$503,_calc!$E$243)))))</f>
        <v/>
      </c>
      <c r="G241" s="55">
        <f>IF(_calc!$E$243="","",IF(LEN(INDEX('Inspections'!$Q$4:$Q$503,_calc!$E$243))=0,"",INDEX('Inspections'!$Q$4:$Q$503,_calc!$E$243)))</f>
        <v/>
      </c>
      <c r="K241" s="55">
        <f>IF(_calc!$E$243="","",IF(LEN(INDEX('Inspections'!$P$4:$P$503,_calc!$E$243))=0,"",INDEX('Inspections'!$P$4:$P$503,_calc!$E$243)))</f>
        <v/>
      </c>
    </row>
    <row r="242">
      <c r="A242" s="55">
        <f>IF(_calc!$E$244="","",IF(LEN(INDEX('Inspections'!$C$4:$C$503,_calc!$E$244))=0,"",INDEX('Inspections'!$C$4:$C$503,_calc!$E$244))&amp;" – "&amp;IF(LEN(INDEX('Inspections'!$A$4:$A$503,_calc!$E$244))=0,"",INDEX('Inspections'!$A$4:$A$503,_calc!$E$244)))</f>
        <v/>
      </c>
      <c r="B242" s="55">
        <f>IF(_calc!$E$244="","",IF(ISNUMBER(INDEX('Inspections'!$H$4:$H$503,_calc!$E$244)),TEXT(INDEX('Inspections'!$H$4:$H$503,_calc!$E$244),"yyyy-mm-dd"),""))</f>
        <v/>
      </c>
      <c r="C242" s="55">
        <f>IF(_calc!$E$244="","","Inspection")</f>
        <v/>
      </c>
      <c r="D242" s="55">
        <f>IF(_calc!$E$244="","",IF(ISNUMBER(INDEX('Inspections'!$G$4:$G$503,_calc!$E$244)),TEXT(INDEX('Inspections'!$G$4:$G$503,_calc!$E$244),"yyyy-mm-dd"),""))</f>
        <v/>
      </c>
      <c r="F242" s="55">
        <f>IF(_calc!$E$244="","",TRIM(IF(LEN(IF(LEN(INDEX('Inspections'!$B$4:$B$503,_calc!$E$244))=0,"",INDEX('Inspections'!$B$4:$B$503,_calc!$E$244)))=0,"","System: "&amp;IF(LEN(INDEX('Inspections'!$B$4:$B$503,_calc!$E$244))=0,"",INDEX('Inspections'!$B$4:$B$503,_calc!$E$244))&amp;". ")&amp;IF(LEN(IF(LEN(INDEX('Inspections'!$D$4:$D$503,_calc!$E$244))=0,"",INDEX('Inspections'!$D$4:$D$503,_calc!$E$244)))=0,"","Every: "&amp;IF(LEN(INDEX('Inspections'!$D$4:$D$503,_calc!$E$244))=0,"",INDEX('Inspections'!$D$4:$D$503,_calc!$E$244))&amp;". ")&amp;IF(LEN(IF(LEN(INDEX('Inspections'!$E$4:$E$503,_calc!$E$244))=0,"",INDEX('Inspections'!$E$4:$E$503,_calc!$E$244)))=0,"","Unit: "&amp;IF(LEN(INDEX('Inspections'!$E$4:$E$503,_calc!$E$244))=0,"",INDEX('Inspections'!$E$4:$E$503,_calc!$E$244))&amp;". ")&amp;IF(LEN(IF(LEN(INDEX('Inspections'!$F$4:$F$503,_calc!$E$244))=0,"",INDEX('Inspections'!$F$4:$F$503,_calc!$E$244)))=0,"","Done by: "&amp;IF(LEN(INDEX('Inspections'!$F$4:$F$503,_calc!$E$244))=0,"",INDEX('Inspections'!$F$4:$F$503,_calc!$E$244))&amp;". ")&amp;IF(LEN(IF(LEN(INDEX('Inspections'!$M$4:$M$503,_calc!$E$244))=0,"",INDEX('Inspections'!$M$4:$M$503,_calc!$E$244)))=0,"","Source: "&amp;IF(LEN(INDEX('Inspections'!$M$4:$M$503,_calc!$E$244))=0,"",INDEX('Inspections'!$M$4:$M$503,_calc!$E$244))&amp;". ")&amp;IF(LEN(IF(LEN(INDEX('Inspections'!$N$4:$N$503,_calc!$E$244))=0,"",INDEX('Inspections'!$N$4:$N$503,_calc!$E$244)))=0,"","Owner: "&amp;IF(LEN(INDEX('Inspections'!$N$4:$N$503,_calc!$E$244))=0,"",INDEX('Inspections'!$N$4:$N$503,_calc!$E$244))&amp;". ")&amp;IF(LEN(IF(LEN(INDEX('Inspections'!$O$4:$O$503,_calc!$E$244))=0,"",INDEX('Inspections'!$O$4:$O$503,_calc!$E$244)))=0,"","Backup: "&amp;IF(LEN(INDEX('Inspections'!$O$4:$O$503,_calc!$E$244))=0,"",INDEX('Inspections'!$O$4:$O$503,_calc!$E$244))&amp;". ")&amp;IF(LEN(IF(LEN(INDEX('Inspections'!$R$4:$R$503,_calc!$E$244))=0,"",INDEX('Inspections'!$R$4:$R$503,_calc!$E$244)))=0,"",IF(LEN(INDEX('Inspections'!$R$4:$R$503,_calc!$E$244))=0,"",INDEX('Inspections'!$R$4:$R$503,_calc!$E$244)))))</f>
        <v/>
      </c>
      <c r="G242" s="55">
        <f>IF(_calc!$E$244="","",IF(LEN(INDEX('Inspections'!$Q$4:$Q$503,_calc!$E$244))=0,"",INDEX('Inspections'!$Q$4:$Q$503,_calc!$E$244)))</f>
        <v/>
      </c>
      <c r="K242" s="55">
        <f>IF(_calc!$E$244="","",IF(LEN(INDEX('Inspections'!$P$4:$P$503,_calc!$E$244))=0,"",INDEX('Inspections'!$P$4:$P$503,_calc!$E$244)))</f>
        <v/>
      </c>
    </row>
    <row r="243">
      <c r="A243" s="55">
        <f>IF(_calc!$E$245="","",IF(LEN(INDEX('Inspections'!$C$4:$C$503,_calc!$E$245))=0,"",INDEX('Inspections'!$C$4:$C$503,_calc!$E$245))&amp;" – "&amp;IF(LEN(INDEX('Inspections'!$A$4:$A$503,_calc!$E$245))=0,"",INDEX('Inspections'!$A$4:$A$503,_calc!$E$245)))</f>
        <v/>
      </c>
      <c r="B243" s="55">
        <f>IF(_calc!$E$245="","",IF(ISNUMBER(INDEX('Inspections'!$H$4:$H$503,_calc!$E$245)),TEXT(INDEX('Inspections'!$H$4:$H$503,_calc!$E$245),"yyyy-mm-dd"),""))</f>
        <v/>
      </c>
      <c r="C243" s="55">
        <f>IF(_calc!$E$245="","","Inspection")</f>
        <v/>
      </c>
      <c r="D243" s="55">
        <f>IF(_calc!$E$245="","",IF(ISNUMBER(INDEX('Inspections'!$G$4:$G$503,_calc!$E$245)),TEXT(INDEX('Inspections'!$G$4:$G$503,_calc!$E$245),"yyyy-mm-dd"),""))</f>
        <v/>
      </c>
      <c r="F243" s="55">
        <f>IF(_calc!$E$245="","",TRIM(IF(LEN(IF(LEN(INDEX('Inspections'!$B$4:$B$503,_calc!$E$245))=0,"",INDEX('Inspections'!$B$4:$B$503,_calc!$E$245)))=0,"","System: "&amp;IF(LEN(INDEX('Inspections'!$B$4:$B$503,_calc!$E$245))=0,"",INDEX('Inspections'!$B$4:$B$503,_calc!$E$245))&amp;". ")&amp;IF(LEN(IF(LEN(INDEX('Inspections'!$D$4:$D$503,_calc!$E$245))=0,"",INDEX('Inspections'!$D$4:$D$503,_calc!$E$245)))=0,"","Every: "&amp;IF(LEN(INDEX('Inspections'!$D$4:$D$503,_calc!$E$245))=0,"",INDEX('Inspections'!$D$4:$D$503,_calc!$E$245))&amp;". ")&amp;IF(LEN(IF(LEN(INDEX('Inspections'!$E$4:$E$503,_calc!$E$245))=0,"",INDEX('Inspections'!$E$4:$E$503,_calc!$E$245)))=0,"","Unit: "&amp;IF(LEN(INDEX('Inspections'!$E$4:$E$503,_calc!$E$245))=0,"",INDEX('Inspections'!$E$4:$E$503,_calc!$E$245))&amp;". ")&amp;IF(LEN(IF(LEN(INDEX('Inspections'!$F$4:$F$503,_calc!$E$245))=0,"",INDEX('Inspections'!$F$4:$F$503,_calc!$E$245)))=0,"","Done by: "&amp;IF(LEN(INDEX('Inspections'!$F$4:$F$503,_calc!$E$245))=0,"",INDEX('Inspections'!$F$4:$F$503,_calc!$E$245))&amp;". ")&amp;IF(LEN(IF(LEN(INDEX('Inspections'!$M$4:$M$503,_calc!$E$245))=0,"",INDEX('Inspections'!$M$4:$M$503,_calc!$E$245)))=0,"","Source: "&amp;IF(LEN(INDEX('Inspections'!$M$4:$M$503,_calc!$E$245))=0,"",INDEX('Inspections'!$M$4:$M$503,_calc!$E$245))&amp;". ")&amp;IF(LEN(IF(LEN(INDEX('Inspections'!$N$4:$N$503,_calc!$E$245))=0,"",INDEX('Inspections'!$N$4:$N$503,_calc!$E$245)))=0,"","Owner: "&amp;IF(LEN(INDEX('Inspections'!$N$4:$N$503,_calc!$E$245))=0,"",INDEX('Inspections'!$N$4:$N$503,_calc!$E$245))&amp;". ")&amp;IF(LEN(IF(LEN(INDEX('Inspections'!$O$4:$O$503,_calc!$E$245))=0,"",INDEX('Inspections'!$O$4:$O$503,_calc!$E$245)))=0,"","Backup: "&amp;IF(LEN(INDEX('Inspections'!$O$4:$O$503,_calc!$E$245))=0,"",INDEX('Inspections'!$O$4:$O$503,_calc!$E$245))&amp;". ")&amp;IF(LEN(IF(LEN(INDEX('Inspections'!$R$4:$R$503,_calc!$E$245))=0,"",INDEX('Inspections'!$R$4:$R$503,_calc!$E$245)))=0,"",IF(LEN(INDEX('Inspections'!$R$4:$R$503,_calc!$E$245))=0,"",INDEX('Inspections'!$R$4:$R$503,_calc!$E$245)))))</f>
        <v/>
      </c>
      <c r="G243" s="55">
        <f>IF(_calc!$E$245="","",IF(LEN(INDEX('Inspections'!$Q$4:$Q$503,_calc!$E$245))=0,"",INDEX('Inspections'!$Q$4:$Q$503,_calc!$E$245)))</f>
        <v/>
      </c>
      <c r="K243" s="55">
        <f>IF(_calc!$E$245="","",IF(LEN(INDEX('Inspections'!$P$4:$P$503,_calc!$E$245))=0,"",INDEX('Inspections'!$P$4:$P$503,_calc!$E$245)))</f>
        <v/>
      </c>
    </row>
    <row r="244">
      <c r="A244" s="55">
        <f>IF(_calc!$E$246="","",IF(LEN(INDEX('Inspections'!$C$4:$C$503,_calc!$E$246))=0,"",INDEX('Inspections'!$C$4:$C$503,_calc!$E$246))&amp;" – "&amp;IF(LEN(INDEX('Inspections'!$A$4:$A$503,_calc!$E$246))=0,"",INDEX('Inspections'!$A$4:$A$503,_calc!$E$246)))</f>
        <v/>
      </c>
      <c r="B244" s="55">
        <f>IF(_calc!$E$246="","",IF(ISNUMBER(INDEX('Inspections'!$H$4:$H$503,_calc!$E$246)),TEXT(INDEX('Inspections'!$H$4:$H$503,_calc!$E$246),"yyyy-mm-dd"),""))</f>
        <v/>
      </c>
      <c r="C244" s="55">
        <f>IF(_calc!$E$246="","","Inspection")</f>
        <v/>
      </c>
      <c r="D244" s="55">
        <f>IF(_calc!$E$246="","",IF(ISNUMBER(INDEX('Inspections'!$G$4:$G$503,_calc!$E$246)),TEXT(INDEX('Inspections'!$G$4:$G$503,_calc!$E$246),"yyyy-mm-dd"),""))</f>
        <v/>
      </c>
      <c r="F244" s="55">
        <f>IF(_calc!$E$246="","",TRIM(IF(LEN(IF(LEN(INDEX('Inspections'!$B$4:$B$503,_calc!$E$246))=0,"",INDEX('Inspections'!$B$4:$B$503,_calc!$E$246)))=0,"","System: "&amp;IF(LEN(INDEX('Inspections'!$B$4:$B$503,_calc!$E$246))=0,"",INDEX('Inspections'!$B$4:$B$503,_calc!$E$246))&amp;". ")&amp;IF(LEN(IF(LEN(INDEX('Inspections'!$D$4:$D$503,_calc!$E$246))=0,"",INDEX('Inspections'!$D$4:$D$503,_calc!$E$246)))=0,"","Every: "&amp;IF(LEN(INDEX('Inspections'!$D$4:$D$503,_calc!$E$246))=0,"",INDEX('Inspections'!$D$4:$D$503,_calc!$E$246))&amp;". ")&amp;IF(LEN(IF(LEN(INDEX('Inspections'!$E$4:$E$503,_calc!$E$246))=0,"",INDEX('Inspections'!$E$4:$E$503,_calc!$E$246)))=0,"","Unit: "&amp;IF(LEN(INDEX('Inspections'!$E$4:$E$503,_calc!$E$246))=0,"",INDEX('Inspections'!$E$4:$E$503,_calc!$E$246))&amp;". ")&amp;IF(LEN(IF(LEN(INDEX('Inspections'!$F$4:$F$503,_calc!$E$246))=0,"",INDEX('Inspections'!$F$4:$F$503,_calc!$E$246)))=0,"","Done by: "&amp;IF(LEN(INDEX('Inspections'!$F$4:$F$503,_calc!$E$246))=0,"",INDEX('Inspections'!$F$4:$F$503,_calc!$E$246))&amp;". ")&amp;IF(LEN(IF(LEN(INDEX('Inspections'!$M$4:$M$503,_calc!$E$246))=0,"",INDEX('Inspections'!$M$4:$M$503,_calc!$E$246)))=0,"","Source: "&amp;IF(LEN(INDEX('Inspections'!$M$4:$M$503,_calc!$E$246))=0,"",INDEX('Inspections'!$M$4:$M$503,_calc!$E$246))&amp;". ")&amp;IF(LEN(IF(LEN(INDEX('Inspections'!$N$4:$N$503,_calc!$E$246))=0,"",INDEX('Inspections'!$N$4:$N$503,_calc!$E$246)))=0,"","Owner: "&amp;IF(LEN(INDEX('Inspections'!$N$4:$N$503,_calc!$E$246))=0,"",INDEX('Inspections'!$N$4:$N$503,_calc!$E$246))&amp;". ")&amp;IF(LEN(IF(LEN(INDEX('Inspections'!$O$4:$O$503,_calc!$E$246))=0,"",INDEX('Inspections'!$O$4:$O$503,_calc!$E$246)))=0,"","Backup: "&amp;IF(LEN(INDEX('Inspections'!$O$4:$O$503,_calc!$E$246))=0,"",INDEX('Inspections'!$O$4:$O$503,_calc!$E$246))&amp;". ")&amp;IF(LEN(IF(LEN(INDEX('Inspections'!$R$4:$R$503,_calc!$E$246))=0,"",INDEX('Inspections'!$R$4:$R$503,_calc!$E$246)))=0,"",IF(LEN(INDEX('Inspections'!$R$4:$R$503,_calc!$E$246))=0,"",INDEX('Inspections'!$R$4:$R$503,_calc!$E$246)))))</f>
        <v/>
      </c>
      <c r="G244" s="55">
        <f>IF(_calc!$E$246="","",IF(LEN(INDEX('Inspections'!$Q$4:$Q$503,_calc!$E$246))=0,"",INDEX('Inspections'!$Q$4:$Q$503,_calc!$E$246)))</f>
        <v/>
      </c>
      <c r="K244" s="55">
        <f>IF(_calc!$E$246="","",IF(LEN(INDEX('Inspections'!$P$4:$P$503,_calc!$E$246))=0,"",INDEX('Inspections'!$P$4:$P$503,_calc!$E$246)))</f>
        <v/>
      </c>
    </row>
    <row r="245">
      <c r="A245" s="55">
        <f>IF(_calc!$E$247="","",IF(LEN(INDEX('Inspections'!$C$4:$C$503,_calc!$E$247))=0,"",INDEX('Inspections'!$C$4:$C$503,_calc!$E$247))&amp;" – "&amp;IF(LEN(INDEX('Inspections'!$A$4:$A$503,_calc!$E$247))=0,"",INDEX('Inspections'!$A$4:$A$503,_calc!$E$247)))</f>
        <v/>
      </c>
      <c r="B245" s="55">
        <f>IF(_calc!$E$247="","",IF(ISNUMBER(INDEX('Inspections'!$H$4:$H$503,_calc!$E$247)),TEXT(INDEX('Inspections'!$H$4:$H$503,_calc!$E$247),"yyyy-mm-dd"),""))</f>
        <v/>
      </c>
      <c r="C245" s="55">
        <f>IF(_calc!$E$247="","","Inspection")</f>
        <v/>
      </c>
      <c r="D245" s="55">
        <f>IF(_calc!$E$247="","",IF(ISNUMBER(INDEX('Inspections'!$G$4:$G$503,_calc!$E$247)),TEXT(INDEX('Inspections'!$G$4:$G$503,_calc!$E$247),"yyyy-mm-dd"),""))</f>
        <v/>
      </c>
      <c r="F245" s="55">
        <f>IF(_calc!$E$247="","",TRIM(IF(LEN(IF(LEN(INDEX('Inspections'!$B$4:$B$503,_calc!$E$247))=0,"",INDEX('Inspections'!$B$4:$B$503,_calc!$E$247)))=0,"","System: "&amp;IF(LEN(INDEX('Inspections'!$B$4:$B$503,_calc!$E$247))=0,"",INDEX('Inspections'!$B$4:$B$503,_calc!$E$247))&amp;". ")&amp;IF(LEN(IF(LEN(INDEX('Inspections'!$D$4:$D$503,_calc!$E$247))=0,"",INDEX('Inspections'!$D$4:$D$503,_calc!$E$247)))=0,"","Every: "&amp;IF(LEN(INDEX('Inspections'!$D$4:$D$503,_calc!$E$247))=0,"",INDEX('Inspections'!$D$4:$D$503,_calc!$E$247))&amp;". ")&amp;IF(LEN(IF(LEN(INDEX('Inspections'!$E$4:$E$503,_calc!$E$247))=0,"",INDEX('Inspections'!$E$4:$E$503,_calc!$E$247)))=0,"","Unit: "&amp;IF(LEN(INDEX('Inspections'!$E$4:$E$503,_calc!$E$247))=0,"",INDEX('Inspections'!$E$4:$E$503,_calc!$E$247))&amp;". ")&amp;IF(LEN(IF(LEN(INDEX('Inspections'!$F$4:$F$503,_calc!$E$247))=0,"",INDEX('Inspections'!$F$4:$F$503,_calc!$E$247)))=0,"","Done by: "&amp;IF(LEN(INDEX('Inspections'!$F$4:$F$503,_calc!$E$247))=0,"",INDEX('Inspections'!$F$4:$F$503,_calc!$E$247))&amp;". ")&amp;IF(LEN(IF(LEN(INDEX('Inspections'!$M$4:$M$503,_calc!$E$247))=0,"",INDEX('Inspections'!$M$4:$M$503,_calc!$E$247)))=0,"","Source: "&amp;IF(LEN(INDEX('Inspections'!$M$4:$M$503,_calc!$E$247))=0,"",INDEX('Inspections'!$M$4:$M$503,_calc!$E$247))&amp;". ")&amp;IF(LEN(IF(LEN(INDEX('Inspections'!$N$4:$N$503,_calc!$E$247))=0,"",INDEX('Inspections'!$N$4:$N$503,_calc!$E$247)))=0,"","Owner: "&amp;IF(LEN(INDEX('Inspections'!$N$4:$N$503,_calc!$E$247))=0,"",INDEX('Inspections'!$N$4:$N$503,_calc!$E$247))&amp;". ")&amp;IF(LEN(IF(LEN(INDEX('Inspections'!$O$4:$O$503,_calc!$E$247))=0,"",INDEX('Inspections'!$O$4:$O$503,_calc!$E$247)))=0,"","Backup: "&amp;IF(LEN(INDEX('Inspections'!$O$4:$O$503,_calc!$E$247))=0,"",INDEX('Inspections'!$O$4:$O$503,_calc!$E$247))&amp;". ")&amp;IF(LEN(IF(LEN(INDEX('Inspections'!$R$4:$R$503,_calc!$E$247))=0,"",INDEX('Inspections'!$R$4:$R$503,_calc!$E$247)))=0,"",IF(LEN(INDEX('Inspections'!$R$4:$R$503,_calc!$E$247))=0,"",INDEX('Inspections'!$R$4:$R$503,_calc!$E$247)))))</f>
        <v/>
      </c>
      <c r="G245" s="55">
        <f>IF(_calc!$E$247="","",IF(LEN(INDEX('Inspections'!$Q$4:$Q$503,_calc!$E$247))=0,"",INDEX('Inspections'!$Q$4:$Q$503,_calc!$E$247)))</f>
        <v/>
      </c>
      <c r="K245" s="55">
        <f>IF(_calc!$E$247="","",IF(LEN(INDEX('Inspections'!$P$4:$P$503,_calc!$E$247))=0,"",INDEX('Inspections'!$P$4:$P$503,_calc!$E$247)))</f>
        <v/>
      </c>
    </row>
    <row r="246">
      <c r="A246" s="55">
        <f>IF(_calc!$E$248="","",IF(LEN(INDEX('Inspections'!$C$4:$C$503,_calc!$E$248))=0,"",INDEX('Inspections'!$C$4:$C$503,_calc!$E$248))&amp;" – "&amp;IF(LEN(INDEX('Inspections'!$A$4:$A$503,_calc!$E$248))=0,"",INDEX('Inspections'!$A$4:$A$503,_calc!$E$248)))</f>
        <v/>
      </c>
      <c r="B246" s="55">
        <f>IF(_calc!$E$248="","",IF(ISNUMBER(INDEX('Inspections'!$H$4:$H$503,_calc!$E$248)),TEXT(INDEX('Inspections'!$H$4:$H$503,_calc!$E$248),"yyyy-mm-dd"),""))</f>
        <v/>
      </c>
      <c r="C246" s="55">
        <f>IF(_calc!$E$248="","","Inspection")</f>
        <v/>
      </c>
      <c r="D246" s="55">
        <f>IF(_calc!$E$248="","",IF(ISNUMBER(INDEX('Inspections'!$G$4:$G$503,_calc!$E$248)),TEXT(INDEX('Inspections'!$G$4:$G$503,_calc!$E$248),"yyyy-mm-dd"),""))</f>
        <v/>
      </c>
      <c r="F246" s="55">
        <f>IF(_calc!$E$248="","",TRIM(IF(LEN(IF(LEN(INDEX('Inspections'!$B$4:$B$503,_calc!$E$248))=0,"",INDEX('Inspections'!$B$4:$B$503,_calc!$E$248)))=0,"","System: "&amp;IF(LEN(INDEX('Inspections'!$B$4:$B$503,_calc!$E$248))=0,"",INDEX('Inspections'!$B$4:$B$503,_calc!$E$248))&amp;". ")&amp;IF(LEN(IF(LEN(INDEX('Inspections'!$D$4:$D$503,_calc!$E$248))=0,"",INDEX('Inspections'!$D$4:$D$503,_calc!$E$248)))=0,"","Every: "&amp;IF(LEN(INDEX('Inspections'!$D$4:$D$503,_calc!$E$248))=0,"",INDEX('Inspections'!$D$4:$D$503,_calc!$E$248))&amp;". ")&amp;IF(LEN(IF(LEN(INDEX('Inspections'!$E$4:$E$503,_calc!$E$248))=0,"",INDEX('Inspections'!$E$4:$E$503,_calc!$E$248)))=0,"","Unit: "&amp;IF(LEN(INDEX('Inspections'!$E$4:$E$503,_calc!$E$248))=0,"",INDEX('Inspections'!$E$4:$E$503,_calc!$E$248))&amp;". ")&amp;IF(LEN(IF(LEN(INDEX('Inspections'!$F$4:$F$503,_calc!$E$248))=0,"",INDEX('Inspections'!$F$4:$F$503,_calc!$E$248)))=0,"","Done by: "&amp;IF(LEN(INDEX('Inspections'!$F$4:$F$503,_calc!$E$248))=0,"",INDEX('Inspections'!$F$4:$F$503,_calc!$E$248))&amp;". ")&amp;IF(LEN(IF(LEN(INDEX('Inspections'!$M$4:$M$503,_calc!$E$248))=0,"",INDEX('Inspections'!$M$4:$M$503,_calc!$E$248)))=0,"","Source: "&amp;IF(LEN(INDEX('Inspections'!$M$4:$M$503,_calc!$E$248))=0,"",INDEX('Inspections'!$M$4:$M$503,_calc!$E$248))&amp;". ")&amp;IF(LEN(IF(LEN(INDEX('Inspections'!$N$4:$N$503,_calc!$E$248))=0,"",INDEX('Inspections'!$N$4:$N$503,_calc!$E$248)))=0,"","Owner: "&amp;IF(LEN(INDEX('Inspections'!$N$4:$N$503,_calc!$E$248))=0,"",INDEX('Inspections'!$N$4:$N$503,_calc!$E$248))&amp;". ")&amp;IF(LEN(IF(LEN(INDEX('Inspections'!$O$4:$O$503,_calc!$E$248))=0,"",INDEX('Inspections'!$O$4:$O$503,_calc!$E$248)))=0,"","Backup: "&amp;IF(LEN(INDEX('Inspections'!$O$4:$O$503,_calc!$E$248))=0,"",INDEX('Inspections'!$O$4:$O$503,_calc!$E$248))&amp;". ")&amp;IF(LEN(IF(LEN(INDEX('Inspections'!$R$4:$R$503,_calc!$E$248))=0,"",INDEX('Inspections'!$R$4:$R$503,_calc!$E$248)))=0,"",IF(LEN(INDEX('Inspections'!$R$4:$R$503,_calc!$E$248))=0,"",INDEX('Inspections'!$R$4:$R$503,_calc!$E$248)))))</f>
        <v/>
      </c>
      <c r="G246" s="55">
        <f>IF(_calc!$E$248="","",IF(LEN(INDEX('Inspections'!$Q$4:$Q$503,_calc!$E$248))=0,"",INDEX('Inspections'!$Q$4:$Q$503,_calc!$E$248)))</f>
        <v/>
      </c>
      <c r="K246" s="55">
        <f>IF(_calc!$E$248="","",IF(LEN(INDEX('Inspections'!$P$4:$P$503,_calc!$E$248))=0,"",INDEX('Inspections'!$P$4:$P$503,_calc!$E$248)))</f>
        <v/>
      </c>
    </row>
    <row r="247">
      <c r="A247" s="55">
        <f>IF(_calc!$E$249="","",IF(LEN(INDEX('Inspections'!$C$4:$C$503,_calc!$E$249))=0,"",INDEX('Inspections'!$C$4:$C$503,_calc!$E$249))&amp;" – "&amp;IF(LEN(INDEX('Inspections'!$A$4:$A$503,_calc!$E$249))=0,"",INDEX('Inspections'!$A$4:$A$503,_calc!$E$249)))</f>
        <v/>
      </c>
      <c r="B247" s="55">
        <f>IF(_calc!$E$249="","",IF(ISNUMBER(INDEX('Inspections'!$H$4:$H$503,_calc!$E$249)),TEXT(INDEX('Inspections'!$H$4:$H$503,_calc!$E$249),"yyyy-mm-dd"),""))</f>
        <v/>
      </c>
      <c r="C247" s="55">
        <f>IF(_calc!$E$249="","","Inspection")</f>
        <v/>
      </c>
      <c r="D247" s="55">
        <f>IF(_calc!$E$249="","",IF(ISNUMBER(INDEX('Inspections'!$G$4:$G$503,_calc!$E$249)),TEXT(INDEX('Inspections'!$G$4:$G$503,_calc!$E$249),"yyyy-mm-dd"),""))</f>
        <v/>
      </c>
      <c r="F247" s="55">
        <f>IF(_calc!$E$249="","",TRIM(IF(LEN(IF(LEN(INDEX('Inspections'!$B$4:$B$503,_calc!$E$249))=0,"",INDEX('Inspections'!$B$4:$B$503,_calc!$E$249)))=0,"","System: "&amp;IF(LEN(INDEX('Inspections'!$B$4:$B$503,_calc!$E$249))=0,"",INDEX('Inspections'!$B$4:$B$503,_calc!$E$249))&amp;". ")&amp;IF(LEN(IF(LEN(INDEX('Inspections'!$D$4:$D$503,_calc!$E$249))=0,"",INDEX('Inspections'!$D$4:$D$503,_calc!$E$249)))=0,"","Every: "&amp;IF(LEN(INDEX('Inspections'!$D$4:$D$503,_calc!$E$249))=0,"",INDEX('Inspections'!$D$4:$D$503,_calc!$E$249))&amp;". ")&amp;IF(LEN(IF(LEN(INDEX('Inspections'!$E$4:$E$503,_calc!$E$249))=0,"",INDEX('Inspections'!$E$4:$E$503,_calc!$E$249)))=0,"","Unit: "&amp;IF(LEN(INDEX('Inspections'!$E$4:$E$503,_calc!$E$249))=0,"",INDEX('Inspections'!$E$4:$E$503,_calc!$E$249))&amp;". ")&amp;IF(LEN(IF(LEN(INDEX('Inspections'!$F$4:$F$503,_calc!$E$249))=0,"",INDEX('Inspections'!$F$4:$F$503,_calc!$E$249)))=0,"","Done by: "&amp;IF(LEN(INDEX('Inspections'!$F$4:$F$503,_calc!$E$249))=0,"",INDEX('Inspections'!$F$4:$F$503,_calc!$E$249))&amp;". ")&amp;IF(LEN(IF(LEN(INDEX('Inspections'!$M$4:$M$503,_calc!$E$249))=0,"",INDEX('Inspections'!$M$4:$M$503,_calc!$E$249)))=0,"","Source: "&amp;IF(LEN(INDEX('Inspections'!$M$4:$M$503,_calc!$E$249))=0,"",INDEX('Inspections'!$M$4:$M$503,_calc!$E$249))&amp;". ")&amp;IF(LEN(IF(LEN(INDEX('Inspections'!$N$4:$N$503,_calc!$E$249))=0,"",INDEX('Inspections'!$N$4:$N$503,_calc!$E$249)))=0,"","Owner: "&amp;IF(LEN(INDEX('Inspections'!$N$4:$N$503,_calc!$E$249))=0,"",INDEX('Inspections'!$N$4:$N$503,_calc!$E$249))&amp;". ")&amp;IF(LEN(IF(LEN(INDEX('Inspections'!$O$4:$O$503,_calc!$E$249))=0,"",INDEX('Inspections'!$O$4:$O$503,_calc!$E$249)))=0,"","Backup: "&amp;IF(LEN(INDEX('Inspections'!$O$4:$O$503,_calc!$E$249))=0,"",INDEX('Inspections'!$O$4:$O$503,_calc!$E$249))&amp;". ")&amp;IF(LEN(IF(LEN(INDEX('Inspections'!$R$4:$R$503,_calc!$E$249))=0,"",INDEX('Inspections'!$R$4:$R$503,_calc!$E$249)))=0,"",IF(LEN(INDEX('Inspections'!$R$4:$R$503,_calc!$E$249))=0,"",INDEX('Inspections'!$R$4:$R$503,_calc!$E$249)))))</f>
        <v/>
      </c>
      <c r="G247" s="55">
        <f>IF(_calc!$E$249="","",IF(LEN(INDEX('Inspections'!$Q$4:$Q$503,_calc!$E$249))=0,"",INDEX('Inspections'!$Q$4:$Q$503,_calc!$E$249)))</f>
        <v/>
      </c>
      <c r="K247" s="55">
        <f>IF(_calc!$E$249="","",IF(LEN(INDEX('Inspections'!$P$4:$P$503,_calc!$E$249))=0,"",INDEX('Inspections'!$P$4:$P$503,_calc!$E$249)))</f>
        <v/>
      </c>
    </row>
    <row r="248">
      <c r="A248" s="55">
        <f>IF(_calc!$E$250="","",IF(LEN(INDEX('Inspections'!$C$4:$C$503,_calc!$E$250))=0,"",INDEX('Inspections'!$C$4:$C$503,_calc!$E$250))&amp;" – "&amp;IF(LEN(INDEX('Inspections'!$A$4:$A$503,_calc!$E$250))=0,"",INDEX('Inspections'!$A$4:$A$503,_calc!$E$250)))</f>
        <v/>
      </c>
      <c r="B248" s="55">
        <f>IF(_calc!$E$250="","",IF(ISNUMBER(INDEX('Inspections'!$H$4:$H$503,_calc!$E$250)),TEXT(INDEX('Inspections'!$H$4:$H$503,_calc!$E$250),"yyyy-mm-dd"),""))</f>
        <v/>
      </c>
      <c r="C248" s="55">
        <f>IF(_calc!$E$250="","","Inspection")</f>
        <v/>
      </c>
      <c r="D248" s="55">
        <f>IF(_calc!$E$250="","",IF(ISNUMBER(INDEX('Inspections'!$G$4:$G$503,_calc!$E$250)),TEXT(INDEX('Inspections'!$G$4:$G$503,_calc!$E$250),"yyyy-mm-dd"),""))</f>
        <v/>
      </c>
      <c r="F248" s="55">
        <f>IF(_calc!$E$250="","",TRIM(IF(LEN(IF(LEN(INDEX('Inspections'!$B$4:$B$503,_calc!$E$250))=0,"",INDEX('Inspections'!$B$4:$B$503,_calc!$E$250)))=0,"","System: "&amp;IF(LEN(INDEX('Inspections'!$B$4:$B$503,_calc!$E$250))=0,"",INDEX('Inspections'!$B$4:$B$503,_calc!$E$250))&amp;". ")&amp;IF(LEN(IF(LEN(INDEX('Inspections'!$D$4:$D$503,_calc!$E$250))=0,"",INDEX('Inspections'!$D$4:$D$503,_calc!$E$250)))=0,"","Every: "&amp;IF(LEN(INDEX('Inspections'!$D$4:$D$503,_calc!$E$250))=0,"",INDEX('Inspections'!$D$4:$D$503,_calc!$E$250))&amp;". ")&amp;IF(LEN(IF(LEN(INDEX('Inspections'!$E$4:$E$503,_calc!$E$250))=0,"",INDEX('Inspections'!$E$4:$E$503,_calc!$E$250)))=0,"","Unit: "&amp;IF(LEN(INDEX('Inspections'!$E$4:$E$503,_calc!$E$250))=0,"",INDEX('Inspections'!$E$4:$E$503,_calc!$E$250))&amp;". ")&amp;IF(LEN(IF(LEN(INDEX('Inspections'!$F$4:$F$503,_calc!$E$250))=0,"",INDEX('Inspections'!$F$4:$F$503,_calc!$E$250)))=0,"","Done by: "&amp;IF(LEN(INDEX('Inspections'!$F$4:$F$503,_calc!$E$250))=0,"",INDEX('Inspections'!$F$4:$F$503,_calc!$E$250))&amp;". ")&amp;IF(LEN(IF(LEN(INDEX('Inspections'!$M$4:$M$503,_calc!$E$250))=0,"",INDEX('Inspections'!$M$4:$M$503,_calc!$E$250)))=0,"","Source: "&amp;IF(LEN(INDEX('Inspections'!$M$4:$M$503,_calc!$E$250))=0,"",INDEX('Inspections'!$M$4:$M$503,_calc!$E$250))&amp;". ")&amp;IF(LEN(IF(LEN(INDEX('Inspections'!$N$4:$N$503,_calc!$E$250))=0,"",INDEX('Inspections'!$N$4:$N$503,_calc!$E$250)))=0,"","Owner: "&amp;IF(LEN(INDEX('Inspections'!$N$4:$N$503,_calc!$E$250))=0,"",INDEX('Inspections'!$N$4:$N$503,_calc!$E$250))&amp;". ")&amp;IF(LEN(IF(LEN(INDEX('Inspections'!$O$4:$O$503,_calc!$E$250))=0,"",INDEX('Inspections'!$O$4:$O$503,_calc!$E$250)))=0,"","Backup: "&amp;IF(LEN(INDEX('Inspections'!$O$4:$O$503,_calc!$E$250))=0,"",INDEX('Inspections'!$O$4:$O$503,_calc!$E$250))&amp;". ")&amp;IF(LEN(IF(LEN(INDEX('Inspections'!$R$4:$R$503,_calc!$E$250))=0,"",INDEX('Inspections'!$R$4:$R$503,_calc!$E$250)))=0,"",IF(LEN(INDEX('Inspections'!$R$4:$R$503,_calc!$E$250))=0,"",INDEX('Inspections'!$R$4:$R$503,_calc!$E$250)))))</f>
        <v/>
      </c>
      <c r="G248" s="55">
        <f>IF(_calc!$E$250="","",IF(LEN(INDEX('Inspections'!$Q$4:$Q$503,_calc!$E$250))=0,"",INDEX('Inspections'!$Q$4:$Q$503,_calc!$E$250)))</f>
        <v/>
      </c>
      <c r="K248" s="55">
        <f>IF(_calc!$E$250="","",IF(LEN(INDEX('Inspections'!$P$4:$P$503,_calc!$E$250))=0,"",INDEX('Inspections'!$P$4:$P$503,_calc!$E$250)))</f>
        <v/>
      </c>
    </row>
    <row r="249">
      <c r="A249" s="55">
        <f>IF(_calc!$E$251="","",IF(LEN(INDEX('Inspections'!$C$4:$C$503,_calc!$E$251))=0,"",INDEX('Inspections'!$C$4:$C$503,_calc!$E$251))&amp;" – "&amp;IF(LEN(INDEX('Inspections'!$A$4:$A$503,_calc!$E$251))=0,"",INDEX('Inspections'!$A$4:$A$503,_calc!$E$251)))</f>
        <v/>
      </c>
      <c r="B249" s="55">
        <f>IF(_calc!$E$251="","",IF(ISNUMBER(INDEX('Inspections'!$H$4:$H$503,_calc!$E$251)),TEXT(INDEX('Inspections'!$H$4:$H$503,_calc!$E$251),"yyyy-mm-dd"),""))</f>
        <v/>
      </c>
      <c r="C249" s="55">
        <f>IF(_calc!$E$251="","","Inspection")</f>
        <v/>
      </c>
      <c r="D249" s="55">
        <f>IF(_calc!$E$251="","",IF(ISNUMBER(INDEX('Inspections'!$G$4:$G$503,_calc!$E$251)),TEXT(INDEX('Inspections'!$G$4:$G$503,_calc!$E$251),"yyyy-mm-dd"),""))</f>
        <v/>
      </c>
      <c r="F249" s="55">
        <f>IF(_calc!$E$251="","",TRIM(IF(LEN(IF(LEN(INDEX('Inspections'!$B$4:$B$503,_calc!$E$251))=0,"",INDEX('Inspections'!$B$4:$B$503,_calc!$E$251)))=0,"","System: "&amp;IF(LEN(INDEX('Inspections'!$B$4:$B$503,_calc!$E$251))=0,"",INDEX('Inspections'!$B$4:$B$503,_calc!$E$251))&amp;". ")&amp;IF(LEN(IF(LEN(INDEX('Inspections'!$D$4:$D$503,_calc!$E$251))=0,"",INDEX('Inspections'!$D$4:$D$503,_calc!$E$251)))=0,"","Every: "&amp;IF(LEN(INDEX('Inspections'!$D$4:$D$503,_calc!$E$251))=0,"",INDEX('Inspections'!$D$4:$D$503,_calc!$E$251))&amp;". ")&amp;IF(LEN(IF(LEN(INDEX('Inspections'!$E$4:$E$503,_calc!$E$251))=0,"",INDEX('Inspections'!$E$4:$E$503,_calc!$E$251)))=0,"","Unit: "&amp;IF(LEN(INDEX('Inspections'!$E$4:$E$503,_calc!$E$251))=0,"",INDEX('Inspections'!$E$4:$E$503,_calc!$E$251))&amp;". ")&amp;IF(LEN(IF(LEN(INDEX('Inspections'!$F$4:$F$503,_calc!$E$251))=0,"",INDEX('Inspections'!$F$4:$F$503,_calc!$E$251)))=0,"","Done by: "&amp;IF(LEN(INDEX('Inspections'!$F$4:$F$503,_calc!$E$251))=0,"",INDEX('Inspections'!$F$4:$F$503,_calc!$E$251))&amp;". ")&amp;IF(LEN(IF(LEN(INDEX('Inspections'!$M$4:$M$503,_calc!$E$251))=0,"",INDEX('Inspections'!$M$4:$M$503,_calc!$E$251)))=0,"","Source: "&amp;IF(LEN(INDEX('Inspections'!$M$4:$M$503,_calc!$E$251))=0,"",INDEX('Inspections'!$M$4:$M$503,_calc!$E$251))&amp;". ")&amp;IF(LEN(IF(LEN(INDEX('Inspections'!$N$4:$N$503,_calc!$E$251))=0,"",INDEX('Inspections'!$N$4:$N$503,_calc!$E$251)))=0,"","Owner: "&amp;IF(LEN(INDEX('Inspections'!$N$4:$N$503,_calc!$E$251))=0,"",INDEX('Inspections'!$N$4:$N$503,_calc!$E$251))&amp;". ")&amp;IF(LEN(IF(LEN(INDEX('Inspections'!$O$4:$O$503,_calc!$E$251))=0,"",INDEX('Inspections'!$O$4:$O$503,_calc!$E$251)))=0,"","Backup: "&amp;IF(LEN(INDEX('Inspections'!$O$4:$O$503,_calc!$E$251))=0,"",INDEX('Inspections'!$O$4:$O$503,_calc!$E$251))&amp;". ")&amp;IF(LEN(IF(LEN(INDEX('Inspections'!$R$4:$R$503,_calc!$E$251))=0,"",INDEX('Inspections'!$R$4:$R$503,_calc!$E$251)))=0,"",IF(LEN(INDEX('Inspections'!$R$4:$R$503,_calc!$E$251))=0,"",INDEX('Inspections'!$R$4:$R$503,_calc!$E$251)))))</f>
        <v/>
      </c>
      <c r="G249" s="55">
        <f>IF(_calc!$E$251="","",IF(LEN(INDEX('Inspections'!$Q$4:$Q$503,_calc!$E$251))=0,"",INDEX('Inspections'!$Q$4:$Q$503,_calc!$E$251)))</f>
        <v/>
      </c>
      <c r="K249" s="55">
        <f>IF(_calc!$E$251="","",IF(LEN(INDEX('Inspections'!$P$4:$P$503,_calc!$E$251))=0,"",INDEX('Inspections'!$P$4:$P$503,_calc!$E$251)))</f>
        <v/>
      </c>
    </row>
    <row r="250">
      <c r="A250" s="55">
        <f>IF(_calc!$E$252="","",IF(LEN(INDEX('Inspections'!$C$4:$C$503,_calc!$E$252))=0,"",INDEX('Inspections'!$C$4:$C$503,_calc!$E$252))&amp;" – "&amp;IF(LEN(INDEX('Inspections'!$A$4:$A$503,_calc!$E$252))=0,"",INDEX('Inspections'!$A$4:$A$503,_calc!$E$252)))</f>
        <v/>
      </c>
      <c r="B250" s="55">
        <f>IF(_calc!$E$252="","",IF(ISNUMBER(INDEX('Inspections'!$H$4:$H$503,_calc!$E$252)),TEXT(INDEX('Inspections'!$H$4:$H$503,_calc!$E$252),"yyyy-mm-dd"),""))</f>
        <v/>
      </c>
      <c r="C250" s="55">
        <f>IF(_calc!$E$252="","","Inspection")</f>
        <v/>
      </c>
      <c r="D250" s="55">
        <f>IF(_calc!$E$252="","",IF(ISNUMBER(INDEX('Inspections'!$G$4:$G$503,_calc!$E$252)),TEXT(INDEX('Inspections'!$G$4:$G$503,_calc!$E$252),"yyyy-mm-dd"),""))</f>
        <v/>
      </c>
      <c r="F250" s="55">
        <f>IF(_calc!$E$252="","",TRIM(IF(LEN(IF(LEN(INDEX('Inspections'!$B$4:$B$503,_calc!$E$252))=0,"",INDEX('Inspections'!$B$4:$B$503,_calc!$E$252)))=0,"","System: "&amp;IF(LEN(INDEX('Inspections'!$B$4:$B$503,_calc!$E$252))=0,"",INDEX('Inspections'!$B$4:$B$503,_calc!$E$252))&amp;". ")&amp;IF(LEN(IF(LEN(INDEX('Inspections'!$D$4:$D$503,_calc!$E$252))=0,"",INDEX('Inspections'!$D$4:$D$503,_calc!$E$252)))=0,"","Every: "&amp;IF(LEN(INDEX('Inspections'!$D$4:$D$503,_calc!$E$252))=0,"",INDEX('Inspections'!$D$4:$D$503,_calc!$E$252))&amp;". ")&amp;IF(LEN(IF(LEN(INDEX('Inspections'!$E$4:$E$503,_calc!$E$252))=0,"",INDEX('Inspections'!$E$4:$E$503,_calc!$E$252)))=0,"","Unit: "&amp;IF(LEN(INDEX('Inspections'!$E$4:$E$503,_calc!$E$252))=0,"",INDEX('Inspections'!$E$4:$E$503,_calc!$E$252))&amp;". ")&amp;IF(LEN(IF(LEN(INDEX('Inspections'!$F$4:$F$503,_calc!$E$252))=0,"",INDEX('Inspections'!$F$4:$F$503,_calc!$E$252)))=0,"","Done by: "&amp;IF(LEN(INDEX('Inspections'!$F$4:$F$503,_calc!$E$252))=0,"",INDEX('Inspections'!$F$4:$F$503,_calc!$E$252))&amp;". ")&amp;IF(LEN(IF(LEN(INDEX('Inspections'!$M$4:$M$503,_calc!$E$252))=0,"",INDEX('Inspections'!$M$4:$M$503,_calc!$E$252)))=0,"","Source: "&amp;IF(LEN(INDEX('Inspections'!$M$4:$M$503,_calc!$E$252))=0,"",INDEX('Inspections'!$M$4:$M$503,_calc!$E$252))&amp;". ")&amp;IF(LEN(IF(LEN(INDEX('Inspections'!$N$4:$N$503,_calc!$E$252))=0,"",INDEX('Inspections'!$N$4:$N$503,_calc!$E$252)))=0,"","Owner: "&amp;IF(LEN(INDEX('Inspections'!$N$4:$N$503,_calc!$E$252))=0,"",INDEX('Inspections'!$N$4:$N$503,_calc!$E$252))&amp;". ")&amp;IF(LEN(IF(LEN(INDEX('Inspections'!$O$4:$O$503,_calc!$E$252))=0,"",INDEX('Inspections'!$O$4:$O$503,_calc!$E$252)))=0,"","Backup: "&amp;IF(LEN(INDEX('Inspections'!$O$4:$O$503,_calc!$E$252))=0,"",INDEX('Inspections'!$O$4:$O$503,_calc!$E$252))&amp;". ")&amp;IF(LEN(IF(LEN(INDEX('Inspections'!$R$4:$R$503,_calc!$E$252))=0,"",INDEX('Inspections'!$R$4:$R$503,_calc!$E$252)))=0,"",IF(LEN(INDEX('Inspections'!$R$4:$R$503,_calc!$E$252))=0,"",INDEX('Inspections'!$R$4:$R$503,_calc!$E$252)))))</f>
        <v/>
      </c>
      <c r="G250" s="55">
        <f>IF(_calc!$E$252="","",IF(LEN(INDEX('Inspections'!$Q$4:$Q$503,_calc!$E$252))=0,"",INDEX('Inspections'!$Q$4:$Q$503,_calc!$E$252)))</f>
        <v/>
      </c>
      <c r="K250" s="55">
        <f>IF(_calc!$E$252="","",IF(LEN(INDEX('Inspections'!$P$4:$P$503,_calc!$E$252))=0,"",INDEX('Inspections'!$P$4:$P$503,_calc!$E$252)))</f>
        <v/>
      </c>
    </row>
    <row r="251">
      <c r="A251" s="55">
        <f>IF(_calc!$E$253="","",IF(LEN(INDEX('Inspections'!$C$4:$C$503,_calc!$E$253))=0,"",INDEX('Inspections'!$C$4:$C$503,_calc!$E$253))&amp;" – "&amp;IF(LEN(INDEX('Inspections'!$A$4:$A$503,_calc!$E$253))=0,"",INDEX('Inspections'!$A$4:$A$503,_calc!$E$253)))</f>
        <v/>
      </c>
      <c r="B251" s="55">
        <f>IF(_calc!$E$253="","",IF(ISNUMBER(INDEX('Inspections'!$H$4:$H$503,_calc!$E$253)),TEXT(INDEX('Inspections'!$H$4:$H$503,_calc!$E$253),"yyyy-mm-dd"),""))</f>
        <v/>
      </c>
      <c r="C251" s="55">
        <f>IF(_calc!$E$253="","","Inspection")</f>
        <v/>
      </c>
      <c r="D251" s="55">
        <f>IF(_calc!$E$253="","",IF(ISNUMBER(INDEX('Inspections'!$G$4:$G$503,_calc!$E$253)),TEXT(INDEX('Inspections'!$G$4:$G$503,_calc!$E$253),"yyyy-mm-dd"),""))</f>
        <v/>
      </c>
      <c r="F251" s="55">
        <f>IF(_calc!$E$253="","",TRIM(IF(LEN(IF(LEN(INDEX('Inspections'!$B$4:$B$503,_calc!$E$253))=0,"",INDEX('Inspections'!$B$4:$B$503,_calc!$E$253)))=0,"","System: "&amp;IF(LEN(INDEX('Inspections'!$B$4:$B$503,_calc!$E$253))=0,"",INDEX('Inspections'!$B$4:$B$503,_calc!$E$253))&amp;". ")&amp;IF(LEN(IF(LEN(INDEX('Inspections'!$D$4:$D$503,_calc!$E$253))=0,"",INDEX('Inspections'!$D$4:$D$503,_calc!$E$253)))=0,"","Every: "&amp;IF(LEN(INDEX('Inspections'!$D$4:$D$503,_calc!$E$253))=0,"",INDEX('Inspections'!$D$4:$D$503,_calc!$E$253))&amp;". ")&amp;IF(LEN(IF(LEN(INDEX('Inspections'!$E$4:$E$503,_calc!$E$253))=0,"",INDEX('Inspections'!$E$4:$E$503,_calc!$E$253)))=0,"","Unit: "&amp;IF(LEN(INDEX('Inspections'!$E$4:$E$503,_calc!$E$253))=0,"",INDEX('Inspections'!$E$4:$E$503,_calc!$E$253))&amp;". ")&amp;IF(LEN(IF(LEN(INDEX('Inspections'!$F$4:$F$503,_calc!$E$253))=0,"",INDEX('Inspections'!$F$4:$F$503,_calc!$E$253)))=0,"","Done by: "&amp;IF(LEN(INDEX('Inspections'!$F$4:$F$503,_calc!$E$253))=0,"",INDEX('Inspections'!$F$4:$F$503,_calc!$E$253))&amp;". ")&amp;IF(LEN(IF(LEN(INDEX('Inspections'!$M$4:$M$503,_calc!$E$253))=0,"",INDEX('Inspections'!$M$4:$M$503,_calc!$E$253)))=0,"","Source: "&amp;IF(LEN(INDEX('Inspections'!$M$4:$M$503,_calc!$E$253))=0,"",INDEX('Inspections'!$M$4:$M$503,_calc!$E$253))&amp;". ")&amp;IF(LEN(IF(LEN(INDEX('Inspections'!$N$4:$N$503,_calc!$E$253))=0,"",INDEX('Inspections'!$N$4:$N$503,_calc!$E$253)))=0,"","Owner: "&amp;IF(LEN(INDEX('Inspections'!$N$4:$N$503,_calc!$E$253))=0,"",INDEX('Inspections'!$N$4:$N$503,_calc!$E$253))&amp;". ")&amp;IF(LEN(IF(LEN(INDEX('Inspections'!$O$4:$O$503,_calc!$E$253))=0,"",INDEX('Inspections'!$O$4:$O$503,_calc!$E$253)))=0,"","Backup: "&amp;IF(LEN(INDEX('Inspections'!$O$4:$O$503,_calc!$E$253))=0,"",INDEX('Inspections'!$O$4:$O$503,_calc!$E$253))&amp;". ")&amp;IF(LEN(IF(LEN(INDEX('Inspections'!$R$4:$R$503,_calc!$E$253))=0,"",INDEX('Inspections'!$R$4:$R$503,_calc!$E$253)))=0,"",IF(LEN(INDEX('Inspections'!$R$4:$R$503,_calc!$E$253))=0,"",INDEX('Inspections'!$R$4:$R$503,_calc!$E$253)))))</f>
        <v/>
      </c>
      <c r="G251" s="55">
        <f>IF(_calc!$E$253="","",IF(LEN(INDEX('Inspections'!$Q$4:$Q$503,_calc!$E$253))=0,"",INDEX('Inspections'!$Q$4:$Q$503,_calc!$E$253)))</f>
        <v/>
      </c>
      <c r="K251" s="55">
        <f>IF(_calc!$E$253="","",IF(LEN(INDEX('Inspections'!$P$4:$P$503,_calc!$E$253))=0,"",INDEX('Inspections'!$P$4:$P$503,_calc!$E$253)))</f>
        <v/>
      </c>
    </row>
    <row r="252">
      <c r="A252" s="55">
        <f>IF(_calc!$E$254="","",IF(LEN(INDEX('Inspections'!$C$4:$C$503,_calc!$E$254))=0,"",INDEX('Inspections'!$C$4:$C$503,_calc!$E$254))&amp;" – "&amp;IF(LEN(INDEX('Inspections'!$A$4:$A$503,_calc!$E$254))=0,"",INDEX('Inspections'!$A$4:$A$503,_calc!$E$254)))</f>
        <v/>
      </c>
      <c r="B252" s="55">
        <f>IF(_calc!$E$254="","",IF(ISNUMBER(INDEX('Inspections'!$H$4:$H$503,_calc!$E$254)),TEXT(INDEX('Inspections'!$H$4:$H$503,_calc!$E$254),"yyyy-mm-dd"),""))</f>
        <v/>
      </c>
      <c r="C252" s="55">
        <f>IF(_calc!$E$254="","","Inspection")</f>
        <v/>
      </c>
      <c r="D252" s="55">
        <f>IF(_calc!$E$254="","",IF(ISNUMBER(INDEX('Inspections'!$G$4:$G$503,_calc!$E$254)),TEXT(INDEX('Inspections'!$G$4:$G$503,_calc!$E$254),"yyyy-mm-dd"),""))</f>
        <v/>
      </c>
      <c r="F252" s="55">
        <f>IF(_calc!$E$254="","",TRIM(IF(LEN(IF(LEN(INDEX('Inspections'!$B$4:$B$503,_calc!$E$254))=0,"",INDEX('Inspections'!$B$4:$B$503,_calc!$E$254)))=0,"","System: "&amp;IF(LEN(INDEX('Inspections'!$B$4:$B$503,_calc!$E$254))=0,"",INDEX('Inspections'!$B$4:$B$503,_calc!$E$254))&amp;". ")&amp;IF(LEN(IF(LEN(INDEX('Inspections'!$D$4:$D$503,_calc!$E$254))=0,"",INDEX('Inspections'!$D$4:$D$503,_calc!$E$254)))=0,"","Every: "&amp;IF(LEN(INDEX('Inspections'!$D$4:$D$503,_calc!$E$254))=0,"",INDEX('Inspections'!$D$4:$D$503,_calc!$E$254))&amp;". ")&amp;IF(LEN(IF(LEN(INDEX('Inspections'!$E$4:$E$503,_calc!$E$254))=0,"",INDEX('Inspections'!$E$4:$E$503,_calc!$E$254)))=0,"","Unit: "&amp;IF(LEN(INDEX('Inspections'!$E$4:$E$503,_calc!$E$254))=0,"",INDEX('Inspections'!$E$4:$E$503,_calc!$E$254))&amp;". ")&amp;IF(LEN(IF(LEN(INDEX('Inspections'!$F$4:$F$503,_calc!$E$254))=0,"",INDEX('Inspections'!$F$4:$F$503,_calc!$E$254)))=0,"","Done by: "&amp;IF(LEN(INDEX('Inspections'!$F$4:$F$503,_calc!$E$254))=0,"",INDEX('Inspections'!$F$4:$F$503,_calc!$E$254))&amp;". ")&amp;IF(LEN(IF(LEN(INDEX('Inspections'!$M$4:$M$503,_calc!$E$254))=0,"",INDEX('Inspections'!$M$4:$M$503,_calc!$E$254)))=0,"","Source: "&amp;IF(LEN(INDEX('Inspections'!$M$4:$M$503,_calc!$E$254))=0,"",INDEX('Inspections'!$M$4:$M$503,_calc!$E$254))&amp;". ")&amp;IF(LEN(IF(LEN(INDEX('Inspections'!$N$4:$N$503,_calc!$E$254))=0,"",INDEX('Inspections'!$N$4:$N$503,_calc!$E$254)))=0,"","Owner: "&amp;IF(LEN(INDEX('Inspections'!$N$4:$N$503,_calc!$E$254))=0,"",INDEX('Inspections'!$N$4:$N$503,_calc!$E$254))&amp;". ")&amp;IF(LEN(IF(LEN(INDEX('Inspections'!$O$4:$O$503,_calc!$E$254))=0,"",INDEX('Inspections'!$O$4:$O$503,_calc!$E$254)))=0,"","Backup: "&amp;IF(LEN(INDEX('Inspections'!$O$4:$O$503,_calc!$E$254))=0,"",INDEX('Inspections'!$O$4:$O$503,_calc!$E$254))&amp;". ")&amp;IF(LEN(IF(LEN(INDEX('Inspections'!$R$4:$R$503,_calc!$E$254))=0,"",INDEX('Inspections'!$R$4:$R$503,_calc!$E$254)))=0,"",IF(LEN(INDEX('Inspections'!$R$4:$R$503,_calc!$E$254))=0,"",INDEX('Inspections'!$R$4:$R$503,_calc!$E$254)))))</f>
        <v/>
      </c>
      <c r="G252" s="55">
        <f>IF(_calc!$E$254="","",IF(LEN(INDEX('Inspections'!$Q$4:$Q$503,_calc!$E$254))=0,"",INDEX('Inspections'!$Q$4:$Q$503,_calc!$E$254)))</f>
        <v/>
      </c>
      <c r="K252" s="55">
        <f>IF(_calc!$E$254="","",IF(LEN(INDEX('Inspections'!$P$4:$P$503,_calc!$E$254))=0,"",INDEX('Inspections'!$P$4:$P$503,_calc!$E$254)))</f>
        <v/>
      </c>
    </row>
    <row r="253">
      <c r="A253" s="55">
        <f>IF(_calc!$E$255="","",IF(LEN(INDEX('Inspections'!$C$4:$C$503,_calc!$E$255))=0,"",INDEX('Inspections'!$C$4:$C$503,_calc!$E$255))&amp;" – "&amp;IF(LEN(INDEX('Inspections'!$A$4:$A$503,_calc!$E$255))=0,"",INDEX('Inspections'!$A$4:$A$503,_calc!$E$255)))</f>
        <v/>
      </c>
      <c r="B253" s="55">
        <f>IF(_calc!$E$255="","",IF(ISNUMBER(INDEX('Inspections'!$H$4:$H$503,_calc!$E$255)),TEXT(INDEX('Inspections'!$H$4:$H$503,_calc!$E$255),"yyyy-mm-dd"),""))</f>
        <v/>
      </c>
      <c r="C253" s="55">
        <f>IF(_calc!$E$255="","","Inspection")</f>
        <v/>
      </c>
      <c r="D253" s="55">
        <f>IF(_calc!$E$255="","",IF(ISNUMBER(INDEX('Inspections'!$G$4:$G$503,_calc!$E$255)),TEXT(INDEX('Inspections'!$G$4:$G$503,_calc!$E$255),"yyyy-mm-dd"),""))</f>
        <v/>
      </c>
      <c r="F253" s="55">
        <f>IF(_calc!$E$255="","",TRIM(IF(LEN(IF(LEN(INDEX('Inspections'!$B$4:$B$503,_calc!$E$255))=0,"",INDEX('Inspections'!$B$4:$B$503,_calc!$E$255)))=0,"","System: "&amp;IF(LEN(INDEX('Inspections'!$B$4:$B$503,_calc!$E$255))=0,"",INDEX('Inspections'!$B$4:$B$503,_calc!$E$255))&amp;". ")&amp;IF(LEN(IF(LEN(INDEX('Inspections'!$D$4:$D$503,_calc!$E$255))=0,"",INDEX('Inspections'!$D$4:$D$503,_calc!$E$255)))=0,"","Every: "&amp;IF(LEN(INDEX('Inspections'!$D$4:$D$503,_calc!$E$255))=0,"",INDEX('Inspections'!$D$4:$D$503,_calc!$E$255))&amp;". ")&amp;IF(LEN(IF(LEN(INDEX('Inspections'!$E$4:$E$503,_calc!$E$255))=0,"",INDEX('Inspections'!$E$4:$E$503,_calc!$E$255)))=0,"","Unit: "&amp;IF(LEN(INDEX('Inspections'!$E$4:$E$503,_calc!$E$255))=0,"",INDEX('Inspections'!$E$4:$E$503,_calc!$E$255))&amp;". ")&amp;IF(LEN(IF(LEN(INDEX('Inspections'!$F$4:$F$503,_calc!$E$255))=0,"",INDEX('Inspections'!$F$4:$F$503,_calc!$E$255)))=0,"","Done by: "&amp;IF(LEN(INDEX('Inspections'!$F$4:$F$503,_calc!$E$255))=0,"",INDEX('Inspections'!$F$4:$F$503,_calc!$E$255))&amp;". ")&amp;IF(LEN(IF(LEN(INDEX('Inspections'!$M$4:$M$503,_calc!$E$255))=0,"",INDEX('Inspections'!$M$4:$M$503,_calc!$E$255)))=0,"","Source: "&amp;IF(LEN(INDEX('Inspections'!$M$4:$M$503,_calc!$E$255))=0,"",INDEX('Inspections'!$M$4:$M$503,_calc!$E$255))&amp;". ")&amp;IF(LEN(IF(LEN(INDEX('Inspections'!$N$4:$N$503,_calc!$E$255))=0,"",INDEX('Inspections'!$N$4:$N$503,_calc!$E$255)))=0,"","Owner: "&amp;IF(LEN(INDEX('Inspections'!$N$4:$N$503,_calc!$E$255))=0,"",INDEX('Inspections'!$N$4:$N$503,_calc!$E$255))&amp;". ")&amp;IF(LEN(IF(LEN(INDEX('Inspections'!$O$4:$O$503,_calc!$E$255))=0,"",INDEX('Inspections'!$O$4:$O$503,_calc!$E$255)))=0,"","Backup: "&amp;IF(LEN(INDEX('Inspections'!$O$4:$O$503,_calc!$E$255))=0,"",INDEX('Inspections'!$O$4:$O$503,_calc!$E$255))&amp;". ")&amp;IF(LEN(IF(LEN(INDEX('Inspections'!$R$4:$R$503,_calc!$E$255))=0,"",INDEX('Inspections'!$R$4:$R$503,_calc!$E$255)))=0,"",IF(LEN(INDEX('Inspections'!$R$4:$R$503,_calc!$E$255))=0,"",INDEX('Inspections'!$R$4:$R$503,_calc!$E$255)))))</f>
        <v/>
      </c>
      <c r="G253" s="55">
        <f>IF(_calc!$E$255="","",IF(LEN(INDEX('Inspections'!$Q$4:$Q$503,_calc!$E$255))=0,"",INDEX('Inspections'!$Q$4:$Q$503,_calc!$E$255)))</f>
        <v/>
      </c>
      <c r="K253" s="55">
        <f>IF(_calc!$E$255="","",IF(LEN(INDEX('Inspections'!$P$4:$P$503,_calc!$E$255))=0,"",INDEX('Inspections'!$P$4:$P$503,_calc!$E$255)))</f>
        <v/>
      </c>
    </row>
    <row r="254">
      <c r="A254" s="55">
        <f>IF(_calc!$E$256="","",IF(LEN(INDEX('Inspections'!$C$4:$C$503,_calc!$E$256))=0,"",INDEX('Inspections'!$C$4:$C$503,_calc!$E$256))&amp;" – "&amp;IF(LEN(INDEX('Inspections'!$A$4:$A$503,_calc!$E$256))=0,"",INDEX('Inspections'!$A$4:$A$503,_calc!$E$256)))</f>
        <v/>
      </c>
      <c r="B254" s="55">
        <f>IF(_calc!$E$256="","",IF(ISNUMBER(INDEX('Inspections'!$H$4:$H$503,_calc!$E$256)),TEXT(INDEX('Inspections'!$H$4:$H$503,_calc!$E$256),"yyyy-mm-dd"),""))</f>
        <v/>
      </c>
      <c r="C254" s="55">
        <f>IF(_calc!$E$256="","","Inspection")</f>
        <v/>
      </c>
      <c r="D254" s="55">
        <f>IF(_calc!$E$256="","",IF(ISNUMBER(INDEX('Inspections'!$G$4:$G$503,_calc!$E$256)),TEXT(INDEX('Inspections'!$G$4:$G$503,_calc!$E$256),"yyyy-mm-dd"),""))</f>
        <v/>
      </c>
      <c r="F254" s="55">
        <f>IF(_calc!$E$256="","",TRIM(IF(LEN(IF(LEN(INDEX('Inspections'!$B$4:$B$503,_calc!$E$256))=0,"",INDEX('Inspections'!$B$4:$B$503,_calc!$E$256)))=0,"","System: "&amp;IF(LEN(INDEX('Inspections'!$B$4:$B$503,_calc!$E$256))=0,"",INDEX('Inspections'!$B$4:$B$503,_calc!$E$256))&amp;". ")&amp;IF(LEN(IF(LEN(INDEX('Inspections'!$D$4:$D$503,_calc!$E$256))=0,"",INDEX('Inspections'!$D$4:$D$503,_calc!$E$256)))=0,"","Every: "&amp;IF(LEN(INDEX('Inspections'!$D$4:$D$503,_calc!$E$256))=0,"",INDEX('Inspections'!$D$4:$D$503,_calc!$E$256))&amp;". ")&amp;IF(LEN(IF(LEN(INDEX('Inspections'!$E$4:$E$503,_calc!$E$256))=0,"",INDEX('Inspections'!$E$4:$E$503,_calc!$E$256)))=0,"","Unit: "&amp;IF(LEN(INDEX('Inspections'!$E$4:$E$503,_calc!$E$256))=0,"",INDEX('Inspections'!$E$4:$E$503,_calc!$E$256))&amp;". ")&amp;IF(LEN(IF(LEN(INDEX('Inspections'!$F$4:$F$503,_calc!$E$256))=0,"",INDEX('Inspections'!$F$4:$F$503,_calc!$E$256)))=0,"","Done by: "&amp;IF(LEN(INDEX('Inspections'!$F$4:$F$503,_calc!$E$256))=0,"",INDEX('Inspections'!$F$4:$F$503,_calc!$E$256))&amp;". ")&amp;IF(LEN(IF(LEN(INDEX('Inspections'!$M$4:$M$503,_calc!$E$256))=0,"",INDEX('Inspections'!$M$4:$M$503,_calc!$E$256)))=0,"","Source: "&amp;IF(LEN(INDEX('Inspections'!$M$4:$M$503,_calc!$E$256))=0,"",INDEX('Inspections'!$M$4:$M$503,_calc!$E$256))&amp;". ")&amp;IF(LEN(IF(LEN(INDEX('Inspections'!$N$4:$N$503,_calc!$E$256))=0,"",INDEX('Inspections'!$N$4:$N$503,_calc!$E$256)))=0,"","Owner: "&amp;IF(LEN(INDEX('Inspections'!$N$4:$N$503,_calc!$E$256))=0,"",INDEX('Inspections'!$N$4:$N$503,_calc!$E$256))&amp;". ")&amp;IF(LEN(IF(LEN(INDEX('Inspections'!$O$4:$O$503,_calc!$E$256))=0,"",INDEX('Inspections'!$O$4:$O$503,_calc!$E$256)))=0,"","Backup: "&amp;IF(LEN(INDEX('Inspections'!$O$4:$O$503,_calc!$E$256))=0,"",INDEX('Inspections'!$O$4:$O$503,_calc!$E$256))&amp;". ")&amp;IF(LEN(IF(LEN(INDEX('Inspections'!$R$4:$R$503,_calc!$E$256))=0,"",INDEX('Inspections'!$R$4:$R$503,_calc!$E$256)))=0,"",IF(LEN(INDEX('Inspections'!$R$4:$R$503,_calc!$E$256))=0,"",INDEX('Inspections'!$R$4:$R$503,_calc!$E$256)))))</f>
        <v/>
      </c>
      <c r="G254" s="55">
        <f>IF(_calc!$E$256="","",IF(LEN(INDEX('Inspections'!$Q$4:$Q$503,_calc!$E$256))=0,"",INDEX('Inspections'!$Q$4:$Q$503,_calc!$E$256)))</f>
        <v/>
      </c>
      <c r="K254" s="55">
        <f>IF(_calc!$E$256="","",IF(LEN(INDEX('Inspections'!$P$4:$P$503,_calc!$E$256))=0,"",INDEX('Inspections'!$P$4:$P$503,_calc!$E$256)))</f>
        <v/>
      </c>
    </row>
    <row r="255">
      <c r="A255" s="55">
        <f>IF(_calc!$E$257="","",IF(LEN(INDEX('Inspections'!$C$4:$C$503,_calc!$E$257))=0,"",INDEX('Inspections'!$C$4:$C$503,_calc!$E$257))&amp;" – "&amp;IF(LEN(INDEX('Inspections'!$A$4:$A$503,_calc!$E$257))=0,"",INDEX('Inspections'!$A$4:$A$503,_calc!$E$257)))</f>
        <v/>
      </c>
      <c r="B255" s="55">
        <f>IF(_calc!$E$257="","",IF(ISNUMBER(INDEX('Inspections'!$H$4:$H$503,_calc!$E$257)),TEXT(INDEX('Inspections'!$H$4:$H$503,_calc!$E$257),"yyyy-mm-dd"),""))</f>
        <v/>
      </c>
      <c r="C255" s="55">
        <f>IF(_calc!$E$257="","","Inspection")</f>
        <v/>
      </c>
      <c r="D255" s="55">
        <f>IF(_calc!$E$257="","",IF(ISNUMBER(INDEX('Inspections'!$G$4:$G$503,_calc!$E$257)),TEXT(INDEX('Inspections'!$G$4:$G$503,_calc!$E$257),"yyyy-mm-dd"),""))</f>
        <v/>
      </c>
      <c r="F255" s="55">
        <f>IF(_calc!$E$257="","",TRIM(IF(LEN(IF(LEN(INDEX('Inspections'!$B$4:$B$503,_calc!$E$257))=0,"",INDEX('Inspections'!$B$4:$B$503,_calc!$E$257)))=0,"","System: "&amp;IF(LEN(INDEX('Inspections'!$B$4:$B$503,_calc!$E$257))=0,"",INDEX('Inspections'!$B$4:$B$503,_calc!$E$257))&amp;". ")&amp;IF(LEN(IF(LEN(INDEX('Inspections'!$D$4:$D$503,_calc!$E$257))=0,"",INDEX('Inspections'!$D$4:$D$503,_calc!$E$257)))=0,"","Every: "&amp;IF(LEN(INDEX('Inspections'!$D$4:$D$503,_calc!$E$257))=0,"",INDEX('Inspections'!$D$4:$D$503,_calc!$E$257))&amp;". ")&amp;IF(LEN(IF(LEN(INDEX('Inspections'!$E$4:$E$503,_calc!$E$257))=0,"",INDEX('Inspections'!$E$4:$E$503,_calc!$E$257)))=0,"","Unit: "&amp;IF(LEN(INDEX('Inspections'!$E$4:$E$503,_calc!$E$257))=0,"",INDEX('Inspections'!$E$4:$E$503,_calc!$E$257))&amp;". ")&amp;IF(LEN(IF(LEN(INDEX('Inspections'!$F$4:$F$503,_calc!$E$257))=0,"",INDEX('Inspections'!$F$4:$F$503,_calc!$E$257)))=0,"","Done by: "&amp;IF(LEN(INDEX('Inspections'!$F$4:$F$503,_calc!$E$257))=0,"",INDEX('Inspections'!$F$4:$F$503,_calc!$E$257))&amp;". ")&amp;IF(LEN(IF(LEN(INDEX('Inspections'!$M$4:$M$503,_calc!$E$257))=0,"",INDEX('Inspections'!$M$4:$M$503,_calc!$E$257)))=0,"","Source: "&amp;IF(LEN(INDEX('Inspections'!$M$4:$M$503,_calc!$E$257))=0,"",INDEX('Inspections'!$M$4:$M$503,_calc!$E$257))&amp;". ")&amp;IF(LEN(IF(LEN(INDEX('Inspections'!$N$4:$N$503,_calc!$E$257))=0,"",INDEX('Inspections'!$N$4:$N$503,_calc!$E$257)))=0,"","Owner: "&amp;IF(LEN(INDEX('Inspections'!$N$4:$N$503,_calc!$E$257))=0,"",INDEX('Inspections'!$N$4:$N$503,_calc!$E$257))&amp;". ")&amp;IF(LEN(IF(LEN(INDEX('Inspections'!$O$4:$O$503,_calc!$E$257))=0,"",INDEX('Inspections'!$O$4:$O$503,_calc!$E$257)))=0,"","Backup: "&amp;IF(LEN(INDEX('Inspections'!$O$4:$O$503,_calc!$E$257))=0,"",INDEX('Inspections'!$O$4:$O$503,_calc!$E$257))&amp;". ")&amp;IF(LEN(IF(LEN(INDEX('Inspections'!$R$4:$R$503,_calc!$E$257))=0,"",INDEX('Inspections'!$R$4:$R$503,_calc!$E$257)))=0,"",IF(LEN(INDEX('Inspections'!$R$4:$R$503,_calc!$E$257))=0,"",INDEX('Inspections'!$R$4:$R$503,_calc!$E$257)))))</f>
        <v/>
      </c>
      <c r="G255" s="55">
        <f>IF(_calc!$E$257="","",IF(LEN(INDEX('Inspections'!$Q$4:$Q$503,_calc!$E$257))=0,"",INDEX('Inspections'!$Q$4:$Q$503,_calc!$E$257)))</f>
        <v/>
      </c>
      <c r="K255" s="55">
        <f>IF(_calc!$E$257="","",IF(LEN(INDEX('Inspections'!$P$4:$P$503,_calc!$E$257))=0,"",INDEX('Inspections'!$P$4:$P$503,_calc!$E$257)))</f>
        <v/>
      </c>
    </row>
    <row r="256">
      <c r="A256" s="55">
        <f>IF(_calc!$E$258="","",IF(LEN(INDEX('Inspections'!$C$4:$C$503,_calc!$E$258))=0,"",INDEX('Inspections'!$C$4:$C$503,_calc!$E$258))&amp;" – "&amp;IF(LEN(INDEX('Inspections'!$A$4:$A$503,_calc!$E$258))=0,"",INDEX('Inspections'!$A$4:$A$503,_calc!$E$258)))</f>
        <v/>
      </c>
      <c r="B256" s="55">
        <f>IF(_calc!$E$258="","",IF(ISNUMBER(INDEX('Inspections'!$H$4:$H$503,_calc!$E$258)),TEXT(INDEX('Inspections'!$H$4:$H$503,_calc!$E$258),"yyyy-mm-dd"),""))</f>
        <v/>
      </c>
      <c r="C256" s="55">
        <f>IF(_calc!$E$258="","","Inspection")</f>
        <v/>
      </c>
      <c r="D256" s="55">
        <f>IF(_calc!$E$258="","",IF(ISNUMBER(INDEX('Inspections'!$G$4:$G$503,_calc!$E$258)),TEXT(INDEX('Inspections'!$G$4:$G$503,_calc!$E$258),"yyyy-mm-dd"),""))</f>
        <v/>
      </c>
      <c r="F256" s="55">
        <f>IF(_calc!$E$258="","",TRIM(IF(LEN(IF(LEN(INDEX('Inspections'!$B$4:$B$503,_calc!$E$258))=0,"",INDEX('Inspections'!$B$4:$B$503,_calc!$E$258)))=0,"","System: "&amp;IF(LEN(INDEX('Inspections'!$B$4:$B$503,_calc!$E$258))=0,"",INDEX('Inspections'!$B$4:$B$503,_calc!$E$258))&amp;". ")&amp;IF(LEN(IF(LEN(INDEX('Inspections'!$D$4:$D$503,_calc!$E$258))=0,"",INDEX('Inspections'!$D$4:$D$503,_calc!$E$258)))=0,"","Every: "&amp;IF(LEN(INDEX('Inspections'!$D$4:$D$503,_calc!$E$258))=0,"",INDEX('Inspections'!$D$4:$D$503,_calc!$E$258))&amp;". ")&amp;IF(LEN(IF(LEN(INDEX('Inspections'!$E$4:$E$503,_calc!$E$258))=0,"",INDEX('Inspections'!$E$4:$E$503,_calc!$E$258)))=0,"","Unit: "&amp;IF(LEN(INDEX('Inspections'!$E$4:$E$503,_calc!$E$258))=0,"",INDEX('Inspections'!$E$4:$E$503,_calc!$E$258))&amp;". ")&amp;IF(LEN(IF(LEN(INDEX('Inspections'!$F$4:$F$503,_calc!$E$258))=0,"",INDEX('Inspections'!$F$4:$F$503,_calc!$E$258)))=0,"","Done by: "&amp;IF(LEN(INDEX('Inspections'!$F$4:$F$503,_calc!$E$258))=0,"",INDEX('Inspections'!$F$4:$F$503,_calc!$E$258))&amp;". ")&amp;IF(LEN(IF(LEN(INDEX('Inspections'!$M$4:$M$503,_calc!$E$258))=0,"",INDEX('Inspections'!$M$4:$M$503,_calc!$E$258)))=0,"","Source: "&amp;IF(LEN(INDEX('Inspections'!$M$4:$M$503,_calc!$E$258))=0,"",INDEX('Inspections'!$M$4:$M$503,_calc!$E$258))&amp;". ")&amp;IF(LEN(IF(LEN(INDEX('Inspections'!$N$4:$N$503,_calc!$E$258))=0,"",INDEX('Inspections'!$N$4:$N$503,_calc!$E$258)))=0,"","Owner: "&amp;IF(LEN(INDEX('Inspections'!$N$4:$N$503,_calc!$E$258))=0,"",INDEX('Inspections'!$N$4:$N$503,_calc!$E$258))&amp;". ")&amp;IF(LEN(IF(LEN(INDEX('Inspections'!$O$4:$O$503,_calc!$E$258))=0,"",INDEX('Inspections'!$O$4:$O$503,_calc!$E$258)))=0,"","Backup: "&amp;IF(LEN(INDEX('Inspections'!$O$4:$O$503,_calc!$E$258))=0,"",INDEX('Inspections'!$O$4:$O$503,_calc!$E$258))&amp;". ")&amp;IF(LEN(IF(LEN(INDEX('Inspections'!$R$4:$R$503,_calc!$E$258))=0,"",INDEX('Inspections'!$R$4:$R$503,_calc!$E$258)))=0,"",IF(LEN(INDEX('Inspections'!$R$4:$R$503,_calc!$E$258))=0,"",INDEX('Inspections'!$R$4:$R$503,_calc!$E$258)))))</f>
        <v/>
      </c>
      <c r="G256" s="55">
        <f>IF(_calc!$E$258="","",IF(LEN(INDEX('Inspections'!$Q$4:$Q$503,_calc!$E$258))=0,"",INDEX('Inspections'!$Q$4:$Q$503,_calc!$E$258)))</f>
        <v/>
      </c>
      <c r="K256" s="55">
        <f>IF(_calc!$E$258="","",IF(LEN(INDEX('Inspections'!$P$4:$P$503,_calc!$E$258))=0,"",INDEX('Inspections'!$P$4:$P$503,_calc!$E$258)))</f>
        <v/>
      </c>
    </row>
    <row r="257">
      <c r="A257" s="55">
        <f>IF(_calc!$E$259="","",IF(LEN(INDEX('Inspections'!$C$4:$C$503,_calc!$E$259))=0,"",INDEX('Inspections'!$C$4:$C$503,_calc!$E$259))&amp;" – "&amp;IF(LEN(INDEX('Inspections'!$A$4:$A$503,_calc!$E$259))=0,"",INDEX('Inspections'!$A$4:$A$503,_calc!$E$259)))</f>
        <v/>
      </c>
      <c r="B257" s="55">
        <f>IF(_calc!$E$259="","",IF(ISNUMBER(INDEX('Inspections'!$H$4:$H$503,_calc!$E$259)),TEXT(INDEX('Inspections'!$H$4:$H$503,_calc!$E$259),"yyyy-mm-dd"),""))</f>
        <v/>
      </c>
      <c r="C257" s="55">
        <f>IF(_calc!$E$259="","","Inspection")</f>
        <v/>
      </c>
      <c r="D257" s="55">
        <f>IF(_calc!$E$259="","",IF(ISNUMBER(INDEX('Inspections'!$G$4:$G$503,_calc!$E$259)),TEXT(INDEX('Inspections'!$G$4:$G$503,_calc!$E$259),"yyyy-mm-dd"),""))</f>
        <v/>
      </c>
      <c r="F257" s="55">
        <f>IF(_calc!$E$259="","",TRIM(IF(LEN(IF(LEN(INDEX('Inspections'!$B$4:$B$503,_calc!$E$259))=0,"",INDEX('Inspections'!$B$4:$B$503,_calc!$E$259)))=0,"","System: "&amp;IF(LEN(INDEX('Inspections'!$B$4:$B$503,_calc!$E$259))=0,"",INDEX('Inspections'!$B$4:$B$503,_calc!$E$259))&amp;". ")&amp;IF(LEN(IF(LEN(INDEX('Inspections'!$D$4:$D$503,_calc!$E$259))=0,"",INDEX('Inspections'!$D$4:$D$503,_calc!$E$259)))=0,"","Every: "&amp;IF(LEN(INDEX('Inspections'!$D$4:$D$503,_calc!$E$259))=0,"",INDEX('Inspections'!$D$4:$D$503,_calc!$E$259))&amp;". ")&amp;IF(LEN(IF(LEN(INDEX('Inspections'!$E$4:$E$503,_calc!$E$259))=0,"",INDEX('Inspections'!$E$4:$E$503,_calc!$E$259)))=0,"","Unit: "&amp;IF(LEN(INDEX('Inspections'!$E$4:$E$503,_calc!$E$259))=0,"",INDEX('Inspections'!$E$4:$E$503,_calc!$E$259))&amp;". ")&amp;IF(LEN(IF(LEN(INDEX('Inspections'!$F$4:$F$503,_calc!$E$259))=0,"",INDEX('Inspections'!$F$4:$F$503,_calc!$E$259)))=0,"","Done by: "&amp;IF(LEN(INDEX('Inspections'!$F$4:$F$503,_calc!$E$259))=0,"",INDEX('Inspections'!$F$4:$F$503,_calc!$E$259))&amp;". ")&amp;IF(LEN(IF(LEN(INDEX('Inspections'!$M$4:$M$503,_calc!$E$259))=0,"",INDEX('Inspections'!$M$4:$M$503,_calc!$E$259)))=0,"","Source: "&amp;IF(LEN(INDEX('Inspections'!$M$4:$M$503,_calc!$E$259))=0,"",INDEX('Inspections'!$M$4:$M$503,_calc!$E$259))&amp;". ")&amp;IF(LEN(IF(LEN(INDEX('Inspections'!$N$4:$N$503,_calc!$E$259))=0,"",INDEX('Inspections'!$N$4:$N$503,_calc!$E$259)))=0,"","Owner: "&amp;IF(LEN(INDEX('Inspections'!$N$4:$N$503,_calc!$E$259))=0,"",INDEX('Inspections'!$N$4:$N$503,_calc!$E$259))&amp;". ")&amp;IF(LEN(IF(LEN(INDEX('Inspections'!$O$4:$O$503,_calc!$E$259))=0,"",INDEX('Inspections'!$O$4:$O$503,_calc!$E$259)))=0,"","Backup: "&amp;IF(LEN(INDEX('Inspections'!$O$4:$O$503,_calc!$E$259))=0,"",INDEX('Inspections'!$O$4:$O$503,_calc!$E$259))&amp;". ")&amp;IF(LEN(IF(LEN(INDEX('Inspections'!$R$4:$R$503,_calc!$E$259))=0,"",INDEX('Inspections'!$R$4:$R$503,_calc!$E$259)))=0,"",IF(LEN(INDEX('Inspections'!$R$4:$R$503,_calc!$E$259))=0,"",INDEX('Inspections'!$R$4:$R$503,_calc!$E$259)))))</f>
        <v/>
      </c>
      <c r="G257" s="55">
        <f>IF(_calc!$E$259="","",IF(LEN(INDEX('Inspections'!$Q$4:$Q$503,_calc!$E$259))=0,"",INDEX('Inspections'!$Q$4:$Q$503,_calc!$E$259)))</f>
        <v/>
      </c>
      <c r="K257" s="55">
        <f>IF(_calc!$E$259="","",IF(LEN(INDEX('Inspections'!$P$4:$P$503,_calc!$E$259))=0,"",INDEX('Inspections'!$P$4:$P$503,_calc!$E$259)))</f>
        <v/>
      </c>
    </row>
    <row r="258">
      <c r="A258" s="55">
        <f>IF(_calc!$E$260="","",IF(LEN(INDEX('Inspections'!$C$4:$C$503,_calc!$E$260))=0,"",INDEX('Inspections'!$C$4:$C$503,_calc!$E$260))&amp;" – "&amp;IF(LEN(INDEX('Inspections'!$A$4:$A$503,_calc!$E$260))=0,"",INDEX('Inspections'!$A$4:$A$503,_calc!$E$260)))</f>
        <v/>
      </c>
      <c r="B258" s="55">
        <f>IF(_calc!$E$260="","",IF(ISNUMBER(INDEX('Inspections'!$H$4:$H$503,_calc!$E$260)),TEXT(INDEX('Inspections'!$H$4:$H$503,_calc!$E$260),"yyyy-mm-dd"),""))</f>
        <v/>
      </c>
      <c r="C258" s="55">
        <f>IF(_calc!$E$260="","","Inspection")</f>
        <v/>
      </c>
      <c r="D258" s="55">
        <f>IF(_calc!$E$260="","",IF(ISNUMBER(INDEX('Inspections'!$G$4:$G$503,_calc!$E$260)),TEXT(INDEX('Inspections'!$G$4:$G$503,_calc!$E$260),"yyyy-mm-dd"),""))</f>
        <v/>
      </c>
      <c r="F258" s="55">
        <f>IF(_calc!$E$260="","",TRIM(IF(LEN(IF(LEN(INDEX('Inspections'!$B$4:$B$503,_calc!$E$260))=0,"",INDEX('Inspections'!$B$4:$B$503,_calc!$E$260)))=0,"","System: "&amp;IF(LEN(INDEX('Inspections'!$B$4:$B$503,_calc!$E$260))=0,"",INDEX('Inspections'!$B$4:$B$503,_calc!$E$260))&amp;". ")&amp;IF(LEN(IF(LEN(INDEX('Inspections'!$D$4:$D$503,_calc!$E$260))=0,"",INDEX('Inspections'!$D$4:$D$503,_calc!$E$260)))=0,"","Every: "&amp;IF(LEN(INDEX('Inspections'!$D$4:$D$503,_calc!$E$260))=0,"",INDEX('Inspections'!$D$4:$D$503,_calc!$E$260))&amp;". ")&amp;IF(LEN(IF(LEN(INDEX('Inspections'!$E$4:$E$503,_calc!$E$260))=0,"",INDEX('Inspections'!$E$4:$E$503,_calc!$E$260)))=0,"","Unit: "&amp;IF(LEN(INDEX('Inspections'!$E$4:$E$503,_calc!$E$260))=0,"",INDEX('Inspections'!$E$4:$E$503,_calc!$E$260))&amp;". ")&amp;IF(LEN(IF(LEN(INDEX('Inspections'!$F$4:$F$503,_calc!$E$260))=0,"",INDEX('Inspections'!$F$4:$F$503,_calc!$E$260)))=0,"","Done by: "&amp;IF(LEN(INDEX('Inspections'!$F$4:$F$503,_calc!$E$260))=0,"",INDEX('Inspections'!$F$4:$F$503,_calc!$E$260))&amp;". ")&amp;IF(LEN(IF(LEN(INDEX('Inspections'!$M$4:$M$503,_calc!$E$260))=0,"",INDEX('Inspections'!$M$4:$M$503,_calc!$E$260)))=0,"","Source: "&amp;IF(LEN(INDEX('Inspections'!$M$4:$M$503,_calc!$E$260))=0,"",INDEX('Inspections'!$M$4:$M$503,_calc!$E$260))&amp;". ")&amp;IF(LEN(IF(LEN(INDEX('Inspections'!$N$4:$N$503,_calc!$E$260))=0,"",INDEX('Inspections'!$N$4:$N$503,_calc!$E$260)))=0,"","Owner: "&amp;IF(LEN(INDEX('Inspections'!$N$4:$N$503,_calc!$E$260))=0,"",INDEX('Inspections'!$N$4:$N$503,_calc!$E$260))&amp;". ")&amp;IF(LEN(IF(LEN(INDEX('Inspections'!$O$4:$O$503,_calc!$E$260))=0,"",INDEX('Inspections'!$O$4:$O$503,_calc!$E$260)))=0,"","Backup: "&amp;IF(LEN(INDEX('Inspections'!$O$4:$O$503,_calc!$E$260))=0,"",INDEX('Inspections'!$O$4:$O$503,_calc!$E$260))&amp;". ")&amp;IF(LEN(IF(LEN(INDEX('Inspections'!$R$4:$R$503,_calc!$E$260))=0,"",INDEX('Inspections'!$R$4:$R$503,_calc!$E$260)))=0,"",IF(LEN(INDEX('Inspections'!$R$4:$R$503,_calc!$E$260))=0,"",INDEX('Inspections'!$R$4:$R$503,_calc!$E$260)))))</f>
        <v/>
      </c>
      <c r="G258" s="55">
        <f>IF(_calc!$E$260="","",IF(LEN(INDEX('Inspections'!$Q$4:$Q$503,_calc!$E$260))=0,"",INDEX('Inspections'!$Q$4:$Q$503,_calc!$E$260)))</f>
        <v/>
      </c>
      <c r="K258" s="55">
        <f>IF(_calc!$E$260="","",IF(LEN(INDEX('Inspections'!$P$4:$P$503,_calc!$E$260))=0,"",INDEX('Inspections'!$P$4:$P$503,_calc!$E$260)))</f>
        <v/>
      </c>
    </row>
    <row r="259">
      <c r="A259" s="55">
        <f>IF(_calc!$E$261="","",IF(LEN(INDEX('Inspections'!$C$4:$C$503,_calc!$E$261))=0,"",INDEX('Inspections'!$C$4:$C$503,_calc!$E$261))&amp;" – "&amp;IF(LEN(INDEX('Inspections'!$A$4:$A$503,_calc!$E$261))=0,"",INDEX('Inspections'!$A$4:$A$503,_calc!$E$261)))</f>
        <v/>
      </c>
      <c r="B259" s="55">
        <f>IF(_calc!$E$261="","",IF(ISNUMBER(INDEX('Inspections'!$H$4:$H$503,_calc!$E$261)),TEXT(INDEX('Inspections'!$H$4:$H$503,_calc!$E$261),"yyyy-mm-dd"),""))</f>
        <v/>
      </c>
      <c r="C259" s="55">
        <f>IF(_calc!$E$261="","","Inspection")</f>
        <v/>
      </c>
      <c r="D259" s="55">
        <f>IF(_calc!$E$261="","",IF(ISNUMBER(INDEX('Inspections'!$G$4:$G$503,_calc!$E$261)),TEXT(INDEX('Inspections'!$G$4:$G$503,_calc!$E$261),"yyyy-mm-dd"),""))</f>
        <v/>
      </c>
      <c r="F259" s="55">
        <f>IF(_calc!$E$261="","",TRIM(IF(LEN(IF(LEN(INDEX('Inspections'!$B$4:$B$503,_calc!$E$261))=0,"",INDEX('Inspections'!$B$4:$B$503,_calc!$E$261)))=0,"","System: "&amp;IF(LEN(INDEX('Inspections'!$B$4:$B$503,_calc!$E$261))=0,"",INDEX('Inspections'!$B$4:$B$503,_calc!$E$261))&amp;". ")&amp;IF(LEN(IF(LEN(INDEX('Inspections'!$D$4:$D$503,_calc!$E$261))=0,"",INDEX('Inspections'!$D$4:$D$503,_calc!$E$261)))=0,"","Every: "&amp;IF(LEN(INDEX('Inspections'!$D$4:$D$503,_calc!$E$261))=0,"",INDEX('Inspections'!$D$4:$D$503,_calc!$E$261))&amp;". ")&amp;IF(LEN(IF(LEN(INDEX('Inspections'!$E$4:$E$503,_calc!$E$261))=0,"",INDEX('Inspections'!$E$4:$E$503,_calc!$E$261)))=0,"","Unit: "&amp;IF(LEN(INDEX('Inspections'!$E$4:$E$503,_calc!$E$261))=0,"",INDEX('Inspections'!$E$4:$E$503,_calc!$E$261))&amp;". ")&amp;IF(LEN(IF(LEN(INDEX('Inspections'!$F$4:$F$503,_calc!$E$261))=0,"",INDEX('Inspections'!$F$4:$F$503,_calc!$E$261)))=0,"","Done by: "&amp;IF(LEN(INDEX('Inspections'!$F$4:$F$503,_calc!$E$261))=0,"",INDEX('Inspections'!$F$4:$F$503,_calc!$E$261))&amp;". ")&amp;IF(LEN(IF(LEN(INDEX('Inspections'!$M$4:$M$503,_calc!$E$261))=0,"",INDEX('Inspections'!$M$4:$M$503,_calc!$E$261)))=0,"","Source: "&amp;IF(LEN(INDEX('Inspections'!$M$4:$M$503,_calc!$E$261))=0,"",INDEX('Inspections'!$M$4:$M$503,_calc!$E$261))&amp;". ")&amp;IF(LEN(IF(LEN(INDEX('Inspections'!$N$4:$N$503,_calc!$E$261))=0,"",INDEX('Inspections'!$N$4:$N$503,_calc!$E$261)))=0,"","Owner: "&amp;IF(LEN(INDEX('Inspections'!$N$4:$N$503,_calc!$E$261))=0,"",INDEX('Inspections'!$N$4:$N$503,_calc!$E$261))&amp;". ")&amp;IF(LEN(IF(LEN(INDEX('Inspections'!$O$4:$O$503,_calc!$E$261))=0,"",INDEX('Inspections'!$O$4:$O$503,_calc!$E$261)))=0,"","Backup: "&amp;IF(LEN(INDEX('Inspections'!$O$4:$O$503,_calc!$E$261))=0,"",INDEX('Inspections'!$O$4:$O$503,_calc!$E$261))&amp;". ")&amp;IF(LEN(IF(LEN(INDEX('Inspections'!$R$4:$R$503,_calc!$E$261))=0,"",INDEX('Inspections'!$R$4:$R$503,_calc!$E$261)))=0,"",IF(LEN(INDEX('Inspections'!$R$4:$R$503,_calc!$E$261))=0,"",INDEX('Inspections'!$R$4:$R$503,_calc!$E$261)))))</f>
        <v/>
      </c>
      <c r="G259" s="55">
        <f>IF(_calc!$E$261="","",IF(LEN(INDEX('Inspections'!$Q$4:$Q$503,_calc!$E$261))=0,"",INDEX('Inspections'!$Q$4:$Q$503,_calc!$E$261)))</f>
        <v/>
      </c>
      <c r="K259" s="55">
        <f>IF(_calc!$E$261="","",IF(LEN(INDEX('Inspections'!$P$4:$P$503,_calc!$E$261))=0,"",INDEX('Inspections'!$P$4:$P$503,_calc!$E$261)))</f>
        <v/>
      </c>
    </row>
    <row r="260">
      <c r="A260" s="55">
        <f>IF(_calc!$E$262="","",IF(LEN(INDEX('Inspections'!$C$4:$C$503,_calc!$E$262))=0,"",INDEX('Inspections'!$C$4:$C$503,_calc!$E$262))&amp;" – "&amp;IF(LEN(INDEX('Inspections'!$A$4:$A$503,_calc!$E$262))=0,"",INDEX('Inspections'!$A$4:$A$503,_calc!$E$262)))</f>
        <v/>
      </c>
      <c r="B260" s="55">
        <f>IF(_calc!$E$262="","",IF(ISNUMBER(INDEX('Inspections'!$H$4:$H$503,_calc!$E$262)),TEXT(INDEX('Inspections'!$H$4:$H$503,_calc!$E$262),"yyyy-mm-dd"),""))</f>
        <v/>
      </c>
      <c r="C260" s="55">
        <f>IF(_calc!$E$262="","","Inspection")</f>
        <v/>
      </c>
      <c r="D260" s="55">
        <f>IF(_calc!$E$262="","",IF(ISNUMBER(INDEX('Inspections'!$G$4:$G$503,_calc!$E$262)),TEXT(INDEX('Inspections'!$G$4:$G$503,_calc!$E$262),"yyyy-mm-dd"),""))</f>
        <v/>
      </c>
      <c r="F260" s="55">
        <f>IF(_calc!$E$262="","",TRIM(IF(LEN(IF(LEN(INDEX('Inspections'!$B$4:$B$503,_calc!$E$262))=0,"",INDEX('Inspections'!$B$4:$B$503,_calc!$E$262)))=0,"","System: "&amp;IF(LEN(INDEX('Inspections'!$B$4:$B$503,_calc!$E$262))=0,"",INDEX('Inspections'!$B$4:$B$503,_calc!$E$262))&amp;". ")&amp;IF(LEN(IF(LEN(INDEX('Inspections'!$D$4:$D$503,_calc!$E$262))=0,"",INDEX('Inspections'!$D$4:$D$503,_calc!$E$262)))=0,"","Every: "&amp;IF(LEN(INDEX('Inspections'!$D$4:$D$503,_calc!$E$262))=0,"",INDEX('Inspections'!$D$4:$D$503,_calc!$E$262))&amp;". ")&amp;IF(LEN(IF(LEN(INDEX('Inspections'!$E$4:$E$503,_calc!$E$262))=0,"",INDEX('Inspections'!$E$4:$E$503,_calc!$E$262)))=0,"","Unit: "&amp;IF(LEN(INDEX('Inspections'!$E$4:$E$503,_calc!$E$262))=0,"",INDEX('Inspections'!$E$4:$E$503,_calc!$E$262))&amp;". ")&amp;IF(LEN(IF(LEN(INDEX('Inspections'!$F$4:$F$503,_calc!$E$262))=0,"",INDEX('Inspections'!$F$4:$F$503,_calc!$E$262)))=0,"","Done by: "&amp;IF(LEN(INDEX('Inspections'!$F$4:$F$503,_calc!$E$262))=0,"",INDEX('Inspections'!$F$4:$F$503,_calc!$E$262))&amp;". ")&amp;IF(LEN(IF(LEN(INDEX('Inspections'!$M$4:$M$503,_calc!$E$262))=0,"",INDEX('Inspections'!$M$4:$M$503,_calc!$E$262)))=0,"","Source: "&amp;IF(LEN(INDEX('Inspections'!$M$4:$M$503,_calc!$E$262))=0,"",INDEX('Inspections'!$M$4:$M$503,_calc!$E$262))&amp;". ")&amp;IF(LEN(IF(LEN(INDEX('Inspections'!$N$4:$N$503,_calc!$E$262))=0,"",INDEX('Inspections'!$N$4:$N$503,_calc!$E$262)))=0,"","Owner: "&amp;IF(LEN(INDEX('Inspections'!$N$4:$N$503,_calc!$E$262))=0,"",INDEX('Inspections'!$N$4:$N$503,_calc!$E$262))&amp;". ")&amp;IF(LEN(IF(LEN(INDEX('Inspections'!$O$4:$O$503,_calc!$E$262))=0,"",INDEX('Inspections'!$O$4:$O$503,_calc!$E$262)))=0,"","Backup: "&amp;IF(LEN(INDEX('Inspections'!$O$4:$O$503,_calc!$E$262))=0,"",INDEX('Inspections'!$O$4:$O$503,_calc!$E$262))&amp;". ")&amp;IF(LEN(IF(LEN(INDEX('Inspections'!$R$4:$R$503,_calc!$E$262))=0,"",INDEX('Inspections'!$R$4:$R$503,_calc!$E$262)))=0,"",IF(LEN(INDEX('Inspections'!$R$4:$R$503,_calc!$E$262))=0,"",INDEX('Inspections'!$R$4:$R$503,_calc!$E$262)))))</f>
        <v/>
      </c>
      <c r="G260" s="55">
        <f>IF(_calc!$E$262="","",IF(LEN(INDEX('Inspections'!$Q$4:$Q$503,_calc!$E$262))=0,"",INDEX('Inspections'!$Q$4:$Q$503,_calc!$E$262)))</f>
        <v/>
      </c>
      <c r="K260" s="55">
        <f>IF(_calc!$E$262="","",IF(LEN(INDEX('Inspections'!$P$4:$P$503,_calc!$E$262))=0,"",INDEX('Inspections'!$P$4:$P$503,_calc!$E$262)))</f>
        <v/>
      </c>
    </row>
    <row r="261">
      <c r="A261" s="55">
        <f>IF(_calc!$E$263="","",IF(LEN(INDEX('Inspections'!$C$4:$C$503,_calc!$E$263))=0,"",INDEX('Inspections'!$C$4:$C$503,_calc!$E$263))&amp;" – "&amp;IF(LEN(INDEX('Inspections'!$A$4:$A$503,_calc!$E$263))=0,"",INDEX('Inspections'!$A$4:$A$503,_calc!$E$263)))</f>
        <v/>
      </c>
      <c r="B261" s="55">
        <f>IF(_calc!$E$263="","",IF(ISNUMBER(INDEX('Inspections'!$H$4:$H$503,_calc!$E$263)),TEXT(INDEX('Inspections'!$H$4:$H$503,_calc!$E$263),"yyyy-mm-dd"),""))</f>
        <v/>
      </c>
      <c r="C261" s="55">
        <f>IF(_calc!$E$263="","","Inspection")</f>
        <v/>
      </c>
      <c r="D261" s="55">
        <f>IF(_calc!$E$263="","",IF(ISNUMBER(INDEX('Inspections'!$G$4:$G$503,_calc!$E$263)),TEXT(INDEX('Inspections'!$G$4:$G$503,_calc!$E$263),"yyyy-mm-dd"),""))</f>
        <v/>
      </c>
      <c r="F261" s="55">
        <f>IF(_calc!$E$263="","",TRIM(IF(LEN(IF(LEN(INDEX('Inspections'!$B$4:$B$503,_calc!$E$263))=0,"",INDEX('Inspections'!$B$4:$B$503,_calc!$E$263)))=0,"","System: "&amp;IF(LEN(INDEX('Inspections'!$B$4:$B$503,_calc!$E$263))=0,"",INDEX('Inspections'!$B$4:$B$503,_calc!$E$263))&amp;". ")&amp;IF(LEN(IF(LEN(INDEX('Inspections'!$D$4:$D$503,_calc!$E$263))=0,"",INDEX('Inspections'!$D$4:$D$503,_calc!$E$263)))=0,"","Every: "&amp;IF(LEN(INDEX('Inspections'!$D$4:$D$503,_calc!$E$263))=0,"",INDEX('Inspections'!$D$4:$D$503,_calc!$E$263))&amp;". ")&amp;IF(LEN(IF(LEN(INDEX('Inspections'!$E$4:$E$503,_calc!$E$263))=0,"",INDEX('Inspections'!$E$4:$E$503,_calc!$E$263)))=0,"","Unit: "&amp;IF(LEN(INDEX('Inspections'!$E$4:$E$503,_calc!$E$263))=0,"",INDEX('Inspections'!$E$4:$E$503,_calc!$E$263))&amp;". ")&amp;IF(LEN(IF(LEN(INDEX('Inspections'!$F$4:$F$503,_calc!$E$263))=0,"",INDEX('Inspections'!$F$4:$F$503,_calc!$E$263)))=0,"","Done by: "&amp;IF(LEN(INDEX('Inspections'!$F$4:$F$503,_calc!$E$263))=0,"",INDEX('Inspections'!$F$4:$F$503,_calc!$E$263))&amp;". ")&amp;IF(LEN(IF(LEN(INDEX('Inspections'!$M$4:$M$503,_calc!$E$263))=0,"",INDEX('Inspections'!$M$4:$M$503,_calc!$E$263)))=0,"","Source: "&amp;IF(LEN(INDEX('Inspections'!$M$4:$M$503,_calc!$E$263))=0,"",INDEX('Inspections'!$M$4:$M$503,_calc!$E$263))&amp;". ")&amp;IF(LEN(IF(LEN(INDEX('Inspections'!$N$4:$N$503,_calc!$E$263))=0,"",INDEX('Inspections'!$N$4:$N$503,_calc!$E$263)))=0,"","Owner: "&amp;IF(LEN(INDEX('Inspections'!$N$4:$N$503,_calc!$E$263))=0,"",INDEX('Inspections'!$N$4:$N$503,_calc!$E$263))&amp;". ")&amp;IF(LEN(IF(LEN(INDEX('Inspections'!$O$4:$O$503,_calc!$E$263))=0,"",INDEX('Inspections'!$O$4:$O$503,_calc!$E$263)))=0,"","Backup: "&amp;IF(LEN(INDEX('Inspections'!$O$4:$O$503,_calc!$E$263))=0,"",INDEX('Inspections'!$O$4:$O$503,_calc!$E$263))&amp;". ")&amp;IF(LEN(IF(LEN(INDEX('Inspections'!$R$4:$R$503,_calc!$E$263))=0,"",INDEX('Inspections'!$R$4:$R$503,_calc!$E$263)))=0,"",IF(LEN(INDEX('Inspections'!$R$4:$R$503,_calc!$E$263))=0,"",INDEX('Inspections'!$R$4:$R$503,_calc!$E$263)))))</f>
        <v/>
      </c>
      <c r="G261" s="55">
        <f>IF(_calc!$E$263="","",IF(LEN(INDEX('Inspections'!$Q$4:$Q$503,_calc!$E$263))=0,"",INDEX('Inspections'!$Q$4:$Q$503,_calc!$E$263)))</f>
        <v/>
      </c>
      <c r="K261" s="55">
        <f>IF(_calc!$E$263="","",IF(LEN(INDEX('Inspections'!$P$4:$P$503,_calc!$E$263))=0,"",INDEX('Inspections'!$P$4:$P$503,_calc!$E$263)))</f>
        <v/>
      </c>
    </row>
    <row r="262">
      <c r="A262" s="55">
        <f>IF(_calc!$E$264="","",IF(LEN(INDEX('Inspections'!$C$4:$C$503,_calc!$E$264))=0,"",INDEX('Inspections'!$C$4:$C$503,_calc!$E$264))&amp;" – "&amp;IF(LEN(INDEX('Inspections'!$A$4:$A$503,_calc!$E$264))=0,"",INDEX('Inspections'!$A$4:$A$503,_calc!$E$264)))</f>
        <v/>
      </c>
      <c r="B262" s="55">
        <f>IF(_calc!$E$264="","",IF(ISNUMBER(INDEX('Inspections'!$H$4:$H$503,_calc!$E$264)),TEXT(INDEX('Inspections'!$H$4:$H$503,_calc!$E$264),"yyyy-mm-dd"),""))</f>
        <v/>
      </c>
      <c r="C262" s="55">
        <f>IF(_calc!$E$264="","","Inspection")</f>
        <v/>
      </c>
      <c r="D262" s="55">
        <f>IF(_calc!$E$264="","",IF(ISNUMBER(INDEX('Inspections'!$G$4:$G$503,_calc!$E$264)),TEXT(INDEX('Inspections'!$G$4:$G$503,_calc!$E$264),"yyyy-mm-dd"),""))</f>
        <v/>
      </c>
      <c r="F262" s="55">
        <f>IF(_calc!$E$264="","",TRIM(IF(LEN(IF(LEN(INDEX('Inspections'!$B$4:$B$503,_calc!$E$264))=0,"",INDEX('Inspections'!$B$4:$B$503,_calc!$E$264)))=0,"","System: "&amp;IF(LEN(INDEX('Inspections'!$B$4:$B$503,_calc!$E$264))=0,"",INDEX('Inspections'!$B$4:$B$503,_calc!$E$264))&amp;". ")&amp;IF(LEN(IF(LEN(INDEX('Inspections'!$D$4:$D$503,_calc!$E$264))=0,"",INDEX('Inspections'!$D$4:$D$503,_calc!$E$264)))=0,"","Every: "&amp;IF(LEN(INDEX('Inspections'!$D$4:$D$503,_calc!$E$264))=0,"",INDEX('Inspections'!$D$4:$D$503,_calc!$E$264))&amp;". ")&amp;IF(LEN(IF(LEN(INDEX('Inspections'!$E$4:$E$503,_calc!$E$264))=0,"",INDEX('Inspections'!$E$4:$E$503,_calc!$E$264)))=0,"","Unit: "&amp;IF(LEN(INDEX('Inspections'!$E$4:$E$503,_calc!$E$264))=0,"",INDEX('Inspections'!$E$4:$E$503,_calc!$E$264))&amp;". ")&amp;IF(LEN(IF(LEN(INDEX('Inspections'!$F$4:$F$503,_calc!$E$264))=0,"",INDEX('Inspections'!$F$4:$F$503,_calc!$E$264)))=0,"","Done by: "&amp;IF(LEN(INDEX('Inspections'!$F$4:$F$503,_calc!$E$264))=0,"",INDEX('Inspections'!$F$4:$F$503,_calc!$E$264))&amp;". ")&amp;IF(LEN(IF(LEN(INDEX('Inspections'!$M$4:$M$503,_calc!$E$264))=0,"",INDEX('Inspections'!$M$4:$M$503,_calc!$E$264)))=0,"","Source: "&amp;IF(LEN(INDEX('Inspections'!$M$4:$M$503,_calc!$E$264))=0,"",INDEX('Inspections'!$M$4:$M$503,_calc!$E$264))&amp;". ")&amp;IF(LEN(IF(LEN(INDEX('Inspections'!$N$4:$N$503,_calc!$E$264))=0,"",INDEX('Inspections'!$N$4:$N$503,_calc!$E$264)))=0,"","Owner: "&amp;IF(LEN(INDEX('Inspections'!$N$4:$N$503,_calc!$E$264))=0,"",INDEX('Inspections'!$N$4:$N$503,_calc!$E$264))&amp;". ")&amp;IF(LEN(IF(LEN(INDEX('Inspections'!$O$4:$O$503,_calc!$E$264))=0,"",INDEX('Inspections'!$O$4:$O$503,_calc!$E$264)))=0,"","Backup: "&amp;IF(LEN(INDEX('Inspections'!$O$4:$O$503,_calc!$E$264))=0,"",INDEX('Inspections'!$O$4:$O$503,_calc!$E$264))&amp;". ")&amp;IF(LEN(IF(LEN(INDEX('Inspections'!$R$4:$R$503,_calc!$E$264))=0,"",INDEX('Inspections'!$R$4:$R$503,_calc!$E$264)))=0,"",IF(LEN(INDEX('Inspections'!$R$4:$R$503,_calc!$E$264))=0,"",INDEX('Inspections'!$R$4:$R$503,_calc!$E$264)))))</f>
        <v/>
      </c>
      <c r="G262" s="55">
        <f>IF(_calc!$E$264="","",IF(LEN(INDEX('Inspections'!$Q$4:$Q$503,_calc!$E$264))=0,"",INDEX('Inspections'!$Q$4:$Q$503,_calc!$E$264)))</f>
        <v/>
      </c>
      <c r="K262" s="55">
        <f>IF(_calc!$E$264="","",IF(LEN(INDEX('Inspections'!$P$4:$P$503,_calc!$E$264))=0,"",INDEX('Inspections'!$P$4:$P$503,_calc!$E$264)))</f>
        <v/>
      </c>
    </row>
    <row r="263">
      <c r="A263" s="55">
        <f>IF(_calc!$E$265="","",IF(LEN(INDEX('Inspections'!$C$4:$C$503,_calc!$E$265))=0,"",INDEX('Inspections'!$C$4:$C$503,_calc!$E$265))&amp;" – "&amp;IF(LEN(INDEX('Inspections'!$A$4:$A$503,_calc!$E$265))=0,"",INDEX('Inspections'!$A$4:$A$503,_calc!$E$265)))</f>
        <v/>
      </c>
      <c r="B263" s="55">
        <f>IF(_calc!$E$265="","",IF(ISNUMBER(INDEX('Inspections'!$H$4:$H$503,_calc!$E$265)),TEXT(INDEX('Inspections'!$H$4:$H$503,_calc!$E$265),"yyyy-mm-dd"),""))</f>
        <v/>
      </c>
      <c r="C263" s="55">
        <f>IF(_calc!$E$265="","","Inspection")</f>
        <v/>
      </c>
      <c r="D263" s="55">
        <f>IF(_calc!$E$265="","",IF(ISNUMBER(INDEX('Inspections'!$G$4:$G$503,_calc!$E$265)),TEXT(INDEX('Inspections'!$G$4:$G$503,_calc!$E$265),"yyyy-mm-dd"),""))</f>
        <v/>
      </c>
      <c r="F263" s="55">
        <f>IF(_calc!$E$265="","",TRIM(IF(LEN(IF(LEN(INDEX('Inspections'!$B$4:$B$503,_calc!$E$265))=0,"",INDEX('Inspections'!$B$4:$B$503,_calc!$E$265)))=0,"","System: "&amp;IF(LEN(INDEX('Inspections'!$B$4:$B$503,_calc!$E$265))=0,"",INDEX('Inspections'!$B$4:$B$503,_calc!$E$265))&amp;". ")&amp;IF(LEN(IF(LEN(INDEX('Inspections'!$D$4:$D$503,_calc!$E$265))=0,"",INDEX('Inspections'!$D$4:$D$503,_calc!$E$265)))=0,"","Every: "&amp;IF(LEN(INDEX('Inspections'!$D$4:$D$503,_calc!$E$265))=0,"",INDEX('Inspections'!$D$4:$D$503,_calc!$E$265))&amp;". ")&amp;IF(LEN(IF(LEN(INDEX('Inspections'!$E$4:$E$503,_calc!$E$265))=0,"",INDEX('Inspections'!$E$4:$E$503,_calc!$E$265)))=0,"","Unit: "&amp;IF(LEN(INDEX('Inspections'!$E$4:$E$503,_calc!$E$265))=0,"",INDEX('Inspections'!$E$4:$E$503,_calc!$E$265))&amp;". ")&amp;IF(LEN(IF(LEN(INDEX('Inspections'!$F$4:$F$503,_calc!$E$265))=0,"",INDEX('Inspections'!$F$4:$F$503,_calc!$E$265)))=0,"","Done by: "&amp;IF(LEN(INDEX('Inspections'!$F$4:$F$503,_calc!$E$265))=0,"",INDEX('Inspections'!$F$4:$F$503,_calc!$E$265))&amp;". ")&amp;IF(LEN(IF(LEN(INDEX('Inspections'!$M$4:$M$503,_calc!$E$265))=0,"",INDEX('Inspections'!$M$4:$M$503,_calc!$E$265)))=0,"","Source: "&amp;IF(LEN(INDEX('Inspections'!$M$4:$M$503,_calc!$E$265))=0,"",INDEX('Inspections'!$M$4:$M$503,_calc!$E$265))&amp;". ")&amp;IF(LEN(IF(LEN(INDEX('Inspections'!$N$4:$N$503,_calc!$E$265))=0,"",INDEX('Inspections'!$N$4:$N$503,_calc!$E$265)))=0,"","Owner: "&amp;IF(LEN(INDEX('Inspections'!$N$4:$N$503,_calc!$E$265))=0,"",INDEX('Inspections'!$N$4:$N$503,_calc!$E$265))&amp;". ")&amp;IF(LEN(IF(LEN(INDEX('Inspections'!$O$4:$O$503,_calc!$E$265))=0,"",INDEX('Inspections'!$O$4:$O$503,_calc!$E$265)))=0,"","Backup: "&amp;IF(LEN(INDEX('Inspections'!$O$4:$O$503,_calc!$E$265))=0,"",INDEX('Inspections'!$O$4:$O$503,_calc!$E$265))&amp;". ")&amp;IF(LEN(IF(LEN(INDEX('Inspections'!$R$4:$R$503,_calc!$E$265))=0,"",INDEX('Inspections'!$R$4:$R$503,_calc!$E$265)))=0,"",IF(LEN(INDEX('Inspections'!$R$4:$R$503,_calc!$E$265))=0,"",INDEX('Inspections'!$R$4:$R$503,_calc!$E$265)))))</f>
        <v/>
      </c>
      <c r="G263" s="55">
        <f>IF(_calc!$E$265="","",IF(LEN(INDEX('Inspections'!$Q$4:$Q$503,_calc!$E$265))=0,"",INDEX('Inspections'!$Q$4:$Q$503,_calc!$E$265)))</f>
        <v/>
      </c>
      <c r="K263" s="55">
        <f>IF(_calc!$E$265="","",IF(LEN(INDEX('Inspections'!$P$4:$P$503,_calc!$E$265))=0,"",INDEX('Inspections'!$P$4:$P$503,_calc!$E$265)))</f>
        <v/>
      </c>
    </row>
    <row r="264">
      <c r="A264" s="55">
        <f>IF(_calc!$E$266="","",IF(LEN(INDEX('Inspections'!$C$4:$C$503,_calc!$E$266))=0,"",INDEX('Inspections'!$C$4:$C$503,_calc!$E$266))&amp;" – "&amp;IF(LEN(INDEX('Inspections'!$A$4:$A$503,_calc!$E$266))=0,"",INDEX('Inspections'!$A$4:$A$503,_calc!$E$266)))</f>
        <v/>
      </c>
      <c r="B264" s="55">
        <f>IF(_calc!$E$266="","",IF(ISNUMBER(INDEX('Inspections'!$H$4:$H$503,_calc!$E$266)),TEXT(INDEX('Inspections'!$H$4:$H$503,_calc!$E$266),"yyyy-mm-dd"),""))</f>
        <v/>
      </c>
      <c r="C264" s="55">
        <f>IF(_calc!$E$266="","","Inspection")</f>
        <v/>
      </c>
      <c r="D264" s="55">
        <f>IF(_calc!$E$266="","",IF(ISNUMBER(INDEX('Inspections'!$G$4:$G$503,_calc!$E$266)),TEXT(INDEX('Inspections'!$G$4:$G$503,_calc!$E$266),"yyyy-mm-dd"),""))</f>
        <v/>
      </c>
      <c r="F264" s="55">
        <f>IF(_calc!$E$266="","",TRIM(IF(LEN(IF(LEN(INDEX('Inspections'!$B$4:$B$503,_calc!$E$266))=0,"",INDEX('Inspections'!$B$4:$B$503,_calc!$E$266)))=0,"","System: "&amp;IF(LEN(INDEX('Inspections'!$B$4:$B$503,_calc!$E$266))=0,"",INDEX('Inspections'!$B$4:$B$503,_calc!$E$266))&amp;". ")&amp;IF(LEN(IF(LEN(INDEX('Inspections'!$D$4:$D$503,_calc!$E$266))=0,"",INDEX('Inspections'!$D$4:$D$503,_calc!$E$266)))=0,"","Every: "&amp;IF(LEN(INDEX('Inspections'!$D$4:$D$503,_calc!$E$266))=0,"",INDEX('Inspections'!$D$4:$D$503,_calc!$E$266))&amp;". ")&amp;IF(LEN(IF(LEN(INDEX('Inspections'!$E$4:$E$503,_calc!$E$266))=0,"",INDEX('Inspections'!$E$4:$E$503,_calc!$E$266)))=0,"","Unit: "&amp;IF(LEN(INDEX('Inspections'!$E$4:$E$503,_calc!$E$266))=0,"",INDEX('Inspections'!$E$4:$E$503,_calc!$E$266))&amp;". ")&amp;IF(LEN(IF(LEN(INDEX('Inspections'!$F$4:$F$503,_calc!$E$266))=0,"",INDEX('Inspections'!$F$4:$F$503,_calc!$E$266)))=0,"","Done by: "&amp;IF(LEN(INDEX('Inspections'!$F$4:$F$503,_calc!$E$266))=0,"",INDEX('Inspections'!$F$4:$F$503,_calc!$E$266))&amp;". ")&amp;IF(LEN(IF(LEN(INDEX('Inspections'!$M$4:$M$503,_calc!$E$266))=0,"",INDEX('Inspections'!$M$4:$M$503,_calc!$E$266)))=0,"","Source: "&amp;IF(LEN(INDEX('Inspections'!$M$4:$M$503,_calc!$E$266))=0,"",INDEX('Inspections'!$M$4:$M$503,_calc!$E$266))&amp;". ")&amp;IF(LEN(IF(LEN(INDEX('Inspections'!$N$4:$N$503,_calc!$E$266))=0,"",INDEX('Inspections'!$N$4:$N$503,_calc!$E$266)))=0,"","Owner: "&amp;IF(LEN(INDEX('Inspections'!$N$4:$N$503,_calc!$E$266))=0,"",INDEX('Inspections'!$N$4:$N$503,_calc!$E$266))&amp;". ")&amp;IF(LEN(IF(LEN(INDEX('Inspections'!$O$4:$O$503,_calc!$E$266))=0,"",INDEX('Inspections'!$O$4:$O$503,_calc!$E$266)))=0,"","Backup: "&amp;IF(LEN(INDEX('Inspections'!$O$4:$O$503,_calc!$E$266))=0,"",INDEX('Inspections'!$O$4:$O$503,_calc!$E$266))&amp;". ")&amp;IF(LEN(IF(LEN(INDEX('Inspections'!$R$4:$R$503,_calc!$E$266))=0,"",INDEX('Inspections'!$R$4:$R$503,_calc!$E$266)))=0,"",IF(LEN(INDEX('Inspections'!$R$4:$R$503,_calc!$E$266))=0,"",INDEX('Inspections'!$R$4:$R$503,_calc!$E$266)))))</f>
        <v/>
      </c>
      <c r="G264" s="55">
        <f>IF(_calc!$E$266="","",IF(LEN(INDEX('Inspections'!$Q$4:$Q$503,_calc!$E$266))=0,"",INDEX('Inspections'!$Q$4:$Q$503,_calc!$E$266)))</f>
        <v/>
      </c>
      <c r="K264" s="55">
        <f>IF(_calc!$E$266="","",IF(LEN(INDEX('Inspections'!$P$4:$P$503,_calc!$E$266))=0,"",INDEX('Inspections'!$P$4:$P$503,_calc!$E$266)))</f>
        <v/>
      </c>
    </row>
    <row r="265">
      <c r="A265" s="55">
        <f>IF(_calc!$E$267="","",IF(LEN(INDEX('Inspections'!$C$4:$C$503,_calc!$E$267))=0,"",INDEX('Inspections'!$C$4:$C$503,_calc!$E$267))&amp;" – "&amp;IF(LEN(INDEX('Inspections'!$A$4:$A$503,_calc!$E$267))=0,"",INDEX('Inspections'!$A$4:$A$503,_calc!$E$267)))</f>
        <v/>
      </c>
      <c r="B265" s="55">
        <f>IF(_calc!$E$267="","",IF(ISNUMBER(INDEX('Inspections'!$H$4:$H$503,_calc!$E$267)),TEXT(INDEX('Inspections'!$H$4:$H$503,_calc!$E$267),"yyyy-mm-dd"),""))</f>
        <v/>
      </c>
      <c r="C265" s="55">
        <f>IF(_calc!$E$267="","","Inspection")</f>
        <v/>
      </c>
      <c r="D265" s="55">
        <f>IF(_calc!$E$267="","",IF(ISNUMBER(INDEX('Inspections'!$G$4:$G$503,_calc!$E$267)),TEXT(INDEX('Inspections'!$G$4:$G$503,_calc!$E$267),"yyyy-mm-dd"),""))</f>
        <v/>
      </c>
      <c r="F265" s="55">
        <f>IF(_calc!$E$267="","",TRIM(IF(LEN(IF(LEN(INDEX('Inspections'!$B$4:$B$503,_calc!$E$267))=0,"",INDEX('Inspections'!$B$4:$B$503,_calc!$E$267)))=0,"","System: "&amp;IF(LEN(INDEX('Inspections'!$B$4:$B$503,_calc!$E$267))=0,"",INDEX('Inspections'!$B$4:$B$503,_calc!$E$267))&amp;". ")&amp;IF(LEN(IF(LEN(INDEX('Inspections'!$D$4:$D$503,_calc!$E$267))=0,"",INDEX('Inspections'!$D$4:$D$503,_calc!$E$267)))=0,"","Every: "&amp;IF(LEN(INDEX('Inspections'!$D$4:$D$503,_calc!$E$267))=0,"",INDEX('Inspections'!$D$4:$D$503,_calc!$E$267))&amp;". ")&amp;IF(LEN(IF(LEN(INDEX('Inspections'!$E$4:$E$503,_calc!$E$267))=0,"",INDEX('Inspections'!$E$4:$E$503,_calc!$E$267)))=0,"","Unit: "&amp;IF(LEN(INDEX('Inspections'!$E$4:$E$503,_calc!$E$267))=0,"",INDEX('Inspections'!$E$4:$E$503,_calc!$E$267))&amp;". ")&amp;IF(LEN(IF(LEN(INDEX('Inspections'!$F$4:$F$503,_calc!$E$267))=0,"",INDEX('Inspections'!$F$4:$F$503,_calc!$E$267)))=0,"","Done by: "&amp;IF(LEN(INDEX('Inspections'!$F$4:$F$503,_calc!$E$267))=0,"",INDEX('Inspections'!$F$4:$F$503,_calc!$E$267))&amp;". ")&amp;IF(LEN(IF(LEN(INDEX('Inspections'!$M$4:$M$503,_calc!$E$267))=0,"",INDEX('Inspections'!$M$4:$M$503,_calc!$E$267)))=0,"","Source: "&amp;IF(LEN(INDEX('Inspections'!$M$4:$M$503,_calc!$E$267))=0,"",INDEX('Inspections'!$M$4:$M$503,_calc!$E$267))&amp;". ")&amp;IF(LEN(IF(LEN(INDEX('Inspections'!$N$4:$N$503,_calc!$E$267))=0,"",INDEX('Inspections'!$N$4:$N$503,_calc!$E$267)))=0,"","Owner: "&amp;IF(LEN(INDEX('Inspections'!$N$4:$N$503,_calc!$E$267))=0,"",INDEX('Inspections'!$N$4:$N$503,_calc!$E$267))&amp;". ")&amp;IF(LEN(IF(LEN(INDEX('Inspections'!$O$4:$O$503,_calc!$E$267))=0,"",INDEX('Inspections'!$O$4:$O$503,_calc!$E$267)))=0,"","Backup: "&amp;IF(LEN(INDEX('Inspections'!$O$4:$O$503,_calc!$E$267))=0,"",INDEX('Inspections'!$O$4:$O$503,_calc!$E$267))&amp;". ")&amp;IF(LEN(IF(LEN(INDEX('Inspections'!$R$4:$R$503,_calc!$E$267))=0,"",INDEX('Inspections'!$R$4:$R$503,_calc!$E$267)))=0,"",IF(LEN(INDEX('Inspections'!$R$4:$R$503,_calc!$E$267))=0,"",INDEX('Inspections'!$R$4:$R$503,_calc!$E$267)))))</f>
        <v/>
      </c>
      <c r="G265" s="55">
        <f>IF(_calc!$E$267="","",IF(LEN(INDEX('Inspections'!$Q$4:$Q$503,_calc!$E$267))=0,"",INDEX('Inspections'!$Q$4:$Q$503,_calc!$E$267)))</f>
        <v/>
      </c>
      <c r="K265" s="55">
        <f>IF(_calc!$E$267="","",IF(LEN(INDEX('Inspections'!$P$4:$P$503,_calc!$E$267))=0,"",INDEX('Inspections'!$P$4:$P$503,_calc!$E$267)))</f>
        <v/>
      </c>
    </row>
    <row r="266">
      <c r="A266" s="55">
        <f>IF(_calc!$E$268="","",IF(LEN(INDEX('Inspections'!$C$4:$C$503,_calc!$E$268))=0,"",INDEX('Inspections'!$C$4:$C$503,_calc!$E$268))&amp;" – "&amp;IF(LEN(INDEX('Inspections'!$A$4:$A$503,_calc!$E$268))=0,"",INDEX('Inspections'!$A$4:$A$503,_calc!$E$268)))</f>
        <v/>
      </c>
      <c r="B266" s="55">
        <f>IF(_calc!$E$268="","",IF(ISNUMBER(INDEX('Inspections'!$H$4:$H$503,_calc!$E$268)),TEXT(INDEX('Inspections'!$H$4:$H$503,_calc!$E$268),"yyyy-mm-dd"),""))</f>
        <v/>
      </c>
      <c r="C266" s="55">
        <f>IF(_calc!$E$268="","","Inspection")</f>
        <v/>
      </c>
      <c r="D266" s="55">
        <f>IF(_calc!$E$268="","",IF(ISNUMBER(INDEX('Inspections'!$G$4:$G$503,_calc!$E$268)),TEXT(INDEX('Inspections'!$G$4:$G$503,_calc!$E$268),"yyyy-mm-dd"),""))</f>
        <v/>
      </c>
      <c r="F266" s="55">
        <f>IF(_calc!$E$268="","",TRIM(IF(LEN(IF(LEN(INDEX('Inspections'!$B$4:$B$503,_calc!$E$268))=0,"",INDEX('Inspections'!$B$4:$B$503,_calc!$E$268)))=0,"","System: "&amp;IF(LEN(INDEX('Inspections'!$B$4:$B$503,_calc!$E$268))=0,"",INDEX('Inspections'!$B$4:$B$503,_calc!$E$268))&amp;". ")&amp;IF(LEN(IF(LEN(INDEX('Inspections'!$D$4:$D$503,_calc!$E$268))=0,"",INDEX('Inspections'!$D$4:$D$503,_calc!$E$268)))=0,"","Every: "&amp;IF(LEN(INDEX('Inspections'!$D$4:$D$503,_calc!$E$268))=0,"",INDEX('Inspections'!$D$4:$D$503,_calc!$E$268))&amp;". ")&amp;IF(LEN(IF(LEN(INDEX('Inspections'!$E$4:$E$503,_calc!$E$268))=0,"",INDEX('Inspections'!$E$4:$E$503,_calc!$E$268)))=0,"","Unit: "&amp;IF(LEN(INDEX('Inspections'!$E$4:$E$503,_calc!$E$268))=0,"",INDEX('Inspections'!$E$4:$E$503,_calc!$E$268))&amp;". ")&amp;IF(LEN(IF(LEN(INDEX('Inspections'!$F$4:$F$503,_calc!$E$268))=0,"",INDEX('Inspections'!$F$4:$F$503,_calc!$E$268)))=0,"","Done by: "&amp;IF(LEN(INDEX('Inspections'!$F$4:$F$503,_calc!$E$268))=0,"",INDEX('Inspections'!$F$4:$F$503,_calc!$E$268))&amp;". ")&amp;IF(LEN(IF(LEN(INDEX('Inspections'!$M$4:$M$503,_calc!$E$268))=0,"",INDEX('Inspections'!$M$4:$M$503,_calc!$E$268)))=0,"","Source: "&amp;IF(LEN(INDEX('Inspections'!$M$4:$M$503,_calc!$E$268))=0,"",INDEX('Inspections'!$M$4:$M$503,_calc!$E$268))&amp;". ")&amp;IF(LEN(IF(LEN(INDEX('Inspections'!$N$4:$N$503,_calc!$E$268))=0,"",INDEX('Inspections'!$N$4:$N$503,_calc!$E$268)))=0,"","Owner: "&amp;IF(LEN(INDEX('Inspections'!$N$4:$N$503,_calc!$E$268))=0,"",INDEX('Inspections'!$N$4:$N$503,_calc!$E$268))&amp;". ")&amp;IF(LEN(IF(LEN(INDEX('Inspections'!$O$4:$O$503,_calc!$E$268))=0,"",INDEX('Inspections'!$O$4:$O$503,_calc!$E$268)))=0,"","Backup: "&amp;IF(LEN(INDEX('Inspections'!$O$4:$O$503,_calc!$E$268))=0,"",INDEX('Inspections'!$O$4:$O$503,_calc!$E$268))&amp;". ")&amp;IF(LEN(IF(LEN(INDEX('Inspections'!$R$4:$R$503,_calc!$E$268))=0,"",INDEX('Inspections'!$R$4:$R$503,_calc!$E$268)))=0,"",IF(LEN(INDEX('Inspections'!$R$4:$R$503,_calc!$E$268))=0,"",INDEX('Inspections'!$R$4:$R$503,_calc!$E$268)))))</f>
        <v/>
      </c>
      <c r="G266" s="55">
        <f>IF(_calc!$E$268="","",IF(LEN(INDEX('Inspections'!$Q$4:$Q$503,_calc!$E$268))=0,"",INDEX('Inspections'!$Q$4:$Q$503,_calc!$E$268)))</f>
        <v/>
      </c>
      <c r="K266" s="55">
        <f>IF(_calc!$E$268="","",IF(LEN(INDEX('Inspections'!$P$4:$P$503,_calc!$E$268))=0,"",INDEX('Inspections'!$P$4:$P$503,_calc!$E$268)))</f>
        <v/>
      </c>
    </row>
    <row r="267">
      <c r="A267" s="55">
        <f>IF(_calc!$E$269="","",IF(LEN(INDEX('Inspections'!$C$4:$C$503,_calc!$E$269))=0,"",INDEX('Inspections'!$C$4:$C$503,_calc!$E$269))&amp;" – "&amp;IF(LEN(INDEX('Inspections'!$A$4:$A$503,_calc!$E$269))=0,"",INDEX('Inspections'!$A$4:$A$503,_calc!$E$269)))</f>
        <v/>
      </c>
      <c r="B267" s="55">
        <f>IF(_calc!$E$269="","",IF(ISNUMBER(INDEX('Inspections'!$H$4:$H$503,_calc!$E$269)),TEXT(INDEX('Inspections'!$H$4:$H$503,_calc!$E$269),"yyyy-mm-dd"),""))</f>
        <v/>
      </c>
      <c r="C267" s="55">
        <f>IF(_calc!$E$269="","","Inspection")</f>
        <v/>
      </c>
      <c r="D267" s="55">
        <f>IF(_calc!$E$269="","",IF(ISNUMBER(INDEX('Inspections'!$G$4:$G$503,_calc!$E$269)),TEXT(INDEX('Inspections'!$G$4:$G$503,_calc!$E$269),"yyyy-mm-dd"),""))</f>
        <v/>
      </c>
      <c r="F267" s="55">
        <f>IF(_calc!$E$269="","",TRIM(IF(LEN(IF(LEN(INDEX('Inspections'!$B$4:$B$503,_calc!$E$269))=0,"",INDEX('Inspections'!$B$4:$B$503,_calc!$E$269)))=0,"","System: "&amp;IF(LEN(INDEX('Inspections'!$B$4:$B$503,_calc!$E$269))=0,"",INDEX('Inspections'!$B$4:$B$503,_calc!$E$269))&amp;". ")&amp;IF(LEN(IF(LEN(INDEX('Inspections'!$D$4:$D$503,_calc!$E$269))=0,"",INDEX('Inspections'!$D$4:$D$503,_calc!$E$269)))=0,"","Every: "&amp;IF(LEN(INDEX('Inspections'!$D$4:$D$503,_calc!$E$269))=0,"",INDEX('Inspections'!$D$4:$D$503,_calc!$E$269))&amp;". ")&amp;IF(LEN(IF(LEN(INDEX('Inspections'!$E$4:$E$503,_calc!$E$269))=0,"",INDEX('Inspections'!$E$4:$E$503,_calc!$E$269)))=0,"","Unit: "&amp;IF(LEN(INDEX('Inspections'!$E$4:$E$503,_calc!$E$269))=0,"",INDEX('Inspections'!$E$4:$E$503,_calc!$E$269))&amp;". ")&amp;IF(LEN(IF(LEN(INDEX('Inspections'!$F$4:$F$503,_calc!$E$269))=0,"",INDEX('Inspections'!$F$4:$F$503,_calc!$E$269)))=0,"","Done by: "&amp;IF(LEN(INDEX('Inspections'!$F$4:$F$503,_calc!$E$269))=0,"",INDEX('Inspections'!$F$4:$F$503,_calc!$E$269))&amp;". ")&amp;IF(LEN(IF(LEN(INDEX('Inspections'!$M$4:$M$503,_calc!$E$269))=0,"",INDEX('Inspections'!$M$4:$M$503,_calc!$E$269)))=0,"","Source: "&amp;IF(LEN(INDEX('Inspections'!$M$4:$M$503,_calc!$E$269))=0,"",INDEX('Inspections'!$M$4:$M$503,_calc!$E$269))&amp;". ")&amp;IF(LEN(IF(LEN(INDEX('Inspections'!$N$4:$N$503,_calc!$E$269))=0,"",INDEX('Inspections'!$N$4:$N$503,_calc!$E$269)))=0,"","Owner: "&amp;IF(LEN(INDEX('Inspections'!$N$4:$N$503,_calc!$E$269))=0,"",INDEX('Inspections'!$N$4:$N$503,_calc!$E$269))&amp;". ")&amp;IF(LEN(IF(LEN(INDEX('Inspections'!$O$4:$O$503,_calc!$E$269))=0,"",INDEX('Inspections'!$O$4:$O$503,_calc!$E$269)))=0,"","Backup: "&amp;IF(LEN(INDEX('Inspections'!$O$4:$O$503,_calc!$E$269))=0,"",INDEX('Inspections'!$O$4:$O$503,_calc!$E$269))&amp;". ")&amp;IF(LEN(IF(LEN(INDEX('Inspections'!$R$4:$R$503,_calc!$E$269))=0,"",INDEX('Inspections'!$R$4:$R$503,_calc!$E$269)))=0,"",IF(LEN(INDEX('Inspections'!$R$4:$R$503,_calc!$E$269))=0,"",INDEX('Inspections'!$R$4:$R$503,_calc!$E$269)))))</f>
        <v/>
      </c>
      <c r="G267" s="55">
        <f>IF(_calc!$E$269="","",IF(LEN(INDEX('Inspections'!$Q$4:$Q$503,_calc!$E$269))=0,"",INDEX('Inspections'!$Q$4:$Q$503,_calc!$E$269)))</f>
        <v/>
      </c>
      <c r="K267" s="55">
        <f>IF(_calc!$E$269="","",IF(LEN(INDEX('Inspections'!$P$4:$P$503,_calc!$E$269))=0,"",INDEX('Inspections'!$P$4:$P$503,_calc!$E$269)))</f>
        <v/>
      </c>
    </row>
    <row r="268">
      <c r="A268" s="55">
        <f>IF(_calc!$E$270="","",IF(LEN(INDEX('Inspections'!$C$4:$C$503,_calc!$E$270))=0,"",INDEX('Inspections'!$C$4:$C$503,_calc!$E$270))&amp;" – "&amp;IF(LEN(INDEX('Inspections'!$A$4:$A$503,_calc!$E$270))=0,"",INDEX('Inspections'!$A$4:$A$503,_calc!$E$270)))</f>
        <v/>
      </c>
      <c r="B268" s="55">
        <f>IF(_calc!$E$270="","",IF(ISNUMBER(INDEX('Inspections'!$H$4:$H$503,_calc!$E$270)),TEXT(INDEX('Inspections'!$H$4:$H$503,_calc!$E$270),"yyyy-mm-dd"),""))</f>
        <v/>
      </c>
      <c r="C268" s="55">
        <f>IF(_calc!$E$270="","","Inspection")</f>
        <v/>
      </c>
      <c r="D268" s="55">
        <f>IF(_calc!$E$270="","",IF(ISNUMBER(INDEX('Inspections'!$G$4:$G$503,_calc!$E$270)),TEXT(INDEX('Inspections'!$G$4:$G$503,_calc!$E$270),"yyyy-mm-dd"),""))</f>
        <v/>
      </c>
      <c r="F268" s="55">
        <f>IF(_calc!$E$270="","",TRIM(IF(LEN(IF(LEN(INDEX('Inspections'!$B$4:$B$503,_calc!$E$270))=0,"",INDEX('Inspections'!$B$4:$B$503,_calc!$E$270)))=0,"","System: "&amp;IF(LEN(INDEX('Inspections'!$B$4:$B$503,_calc!$E$270))=0,"",INDEX('Inspections'!$B$4:$B$503,_calc!$E$270))&amp;". ")&amp;IF(LEN(IF(LEN(INDEX('Inspections'!$D$4:$D$503,_calc!$E$270))=0,"",INDEX('Inspections'!$D$4:$D$503,_calc!$E$270)))=0,"","Every: "&amp;IF(LEN(INDEX('Inspections'!$D$4:$D$503,_calc!$E$270))=0,"",INDEX('Inspections'!$D$4:$D$503,_calc!$E$270))&amp;". ")&amp;IF(LEN(IF(LEN(INDEX('Inspections'!$E$4:$E$503,_calc!$E$270))=0,"",INDEX('Inspections'!$E$4:$E$503,_calc!$E$270)))=0,"","Unit: "&amp;IF(LEN(INDEX('Inspections'!$E$4:$E$503,_calc!$E$270))=0,"",INDEX('Inspections'!$E$4:$E$503,_calc!$E$270))&amp;". ")&amp;IF(LEN(IF(LEN(INDEX('Inspections'!$F$4:$F$503,_calc!$E$270))=0,"",INDEX('Inspections'!$F$4:$F$503,_calc!$E$270)))=0,"","Done by: "&amp;IF(LEN(INDEX('Inspections'!$F$4:$F$503,_calc!$E$270))=0,"",INDEX('Inspections'!$F$4:$F$503,_calc!$E$270))&amp;". ")&amp;IF(LEN(IF(LEN(INDEX('Inspections'!$M$4:$M$503,_calc!$E$270))=0,"",INDEX('Inspections'!$M$4:$M$503,_calc!$E$270)))=0,"","Source: "&amp;IF(LEN(INDEX('Inspections'!$M$4:$M$503,_calc!$E$270))=0,"",INDEX('Inspections'!$M$4:$M$503,_calc!$E$270))&amp;". ")&amp;IF(LEN(IF(LEN(INDEX('Inspections'!$N$4:$N$503,_calc!$E$270))=0,"",INDEX('Inspections'!$N$4:$N$503,_calc!$E$270)))=0,"","Owner: "&amp;IF(LEN(INDEX('Inspections'!$N$4:$N$503,_calc!$E$270))=0,"",INDEX('Inspections'!$N$4:$N$503,_calc!$E$270))&amp;". ")&amp;IF(LEN(IF(LEN(INDEX('Inspections'!$O$4:$O$503,_calc!$E$270))=0,"",INDEX('Inspections'!$O$4:$O$503,_calc!$E$270)))=0,"","Backup: "&amp;IF(LEN(INDEX('Inspections'!$O$4:$O$503,_calc!$E$270))=0,"",INDEX('Inspections'!$O$4:$O$503,_calc!$E$270))&amp;". ")&amp;IF(LEN(IF(LEN(INDEX('Inspections'!$R$4:$R$503,_calc!$E$270))=0,"",INDEX('Inspections'!$R$4:$R$503,_calc!$E$270)))=0,"",IF(LEN(INDEX('Inspections'!$R$4:$R$503,_calc!$E$270))=0,"",INDEX('Inspections'!$R$4:$R$503,_calc!$E$270)))))</f>
        <v/>
      </c>
      <c r="G268" s="55">
        <f>IF(_calc!$E$270="","",IF(LEN(INDEX('Inspections'!$Q$4:$Q$503,_calc!$E$270))=0,"",INDEX('Inspections'!$Q$4:$Q$503,_calc!$E$270)))</f>
        <v/>
      </c>
      <c r="K268" s="55">
        <f>IF(_calc!$E$270="","",IF(LEN(INDEX('Inspections'!$P$4:$P$503,_calc!$E$270))=0,"",INDEX('Inspections'!$P$4:$P$503,_calc!$E$270)))</f>
        <v/>
      </c>
    </row>
    <row r="269">
      <c r="A269" s="55">
        <f>IF(_calc!$E$271="","",IF(LEN(INDEX('Inspections'!$C$4:$C$503,_calc!$E$271))=0,"",INDEX('Inspections'!$C$4:$C$503,_calc!$E$271))&amp;" – "&amp;IF(LEN(INDEX('Inspections'!$A$4:$A$503,_calc!$E$271))=0,"",INDEX('Inspections'!$A$4:$A$503,_calc!$E$271)))</f>
        <v/>
      </c>
      <c r="B269" s="55">
        <f>IF(_calc!$E$271="","",IF(ISNUMBER(INDEX('Inspections'!$H$4:$H$503,_calc!$E$271)),TEXT(INDEX('Inspections'!$H$4:$H$503,_calc!$E$271),"yyyy-mm-dd"),""))</f>
        <v/>
      </c>
      <c r="C269" s="55">
        <f>IF(_calc!$E$271="","","Inspection")</f>
        <v/>
      </c>
      <c r="D269" s="55">
        <f>IF(_calc!$E$271="","",IF(ISNUMBER(INDEX('Inspections'!$G$4:$G$503,_calc!$E$271)),TEXT(INDEX('Inspections'!$G$4:$G$503,_calc!$E$271),"yyyy-mm-dd"),""))</f>
        <v/>
      </c>
      <c r="F269" s="55">
        <f>IF(_calc!$E$271="","",TRIM(IF(LEN(IF(LEN(INDEX('Inspections'!$B$4:$B$503,_calc!$E$271))=0,"",INDEX('Inspections'!$B$4:$B$503,_calc!$E$271)))=0,"","System: "&amp;IF(LEN(INDEX('Inspections'!$B$4:$B$503,_calc!$E$271))=0,"",INDEX('Inspections'!$B$4:$B$503,_calc!$E$271))&amp;". ")&amp;IF(LEN(IF(LEN(INDEX('Inspections'!$D$4:$D$503,_calc!$E$271))=0,"",INDEX('Inspections'!$D$4:$D$503,_calc!$E$271)))=0,"","Every: "&amp;IF(LEN(INDEX('Inspections'!$D$4:$D$503,_calc!$E$271))=0,"",INDEX('Inspections'!$D$4:$D$503,_calc!$E$271))&amp;". ")&amp;IF(LEN(IF(LEN(INDEX('Inspections'!$E$4:$E$503,_calc!$E$271))=0,"",INDEX('Inspections'!$E$4:$E$503,_calc!$E$271)))=0,"","Unit: "&amp;IF(LEN(INDEX('Inspections'!$E$4:$E$503,_calc!$E$271))=0,"",INDEX('Inspections'!$E$4:$E$503,_calc!$E$271))&amp;". ")&amp;IF(LEN(IF(LEN(INDEX('Inspections'!$F$4:$F$503,_calc!$E$271))=0,"",INDEX('Inspections'!$F$4:$F$503,_calc!$E$271)))=0,"","Done by: "&amp;IF(LEN(INDEX('Inspections'!$F$4:$F$503,_calc!$E$271))=0,"",INDEX('Inspections'!$F$4:$F$503,_calc!$E$271))&amp;". ")&amp;IF(LEN(IF(LEN(INDEX('Inspections'!$M$4:$M$503,_calc!$E$271))=0,"",INDEX('Inspections'!$M$4:$M$503,_calc!$E$271)))=0,"","Source: "&amp;IF(LEN(INDEX('Inspections'!$M$4:$M$503,_calc!$E$271))=0,"",INDEX('Inspections'!$M$4:$M$503,_calc!$E$271))&amp;". ")&amp;IF(LEN(IF(LEN(INDEX('Inspections'!$N$4:$N$503,_calc!$E$271))=0,"",INDEX('Inspections'!$N$4:$N$503,_calc!$E$271)))=0,"","Owner: "&amp;IF(LEN(INDEX('Inspections'!$N$4:$N$503,_calc!$E$271))=0,"",INDEX('Inspections'!$N$4:$N$503,_calc!$E$271))&amp;". ")&amp;IF(LEN(IF(LEN(INDEX('Inspections'!$O$4:$O$503,_calc!$E$271))=0,"",INDEX('Inspections'!$O$4:$O$503,_calc!$E$271)))=0,"","Backup: "&amp;IF(LEN(INDEX('Inspections'!$O$4:$O$503,_calc!$E$271))=0,"",INDEX('Inspections'!$O$4:$O$503,_calc!$E$271))&amp;". ")&amp;IF(LEN(IF(LEN(INDEX('Inspections'!$R$4:$R$503,_calc!$E$271))=0,"",INDEX('Inspections'!$R$4:$R$503,_calc!$E$271)))=0,"",IF(LEN(INDEX('Inspections'!$R$4:$R$503,_calc!$E$271))=0,"",INDEX('Inspections'!$R$4:$R$503,_calc!$E$271)))))</f>
        <v/>
      </c>
      <c r="G269" s="55">
        <f>IF(_calc!$E$271="","",IF(LEN(INDEX('Inspections'!$Q$4:$Q$503,_calc!$E$271))=0,"",INDEX('Inspections'!$Q$4:$Q$503,_calc!$E$271)))</f>
        <v/>
      </c>
      <c r="K269" s="55">
        <f>IF(_calc!$E$271="","",IF(LEN(INDEX('Inspections'!$P$4:$P$503,_calc!$E$271))=0,"",INDEX('Inspections'!$P$4:$P$503,_calc!$E$271)))</f>
        <v/>
      </c>
    </row>
    <row r="270">
      <c r="A270" s="55">
        <f>IF(_calc!$E$272="","",IF(LEN(INDEX('Inspections'!$C$4:$C$503,_calc!$E$272))=0,"",INDEX('Inspections'!$C$4:$C$503,_calc!$E$272))&amp;" – "&amp;IF(LEN(INDEX('Inspections'!$A$4:$A$503,_calc!$E$272))=0,"",INDEX('Inspections'!$A$4:$A$503,_calc!$E$272)))</f>
        <v/>
      </c>
      <c r="B270" s="55">
        <f>IF(_calc!$E$272="","",IF(ISNUMBER(INDEX('Inspections'!$H$4:$H$503,_calc!$E$272)),TEXT(INDEX('Inspections'!$H$4:$H$503,_calc!$E$272),"yyyy-mm-dd"),""))</f>
        <v/>
      </c>
      <c r="C270" s="55">
        <f>IF(_calc!$E$272="","","Inspection")</f>
        <v/>
      </c>
      <c r="D270" s="55">
        <f>IF(_calc!$E$272="","",IF(ISNUMBER(INDEX('Inspections'!$G$4:$G$503,_calc!$E$272)),TEXT(INDEX('Inspections'!$G$4:$G$503,_calc!$E$272),"yyyy-mm-dd"),""))</f>
        <v/>
      </c>
      <c r="F270" s="55">
        <f>IF(_calc!$E$272="","",TRIM(IF(LEN(IF(LEN(INDEX('Inspections'!$B$4:$B$503,_calc!$E$272))=0,"",INDEX('Inspections'!$B$4:$B$503,_calc!$E$272)))=0,"","System: "&amp;IF(LEN(INDEX('Inspections'!$B$4:$B$503,_calc!$E$272))=0,"",INDEX('Inspections'!$B$4:$B$503,_calc!$E$272))&amp;". ")&amp;IF(LEN(IF(LEN(INDEX('Inspections'!$D$4:$D$503,_calc!$E$272))=0,"",INDEX('Inspections'!$D$4:$D$503,_calc!$E$272)))=0,"","Every: "&amp;IF(LEN(INDEX('Inspections'!$D$4:$D$503,_calc!$E$272))=0,"",INDEX('Inspections'!$D$4:$D$503,_calc!$E$272))&amp;". ")&amp;IF(LEN(IF(LEN(INDEX('Inspections'!$E$4:$E$503,_calc!$E$272))=0,"",INDEX('Inspections'!$E$4:$E$503,_calc!$E$272)))=0,"","Unit: "&amp;IF(LEN(INDEX('Inspections'!$E$4:$E$503,_calc!$E$272))=0,"",INDEX('Inspections'!$E$4:$E$503,_calc!$E$272))&amp;". ")&amp;IF(LEN(IF(LEN(INDEX('Inspections'!$F$4:$F$503,_calc!$E$272))=0,"",INDEX('Inspections'!$F$4:$F$503,_calc!$E$272)))=0,"","Done by: "&amp;IF(LEN(INDEX('Inspections'!$F$4:$F$503,_calc!$E$272))=0,"",INDEX('Inspections'!$F$4:$F$503,_calc!$E$272))&amp;". ")&amp;IF(LEN(IF(LEN(INDEX('Inspections'!$M$4:$M$503,_calc!$E$272))=0,"",INDEX('Inspections'!$M$4:$M$503,_calc!$E$272)))=0,"","Source: "&amp;IF(LEN(INDEX('Inspections'!$M$4:$M$503,_calc!$E$272))=0,"",INDEX('Inspections'!$M$4:$M$503,_calc!$E$272))&amp;". ")&amp;IF(LEN(IF(LEN(INDEX('Inspections'!$N$4:$N$503,_calc!$E$272))=0,"",INDEX('Inspections'!$N$4:$N$503,_calc!$E$272)))=0,"","Owner: "&amp;IF(LEN(INDEX('Inspections'!$N$4:$N$503,_calc!$E$272))=0,"",INDEX('Inspections'!$N$4:$N$503,_calc!$E$272))&amp;". ")&amp;IF(LEN(IF(LEN(INDEX('Inspections'!$O$4:$O$503,_calc!$E$272))=0,"",INDEX('Inspections'!$O$4:$O$503,_calc!$E$272)))=0,"","Backup: "&amp;IF(LEN(INDEX('Inspections'!$O$4:$O$503,_calc!$E$272))=0,"",INDEX('Inspections'!$O$4:$O$503,_calc!$E$272))&amp;". ")&amp;IF(LEN(IF(LEN(INDEX('Inspections'!$R$4:$R$503,_calc!$E$272))=0,"",INDEX('Inspections'!$R$4:$R$503,_calc!$E$272)))=0,"",IF(LEN(INDEX('Inspections'!$R$4:$R$503,_calc!$E$272))=0,"",INDEX('Inspections'!$R$4:$R$503,_calc!$E$272)))))</f>
        <v/>
      </c>
      <c r="G270" s="55">
        <f>IF(_calc!$E$272="","",IF(LEN(INDEX('Inspections'!$Q$4:$Q$503,_calc!$E$272))=0,"",INDEX('Inspections'!$Q$4:$Q$503,_calc!$E$272)))</f>
        <v/>
      </c>
      <c r="K270" s="55">
        <f>IF(_calc!$E$272="","",IF(LEN(INDEX('Inspections'!$P$4:$P$503,_calc!$E$272))=0,"",INDEX('Inspections'!$P$4:$P$503,_calc!$E$272)))</f>
        <v/>
      </c>
    </row>
    <row r="271">
      <c r="A271" s="55">
        <f>IF(_calc!$E$273="","",IF(LEN(INDEX('Inspections'!$C$4:$C$503,_calc!$E$273))=0,"",INDEX('Inspections'!$C$4:$C$503,_calc!$E$273))&amp;" – "&amp;IF(LEN(INDEX('Inspections'!$A$4:$A$503,_calc!$E$273))=0,"",INDEX('Inspections'!$A$4:$A$503,_calc!$E$273)))</f>
        <v/>
      </c>
      <c r="B271" s="55">
        <f>IF(_calc!$E$273="","",IF(ISNUMBER(INDEX('Inspections'!$H$4:$H$503,_calc!$E$273)),TEXT(INDEX('Inspections'!$H$4:$H$503,_calc!$E$273),"yyyy-mm-dd"),""))</f>
        <v/>
      </c>
      <c r="C271" s="55">
        <f>IF(_calc!$E$273="","","Inspection")</f>
        <v/>
      </c>
      <c r="D271" s="55">
        <f>IF(_calc!$E$273="","",IF(ISNUMBER(INDEX('Inspections'!$G$4:$G$503,_calc!$E$273)),TEXT(INDEX('Inspections'!$G$4:$G$503,_calc!$E$273),"yyyy-mm-dd"),""))</f>
        <v/>
      </c>
      <c r="F271" s="55">
        <f>IF(_calc!$E$273="","",TRIM(IF(LEN(IF(LEN(INDEX('Inspections'!$B$4:$B$503,_calc!$E$273))=0,"",INDEX('Inspections'!$B$4:$B$503,_calc!$E$273)))=0,"","System: "&amp;IF(LEN(INDEX('Inspections'!$B$4:$B$503,_calc!$E$273))=0,"",INDEX('Inspections'!$B$4:$B$503,_calc!$E$273))&amp;". ")&amp;IF(LEN(IF(LEN(INDEX('Inspections'!$D$4:$D$503,_calc!$E$273))=0,"",INDEX('Inspections'!$D$4:$D$503,_calc!$E$273)))=0,"","Every: "&amp;IF(LEN(INDEX('Inspections'!$D$4:$D$503,_calc!$E$273))=0,"",INDEX('Inspections'!$D$4:$D$503,_calc!$E$273))&amp;". ")&amp;IF(LEN(IF(LEN(INDEX('Inspections'!$E$4:$E$503,_calc!$E$273))=0,"",INDEX('Inspections'!$E$4:$E$503,_calc!$E$273)))=0,"","Unit: "&amp;IF(LEN(INDEX('Inspections'!$E$4:$E$503,_calc!$E$273))=0,"",INDEX('Inspections'!$E$4:$E$503,_calc!$E$273))&amp;". ")&amp;IF(LEN(IF(LEN(INDEX('Inspections'!$F$4:$F$503,_calc!$E$273))=0,"",INDEX('Inspections'!$F$4:$F$503,_calc!$E$273)))=0,"","Done by: "&amp;IF(LEN(INDEX('Inspections'!$F$4:$F$503,_calc!$E$273))=0,"",INDEX('Inspections'!$F$4:$F$503,_calc!$E$273))&amp;". ")&amp;IF(LEN(IF(LEN(INDEX('Inspections'!$M$4:$M$503,_calc!$E$273))=0,"",INDEX('Inspections'!$M$4:$M$503,_calc!$E$273)))=0,"","Source: "&amp;IF(LEN(INDEX('Inspections'!$M$4:$M$503,_calc!$E$273))=0,"",INDEX('Inspections'!$M$4:$M$503,_calc!$E$273))&amp;". ")&amp;IF(LEN(IF(LEN(INDEX('Inspections'!$N$4:$N$503,_calc!$E$273))=0,"",INDEX('Inspections'!$N$4:$N$503,_calc!$E$273)))=0,"","Owner: "&amp;IF(LEN(INDEX('Inspections'!$N$4:$N$503,_calc!$E$273))=0,"",INDEX('Inspections'!$N$4:$N$503,_calc!$E$273))&amp;". ")&amp;IF(LEN(IF(LEN(INDEX('Inspections'!$O$4:$O$503,_calc!$E$273))=0,"",INDEX('Inspections'!$O$4:$O$503,_calc!$E$273)))=0,"","Backup: "&amp;IF(LEN(INDEX('Inspections'!$O$4:$O$503,_calc!$E$273))=0,"",INDEX('Inspections'!$O$4:$O$503,_calc!$E$273))&amp;". ")&amp;IF(LEN(IF(LEN(INDEX('Inspections'!$R$4:$R$503,_calc!$E$273))=0,"",INDEX('Inspections'!$R$4:$R$503,_calc!$E$273)))=0,"",IF(LEN(INDEX('Inspections'!$R$4:$R$503,_calc!$E$273))=0,"",INDEX('Inspections'!$R$4:$R$503,_calc!$E$273)))))</f>
        <v/>
      </c>
      <c r="G271" s="55">
        <f>IF(_calc!$E$273="","",IF(LEN(INDEX('Inspections'!$Q$4:$Q$503,_calc!$E$273))=0,"",INDEX('Inspections'!$Q$4:$Q$503,_calc!$E$273)))</f>
        <v/>
      </c>
      <c r="K271" s="55">
        <f>IF(_calc!$E$273="","",IF(LEN(INDEX('Inspections'!$P$4:$P$503,_calc!$E$273))=0,"",INDEX('Inspections'!$P$4:$P$503,_calc!$E$273)))</f>
        <v/>
      </c>
    </row>
    <row r="272">
      <c r="A272" s="55">
        <f>IF(_calc!$E$274="","",IF(LEN(INDEX('Inspections'!$C$4:$C$503,_calc!$E$274))=0,"",INDEX('Inspections'!$C$4:$C$503,_calc!$E$274))&amp;" – "&amp;IF(LEN(INDEX('Inspections'!$A$4:$A$503,_calc!$E$274))=0,"",INDEX('Inspections'!$A$4:$A$503,_calc!$E$274)))</f>
        <v/>
      </c>
      <c r="B272" s="55">
        <f>IF(_calc!$E$274="","",IF(ISNUMBER(INDEX('Inspections'!$H$4:$H$503,_calc!$E$274)),TEXT(INDEX('Inspections'!$H$4:$H$503,_calc!$E$274),"yyyy-mm-dd"),""))</f>
        <v/>
      </c>
      <c r="C272" s="55">
        <f>IF(_calc!$E$274="","","Inspection")</f>
        <v/>
      </c>
      <c r="D272" s="55">
        <f>IF(_calc!$E$274="","",IF(ISNUMBER(INDEX('Inspections'!$G$4:$G$503,_calc!$E$274)),TEXT(INDEX('Inspections'!$G$4:$G$503,_calc!$E$274),"yyyy-mm-dd"),""))</f>
        <v/>
      </c>
      <c r="F272" s="55">
        <f>IF(_calc!$E$274="","",TRIM(IF(LEN(IF(LEN(INDEX('Inspections'!$B$4:$B$503,_calc!$E$274))=0,"",INDEX('Inspections'!$B$4:$B$503,_calc!$E$274)))=0,"","System: "&amp;IF(LEN(INDEX('Inspections'!$B$4:$B$503,_calc!$E$274))=0,"",INDEX('Inspections'!$B$4:$B$503,_calc!$E$274))&amp;". ")&amp;IF(LEN(IF(LEN(INDEX('Inspections'!$D$4:$D$503,_calc!$E$274))=0,"",INDEX('Inspections'!$D$4:$D$503,_calc!$E$274)))=0,"","Every: "&amp;IF(LEN(INDEX('Inspections'!$D$4:$D$503,_calc!$E$274))=0,"",INDEX('Inspections'!$D$4:$D$503,_calc!$E$274))&amp;". ")&amp;IF(LEN(IF(LEN(INDEX('Inspections'!$E$4:$E$503,_calc!$E$274))=0,"",INDEX('Inspections'!$E$4:$E$503,_calc!$E$274)))=0,"","Unit: "&amp;IF(LEN(INDEX('Inspections'!$E$4:$E$503,_calc!$E$274))=0,"",INDEX('Inspections'!$E$4:$E$503,_calc!$E$274))&amp;". ")&amp;IF(LEN(IF(LEN(INDEX('Inspections'!$F$4:$F$503,_calc!$E$274))=0,"",INDEX('Inspections'!$F$4:$F$503,_calc!$E$274)))=0,"","Done by: "&amp;IF(LEN(INDEX('Inspections'!$F$4:$F$503,_calc!$E$274))=0,"",INDEX('Inspections'!$F$4:$F$503,_calc!$E$274))&amp;". ")&amp;IF(LEN(IF(LEN(INDEX('Inspections'!$M$4:$M$503,_calc!$E$274))=0,"",INDEX('Inspections'!$M$4:$M$503,_calc!$E$274)))=0,"","Source: "&amp;IF(LEN(INDEX('Inspections'!$M$4:$M$503,_calc!$E$274))=0,"",INDEX('Inspections'!$M$4:$M$503,_calc!$E$274))&amp;". ")&amp;IF(LEN(IF(LEN(INDEX('Inspections'!$N$4:$N$503,_calc!$E$274))=0,"",INDEX('Inspections'!$N$4:$N$503,_calc!$E$274)))=0,"","Owner: "&amp;IF(LEN(INDEX('Inspections'!$N$4:$N$503,_calc!$E$274))=0,"",INDEX('Inspections'!$N$4:$N$503,_calc!$E$274))&amp;". ")&amp;IF(LEN(IF(LEN(INDEX('Inspections'!$O$4:$O$503,_calc!$E$274))=0,"",INDEX('Inspections'!$O$4:$O$503,_calc!$E$274)))=0,"","Backup: "&amp;IF(LEN(INDEX('Inspections'!$O$4:$O$503,_calc!$E$274))=0,"",INDEX('Inspections'!$O$4:$O$503,_calc!$E$274))&amp;". ")&amp;IF(LEN(IF(LEN(INDEX('Inspections'!$R$4:$R$503,_calc!$E$274))=0,"",INDEX('Inspections'!$R$4:$R$503,_calc!$E$274)))=0,"",IF(LEN(INDEX('Inspections'!$R$4:$R$503,_calc!$E$274))=0,"",INDEX('Inspections'!$R$4:$R$503,_calc!$E$274)))))</f>
        <v/>
      </c>
      <c r="G272" s="55">
        <f>IF(_calc!$E$274="","",IF(LEN(INDEX('Inspections'!$Q$4:$Q$503,_calc!$E$274))=0,"",INDEX('Inspections'!$Q$4:$Q$503,_calc!$E$274)))</f>
        <v/>
      </c>
      <c r="K272" s="55">
        <f>IF(_calc!$E$274="","",IF(LEN(INDEX('Inspections'!$P$4:$P$503,_calc!$E$274))=0,"",INDEX('Inspections'!$P$4:$P$503,_calc!$E$274)))</f>
        <v/>
      </c>
    </row>
    <row r="273">
      <c r="A273" s="55">
        <f>IF(_calc!$E$275="","",IF(LEN(INDEX('Inspections'!$C$4:$C$503,_calc!$E$275))=0,"",INDEX('Inspections'!$C$4:$C$503,_calc!$E$275))&amp;" – "&amp;IF(LEN(INDEX('Inspections'!$A$4:$A$503,_calc!$E$275))=0,"",INDEX('Inspections'!$A$4:$A$503,_calc!$E$275)))</f>
        <v/>
      </c>
      <c r="B273" s="55">
        <f>IF(_calc!$E$275="","",IF(ISNUMBER(INDEX('Inspections'!$H$4:$H$503,_calc!$E$275)),TEXT(INDEX('Inspections'!$H$4:$H$503,_calc!$E$275),"yyyy-mm-dd"),""))</f>
        <v/>
      </c>
      <c r="C273" s="55">
        <f>IF(_calc!$E$275="","","Inspection")</f>
        <v/>
      </c>
      <c r="D273" s="55">
        <f>IF(_calc!$E$275="","",IF(ISNUMBER(INDEX('Inspections'!$G$4:$G$503,_calc!$E$275)),TEXT(INDEX('Inspections'!$G$4:$G$503,_calc!$E$275),"yyyy-mm-dd"),""))</f>
        <v/>
      </c>
      <c r="F273" s="55">
        <f>IF(_calc!$E$275="","",TRIM(IF(LEN(IF(LEN(INDEX('Inspections'!$B$4:$B$503,_calc!$E$275))=0,"",INDEX('Inspections'!$B$4:$B$503,_calc!$E$275)))=0,"","System: "&amp;IF(LEN(INDEX('Inspections'!$B$4:$B$503,_calc!$E$275))=0,"",INDEX('Inspections'!$B$4:$B$503,_calc!$E$275))&amp;". ")&amp;IF(LEN(IF(LEN(INDEX('Inspections'!$D$4:$D$503,_calc!$E$275))=0,"",INDEX('Inspections'!$D$4:$D$503,_calc!$E$275)))=0,"","Every: "&amp;IF(LEN(INDEX('Inspections'!$D$4:$D$503,_calc!$E$275))=0,"",INDEX('Inspections'!$D$4:$D$503,_calc!$E$275))&amp;". ")&amp;IF(LEN(IF(LEN(INDEX('Inspections'!$E$4:$E$503,_calc!$E$275))=0,"",INDEX('Inspections'!$E$4:$E$503,_calc!$E$275)))=0,"","Unit: "&amp;IF(LEN(INDEX('Inspections'!$E$4:$E$503,_calc!$E$275))=0,"",INDEX('Inspections'!$E$4:$E$503,_calc!$E$275))&amp;". ")&amp;IF(LEN(IF(LEN(INDEX('Inspections'!$F$4:$F$503,_calc!$E$275))=0,"",INDEX('Inspections'!$F$4:$F$503,_calc!$E$275)))=0,"","Done by: "&amp;IF(LEN(INDEX('Inspections'!$F$4:$F$503,_calc!$E$275))=0,"",INDEX('Inspections'!$F$4:$F$503,_calc!$E$275))&amp;". ")&amp;IF(LEN(IF(LEN(INDEX('Inspections'!$M$4:$M$503,_calc!$E$275))=0,"",INDEX('Inspections'!$M$4:$M$503,_calc!$E$275)))=0,"","Source: "&amp;IF(LEN(INDEX('Inspections'!$M$4:$M$503,_calc!$E$275))=0,"",INDEX('Inspections'!$M$4:$M$503,_calc!$E$275))&amp;". ")&amp;IF(LEN(IF(LEN(INDEX('Inspections'!$N$4:$N$503,_calc!$E$275))=0,"",INDEX('Inspections'!$N$4:$N$503,_calc!$E$275)))=0,"","Owner: "&amp;IF(LEN(INDEX('Inspections'!$N$4:$N$503,_calc!$E$275))=0,"",INDEX('Inspections'!$N$4:$N$503,_calc!$E$275))&amp;". ")&amp;IF(LEN(IF(LEN(INDEX('Inspections'!$O$4:$O$503,_calc!$E$275))=0,"",INDEX('Inspections'!$O$4:$O$503,_calc!$E$275)))=0,"","Backup: "&amp;IF(LEN(INDEX('Inspections'!$O$4:$O$503,_calc!$E$275))=0,"",INDEX('Inspections'!$O$4:$O$503,_calc!$E$275))&amp;". ")&amp;IF(LEN(IF(LEN(INDEX('Inspections'!$R$4:$R$503,_calc!$E$275))=0,"",INDEX('Inspections'!$R$4:$R$503,_calc!$E$275)))=0,"",IF(LEN(INDEX('Inspections'!$R$4:$R$503,_calc!$E$275))=0,"",INDEX('Inspections'!$R$4:$R$503,_calc!$E$275)))))</f>
        <v/>
      </c>
      <c r="G273" s="55">
        <f>IF(_calc!$E$275="","",IF(LEN(INDEX('Inspections'!$Q$4:$Q$503,_calc!$E$275))=0,"",INDEX('Inspections'!$Q$4:$Q$503,_calc!$E$275)))</f>
        <v/>
      </c>
      <c r="K273" s="55">
        <f>IF(_calc!$E$275="","",IF(LEN(INDEX('Inspections'!$P$4:$P$503,_calc!$E$275))=0,"",INDEX('Inspections'!$P$4:$P$503,_calc!$E$275)))</f>
        <v/>
      </c>
    </row>
    <row r="274">
      <c r="A274" s="55">
        <f>IF(_calc!$E$276="","",IF(LEN(INDEX('Inspections'!$C$4:$C$503,_calc!$E$276))=0,"",INDEX('Inspections'!$C$4:$C$503,_calc!$E$276))&amp;" – "&amp;IF(LEN(INDEX('Inspections'!$A$4:$A$503,_calc!$E$276))=0,"",INDEX('Inspections'!$A$4:$A$503,_calc!$E$276)))</f>
        <v/>
      </c>
      <c r="B274" s="55">
        <f>IF(_calc!$E$276="","",IF(ISNUMBER(INDEX('Inspections'!$H$4:$H$503,_calc!$E$276)),TEXT(INDEX('Inspections'!$H$4:$H$503,_calc!$E$276),"yyyy-mm-dd"),""))</f>
        <v/>
      </c>
      <c r="C274" s="55">
        <f>IF(_calc!$E$276="","","Inspection")</f>
        <v/>
      </c>
      <c r="D274" s="55">
        <f>IF(_calc!$E$276="","",IF(ISNUMBER(INDEX('Inspections'!$G$4:$G$503,_calc!$E$276)),TEXT(INDEX('Inspections'!$G$4:$G$503,_calc!$E$276),"yyyy-mm-dd"),""))</f>
        <v/>
      </c>
      <c r="F274" s="55">
        <f>IF(_calc!$E$276="","",TRIM(IF(LEN(IF(LEN(INDEX('Inspections'!$B$4:$B$503,_calc!$E$276))=0,"",INDEX('Inspections'!$B$4:$B$503,_calc!$E$276)))=0,"","System: "&amp;IF(LEN(INDEX('Inspections'!$B$4:$B$503,_calc!$E$276))=0,"",INDEX('Inspections'!$B$4:$B$503,_calc!$E$276))&amp;". ")&amp;IF(LEN(IF(LEN(INDEX('Inspections'!$D$4:$D$503,_calc!$E$276))=0,"",INDEX('Inspections'!$D$4:$D$503,_calc!$E$276)))=0,"","Every: "&amp;IF(LEN(INDEX('Inspections'!$D$4:$D$503,_calc!$E$276))=0,"",INDEX('Inspections'!$D$4:$D$503,_calc!$E$276))&amp;". ")&amp;IF(LEN(IF(LEN(INDEX('Inspections'!$E$4:$E$503,_calc!$E$276))=0,"",INDEX('Inspections'!$E$4:$E$503,_calc!$E$276)))=0,"","Unit: "&amp;IF(LEN(INDEX('Inspections'!$E$4:$E$503,_calc!$E$276))=0,"",INDEX('Inspections'!$E$4:$E$503,_calc!$E$276))&amp;". ")&amp;IF(LEN(IF(LEN(INDEX('Inspections'!$F$4:$F$503,_calc!$E$276))=0,"",INDEX('Inspections'!$F$4:$F$503,_calc!$E$276)))=0,"","Done by: "&amp;IF(LEN(INDEX('Inspections'!$F$4:$F$503,_calc!$E$276))=0,"",INDEX('Inspections'!$F$4:$F$503,_calc!$E$276))&amp;". ")&amp;IF(LEN(IF(LEN(INDEX('Inspections'!$M$4:$M$503,_calc!$E$276))=0,"",INDEX('Inspections'!$M$4:$M$503,_calc!$E$276)))=0,"","Source: "&amp;IF(LEN(INDEX('Inspections'!$M$4:$M$503,_calc!$E$276))=0,"",INDEX('Inspections'!$M$4:$M$503,_calc!$E$276))&amp;". ")&amp;IF(LEN(IF(LEN(INDEX('Inspections'!$N$4:$N$503,_calc!$E$276))=0,"",INDEX('Inspections'!$N$4:$N$503,_calc!$E$276)))=0,"","Owner: "&amp;IF(LEN(INDEX('Inspections'!$N$4:$N$503,_calc!$E$276))=0,"",INDEX('Inspections'!$N$4:$N$503,_calc!$E$276))&amp;". ")&amp;IF(LEN(IF(LEN(INDEX('Inspections'!$O$4:$O$503,_calc!$E$276))=0,"",INDEX('Inspections'!$O$4:$O$503,_calc!$E$276)))=0,"","Backup: "&amp;IF(LEN(INDEX('Inspections'!$O$4:$O$503,_calc!$E$276))=0,"",INDEX('Inspections'!$O$4:$O$503,_calc!$E$276))&amp;". ")&amp;IF(LEN(IF(LEN(INDEX('Inspections'!$R$4:$R$503,_calc!$E$276))=0,"",INDEX('Inspections'!$R$4:$R$503,_calc!$E$276)))=0,"",IF(LEN(INDEX('Inspections'!$R$4:$R$503,_calc!$E$276))=0,"",INDEX('Inspections'!$R$4:$R$503,_calc!$E$276)))))</f>
        <v/>
      </c>
      <c r="G274" s="55">
        <f>IF(_calc!$E$276="","",IF(LEN(INDEX('Inspections'!$Q$4:$Q$503,_calc!$E$276))=0,"",INDEX('Inspections'!$Q$4:$Q$503,_calc!$E$276)))</f>
        <v/>
      </c>
      <c r="K274" s="55">
        <f>IF(_calc!$E$276="","",IF(LEN(INDEX('Inspections'!$P$4:$P$503,_calc!$E$276))=0,"",INDEX('Inspections'!$P$4:$P$503,_calc!$E$276)))</f>
        <v/>
      </c>
    </row>
    <row r="275">
      <c r="A275" s="55">
        <f>IF(_calc!$E$277="","",IF(LEN(INDEX('Inspections'!$C$4:$C$503,_calc!$E$277))=0,"",INDEX('Inspections'!$C$4:$C$503,_calc!$E$277))&amp;" – "&amp;IF(LEN(INDEX('Inspections'!$A$4:$A$503,_calc!$E$277))=0,"",INDEX('Inspections'!$A$4:$A$503,_calc!$E$277)))</f>
        <v/>
      </c>
      <c r="B275" s="55">
        <f>IF(_calc!$E$277="","",IF(ISNUMBER(INDEX('Inspections'!$H$4:$H$503,_calc!$E$277)),TEXT(INDEX('Inspections'!$H$4:$H$503,_calc!$E$277),"yyyy-mm-dd"),""))</f>
        <v/>
      </c>
      <c r="C275" s="55">
        <f>IF(_calc!$E$277="","","Inspection")</f>
        <v/>
      </c>
      <c r="D275" s="55">
        <f>IF(_calc!$E$277="","",IF(ISNUMBER(INDEX('Inspections'!$G$4:$G$503,_calc!$E$277)),TEXT(INDEX('Inspections'!$G$4:$G$503,_calc!$E$277),"yyyy-mm-dd"),""))</f>
        <v/>
      </c>
      <c r="F275" s="55">
        <f>IF(_calc!$E$277="","",TRIM(IF(LEN(IF(LEN(INDEX('Inspections'!$B$4:$B$503,_calc!$E$277))=0,"",INDEX('Inspections'!$B$4:$B$503,_calc!$E$277)))=0,"","System: "&amp;IF(LEN(INDEX('Inspections'!$B$4:$B$503,_calc!$E$277))=0,"",INDEX('Inspections'!$B$4:$B$503,_calc!$E$277))&amp;". ")&amp;IF(LEN(IF(LEN(INDEX('Inspections'!$D$4:$D$503,_calc!$E$277))=0,"",INDEX('Inspections'!$D$4:$D$503,_calc!$E$277)))=0,"","Every: "&amp;IF(LEN(INDEX('Inspections'!$D$4:$D$503,_calc!$E$277))=0,"",INDEX('Inspections'!$D$4:$D$503,_calc!$E$277))&amp;". ")&amp;IF(LEN(IF(LEN(INDEX('Inspections'!$E$4:$E$503,_calc!$E$277))=0,"",INDEX('Inspections'!$E$4:$E$503,_calc!$E$277)))=0,"","Unit: "&amp;IF(LEN(INDEX('Inspections'!$E$4:$E$503,_calc!$E$277))=0,"",INDEX('Inspections'!$E$4:$E$503,_calc!$E$277))&amp;". ")&amp;IF(LEN(IF(LEN(INDEX('Inspections'!$F$4:$F$503,_calc!$E$277))=0,"",INDEX('Inspections'!$F$4:$F$503,_calc!$E$277)))=0,"","Done by: "&amp;IF(LEN(INDEX('Inspections'!$F$4:$F$503,_calc!$E$277))=0,"",INDEX('Inspections'!$F$4:$F$503,_calc!$E$277))&amp;". ")&amp;IF(LEN(IF(LEN(INDEX('Inspections'!$M$4:$M$503,_calc!$E$277))=0,"",INDEX('Inspections'!$M$4:$M$503,_calc!$E$277)))=0,"","Source: "&amp;IF(LEN(INDEX('Inspections'!$M$4:$M$503,_calc!$E$277))=0,"",INDEX('Inspections'!$M$4:$M$503,_calc!$E$277))&amp;". ")&amp;IF(LEN(IF(LEN(INDEX('Inspections'!$N$4:$N$503,_calc!$E$277))=0,"",INDEX('Inspections'!$N$4:$N$503,_calc!$E$277)))=0,"","Owner: "&amp;IF(LEN(INDEX('Inspections'!$N$4:$N$503,_calc!$E$277))=0,"",INDEX('Inspections'!$N$4:$N$503,_calc!$E$277))&amp;". ")&amp;IF(LEN(IF(LEN(INDEX('Inspections'!$O$4:$O$503,_calc!$E$277))=0,"",INDEX('Inspections'!$O$4:$O$503,_calc!$E$277)))=0,"","Backup: "&amp;IF(LEN(INDEX('Inspections'!$O$4:$O$503,_calc!$E$277))=0,"",INDEX('Inspections'!$O$4:$O$503,_calc!$E$277))&amp;". ")&amp;IF(LEN(IF(LEN(INDEX('Inspections'!$R$4:$R$503,_calc!$E$277))=0,"",INDEX('Inspections'!$R$4:$R$503,_calc!$E$277)))=0,"",IF(LEN(INDEX('Inspections'!$R$4:$R$503,_calc!$E$277))=0,"",INDEX('Inspections'!$R$4:$R$503,_calc!$E$277)))))</f>
        <v/>
      </c>
      <c r="G275" s="55">
        <f>IF(_calc!$E$277="","",IF(LEN(INDEX('Inspections'!$Q$4:$Q$503,_calc!$E$277))=0,"",INDEX('Inspections'!$Q$4:$Q$503,_calc!$E$277)))</f>
        <v/>
      </c>
      <c r="K275" s="55">
        <f>IF(_calc!$E$277="","",IF(LEN(INDEX('Inspections'!$P$4:$P$503,_calc!$E$277))=0,"",INDEX('Inspections'!$P$4:$P$503,_calc!$E$277)))</f>
        <v/>
      </c>
    </row>
    <row r="276">
      <c r="A276" s="55">
        <f>IF(_calc!$E$278="","",IF(LEN(INDEX('Inspections'!$C$4:$C$503,_calc!$E$278))=0,"",INDEX('Inspections'!$C$4:$C$503,_calc!$E$278))&amp;" – "&amp;IF(LEN(INDEX('Inspections'!$A$4:$A$503,_calc!$E$278))=0,"",INDEX('Inspections'!$A$4:$A$503,_calc!$E$278)))</f>
        <v/>
      </c>
      <c r="B276" s="55">
        <f>IF(_calc!$E$278="","",IF(ISNUMBER(INDEX('Inspections'!$H$4:$H$503,_calc!$E$278)),TEXT(INDEX('Inspections'!$H$4:$H$503,_calc!$E$278),"yyyy-mm-dd"),""))</f>
        <v/>
      </c>
      <c r="C276" s="55">
        <f>IF(_calc!$E$278="","","Inspection")</f>
        <v/>
      </c>
      <c r="D276" s="55">
        <f>IF(_calc!$E$278="","",IF(ISNUMBER(INDEX('Inspections'!$G$4:$G$503,_calc!$E$278)),TEXT(INDEX('Inspections'!$G$4:$G$503,_calc!$E$278),"yyyy-mm-dd"),""))</f>
        <v/>
      </c>
      <c r="F276" s="55">
        <f>IF(_calc!$E$278="","",TRIM(IF(LEN(IF(LEN(INDEX('Inspections'!$B$4:$B$503,_calc!$E$278))=0,"",INDEX('Inspections'!$B$4:$B$503,_calc!$E$278)))=0,"","System: "&amp;IF(LEN(INDEX('Inspections'!$B$4:$B$503,_calc!$E$278))=0,"",INDEX('Inspections'!$B$4:$B$503,_calc!$E$278))&amp;". ")&amp;IF(LEN(IF(LEN(INDEX('Inspections'!$D$4:$D$503,_calc!$E$278))=0,"",INDEX('Inspections'!$D$4:$D$503,_calc!$E$278)))=0,"","Every: "&amp;IF(LEN(INDEX('Inspections'!$D$4:$D$503,_calc!$E$278))=0,"",INDEX('Inspections'!$D$4:$D$503,_calc!$E$278))&amp;". ")&amp;IF(LEN(IF(LEN(INDEX('Inspections'!$E$4:$E$503,_calc!$E$278))=0,"",INDEX('Inspections'!$E$4:$E$503,_calc!$E$278)))=0,"","Unit: "&amp;IF(LEN(INDEX('Inspections'!$E$4:$E$503,_calc!$E$278))=0,"",INDEX('Inspections'!$E$4:$E$503,_calc!$E$278))&amp;". ")&amp;IF(LEN(IF(LEN(INDEX('Inspections'!$F$4:$F$503,_calc!$E$278))=0,"",INDEX('Inspections'!$F$4:$F$503,_calc!$E$278)))=0,"","Done by: "&amp;IF(LEN(INDEX('Inspections'!$F$4:$F$503,_calc!$E$278))=0,"",INDEX('Inspections'!$F$4:$F$503,_calc!$E$278))&amp;". ")&amp;IF(LEN(IF(LEN(INDEX('Inspections'!$M$4:$M$503,_calc!$E$278))=0,"",INDEX('Inspections'!$M$4:$M$503,_calc!$E$278)))=0,"","Source: "&amp;IF(LEN(INDEX('Inspections'!$M$4:$M$503,_calc!$E$278))=0,"",INDEX('Inspections'!$M$4:$M$503,_calc!$E$278))&amp;". ")&amp;IF(LEN(IF(LEN(INDEX('Inspections'!$N$4:$N$503,_calc!$E$278))=0,"",INDEX('Inspections'!$N$4:$N$503,_calc!$E$278)))=0,"","Owner: "&amp;IF(LEN(INDEX('Inspections'!$N$4:$N$503,_calc!$E$278))=0,"",INDEX('Inspections'!$N$4:$N$503,_calc!$E$278))&amp;". ")&amp;IF(LEN(IF(LEN(INDEX('Inspections'!$O$4:$O$503,_calc!$E$278))=0,"",INDEX('Inspections'!$O$4:$O$503,_calc!$E$278)))=0,"","Backup: "&amp;IF(LEN(INDEX('Inspections'!$O$4:$O$503,_calc!$E$278))=0,"",INDEX('Inspections'!$O$4:$O$503,_calc!$E$278))&amp;". ")&amp;IF(LEN(IF(LEN(INDEX('Inspections'!$R$4:$R$503,_calc!$E$278))=0,"",INDEX('Inspections'!$R$4:$R$503,_calc!$E$278)))=0,"",IF(LEN(INDEX('Inspections'!$R$4:$R$503,_calc!$E$278))=0,"",INDEX('Inspections'!$R$4:$R$503,_calc!$E$278)))))</f>
        <v/>
      </c>
      <c r="G276" s="55">
        <f>IF(_calc!$E$278="","",IF(LEN(INDEX('Inspections'!$Q$4:$Q$503,_calc!$E$278))=0,"",INDEX('Inspections'!$Q$4:$Q$503,_calc!$E$278)))</f>
        <v/>
      </c>
      <c r="K276" s="55">
        <f>IF(_calc!$E$278="","",IF(LEN(INDEX('Inspections'!$P$4:$P$503,_calc!$E$278))=0,"",INDEX('Inspections'!$P$4:$P$503,_calc!$E$278)))</f>
        <v/>
      </c>
    </row>
    <row r="277">
      <c r="A277" s="55">
        <f>IF(_calc!$E$279="","",IF(LEN(INDEX('Inspections'!$C$4:$C$503,_calc!$E$279))=0,"",INDEX('Inspections'!$C$4:$C$503,_calc!$E$279))&amp;" – "&amp;IF(LEN(INDEX('Inspections'!$A$4:$A$503,_calc!$E$279))=0,"",INDEX('Inspections'!$A$4:$A$503,_calc!$E$279)))</f>
        <v/>
      </c>
      <c r="B277" s="55">
        <f>IF(_calc!$E$279="","",IF(ISNUMBER(INDEX('Inspections'!$H$4:$H$503,_calc!$E$279)),TEXT(INDEX('Inspections'!$H$4:$H$503,_calc!$E$279),"yyyy-mm-dd"),""))</f>
        <v/>
      </c>
      <c r="C277" s="55">
        <f>IF(_calc!$E$279="","","Inspection")</f>
        <v/>
      </c>
      <c r="D277" s="55">
        <f>IF(_calc!$E$279="","",IF(ISNUMBER(INDEX('Inspections'!$G$4:$G$503,_calc!$E$279)),TEXT(INDEX('Inspections'!$G$4:$G$503,_calc!$E$279),"yyyy-mm-dd"),""))</f>
        <v/>
      </c>
      <c r="F277" s="55">
        <f>IF(_calc!$E$279="","",TRIM(IF(LEN(IF(LEN(INDEX('Inspections'!$B$4:$B$503,_calc!$E$279))=0,"",INDEX('Inspections'!$B$4:$B$503,_calc!$E$279)))=0,"","System: "&amp;IF(LEN(INDEX('Inspections'!$B$4:$B$503,_calc!$E$279))=0,"",INDEX('Inspections'!$B$4:$B$503,_calc!$E$279))&amp;". ")&amp;IF(LEN(IF(LEN(INDEX('Inspections'!$D$4:$D$503,_calc!$E$279))=0,"",INDEX('Inspections'!$D$4:$D$503,_calc!$E$279)))=0,"","Every: "&amp;IF(LEN(INDEX('Inspections'!$D$4:$D$503,_calc!$E$279))=0,"",INDEX('Inspections'!$D$4:$D$503,_calc!$E$279))&amp;". ")&amp;IF(LEN(IF(LEN(INDEX('Inspections'!$E$4:$E$503,_calc!$E$279))=0,"",INDEX('Inspections'!$E$4:$E$503,_calc!$E$279)))=0,"","Unit: "&amp;IF(LEN(INDEX('Inspections'!$E$4:$E$503,_calc!$E$279))=0,"",INDEX('Inspections'!$E$4:$E$503,_calc!$E$279))&amp;". ")&amp;IF(LEN(IF(LEN(INDEX('Inspections'!$F$4:$F$503,_calc!$E$279))=0,"",INDEX('Inspections'!$F$4:$F$503,_calc!$E$279)))=0,"","Done by: "&amp;IF(LEN(INDEX('Inspections'!$F$4:$F$503,_calc!$E$279))=0,"",INDEX('Inspections'!$F$4:$F$503,_calc!$E$279))&amp;". ")&amp;IF(LEN(IF(LEN(INDEX('Inspections'!$M$4:$M$503,_calc!$E$279))=0,"",INDEX('Inspections'!$M$4:$M$503,_calc!$E$279)))=0,"","Source: "&amp;IF(LEN(INDEX('Inspections'!$M$4:$M$503,_calc!$E$279))=0,"",INDEX('Inspections'!$M$4:$M$503,_calc!$E$279))&amp;". ")&amp;IF(LEN(IF(LEN(INDEX('Inspections'!$N$4:$N$503,_calc!$E$279))=0,"",INDEX('Inspections'!$N$4:$N$503,_calc!$E$279)))=0,"","Owner: "&amp;IF(LEN(INDEX('Inspections'!$N$4:$N$503,_calc!$E$279))=0,"",INDEX('Inspections'!$N$4:$N$503,_calc!$E$279))&amp;". ")&amp;IF(LEN(IF(LEN(INDEX('Inspections'!$O$4:$O$503,_calc!$E$279))=0,"",INDEX('Inspections'!$O$4:$O$503,_calc!$E$279)))=0,"","Backup: "&amp;IF(LEN(INDEX('Inspections'!$O$4:$O$503,_calc!$E$279))=0,"",INDEX('Inspections'!$O$4:$O$503,_calc!$E$279))&amp;". ")&amp;IF(LEN(IF(LEN(INDEX('Inspections'!$R$4:$R$503,_calc!$E$279))=0,"",INDEX('Inspections'!$R$4:$R$503,_calc!$E$279)))=0,"",IF(LEN(INDEX('Inspections'!$R$4:$R$503,_calc!$E$279))=0,"",INDEX('Inspections'!$R$4:$R$503,_calc!$E$279)))))</f>
        <v/>
      </c>
      <c r="G277" s="55">
        <f>IF(_calc!$E$279="","",IF(LEN(INDEX('Inspections'!$Q$4:$Q$503,_calc!$E$279))=0,"",INDEX('Inspections'!$Q$4:$Q$503,_calc!$E$279)))</f>
        <v/>
      </c>
      <c r="K277" s="55">
        <f>IF(_calc!$E$279="","",IF(LEN(INDEX('Inspections'!$P$4:$P$503,_calc!$E$279))=0,"",INDEX('Inspections'!$P$4:$P$503,_calc!$E$279)))</f>
        <v/>
      </c>
    </row>
    <row r="278">
      <c r="A278" s="55">
        <f>IF(_calc!$E$280="","",IF(LEN(INDEX('Inspections'!$C$4:$C$503,_calc!$E$280))=0,"",INDEX('Inspections'!$C$4:$C$503,_calc!$E$280))&amp;" – "&amp;IF(LEN(INDEX('Inspections'!$A$4:$A$503,_calc!$E$280))=0,"",INDEX('Inspections'!$A$4:$A$503,_calc!$E$280)))</f>
        <v/>
      </c>
      <c r="B278" s="55">
        <f>IF(_calc!$E$280="","",IF(ISNUMBER(INDEX('Inspections'!$H$4:$H$503,_calc!$E$280)),TEXT(INDEX('Inspections'!$H$4:$H$503,_calc!$E$280),"yyyy-mm-dd"),""))</f>
        <v/>
      </c>
      <c r="C278" s="55">
        <f>IF(_calc!$E$280="","","Inspection")</f>
        <v/>
      </c>
      <c r="D278" s="55">
        <f>IF(_calc!$E$280="","",IF(ISNUMBER(INDEX('Inspections'!$G$4:$G$503,_calc!$E$280)),TEXT(INDEX('Inspections'!$G$4:$G$503,_calc!$E$280),"yyyy-mm-dd"),""))</f>
        <v/>
      </c>
      <c r="F278" s="55">
        <f>IF(_calc!$E$280="","",TRIM(IF(LEN(IF(LEN(INDEX('Inspections'!$B$4:$B$503,_calc!$E$280))=0,"",INDEX('Inspections'!$B$4:$B$503,_calc!$E$280)))=0,"","System: "&amp;IF(LEN(INDEX('Inspections'!$B$4:$B$503,_calc!$E$280))=0,"",INDEX('Inspections'!$B$4:$B$503,_calc!$E$280))&amp;". ")&amp;IF(LEN(IF(LEN(INDEX('Inspections'!$D$4:$D$503,_calc!$E$280))=0,"",INDEX('Inspections'!$D$4:$D$503,_calc!$E$280)))=0,"","Every: "&amp;IF(LEN(INDEX('Inspections'!$D$4:$D$503,_calc!$E$280))=0,"",INDEX('Inspections'!$D$4:$D$503,_calc!$E$280))&amp;". ")&amp;IF(LEN(IF(LEN(INDEX('Inspections'!$E$4:$E$503,_calc!$E$280))=0,"",INDEX('Inspections'!$E$4:$E$503,_calc!$E$280)))=0,"","Unit: "&amp;IF(LEN(INDEX('Inspections'!$E$4:$E$503,_calc!$E$280))=0,"",INDEX('Inspections'!$E$4:$E$503,_calc!$E$280))&amp;". ")&amp;IF(LEN(IF(LEN(INDEX('Inspections'!$F$4:$F$503,_calc!$E$280))=0,"",INDEX('Inspections'!$F$4:$F$503,_calc!$E$280)))=0,"","Done by: "&amp;IF(LEN(INDEX('Inspections'!$F$4:$F$503,_calc!$E$280))=0,"",INDEX('Inspections'!$F$4:$F$503,_calc!$E$280))&amp;". ")&amp;IF(LEN(IF(LEN(INDEX('Inspections'!$M$4:$M$503,_calc!$E$280))=0,"",INDEX('Inspections'!$M$4:$M$503,_calc!$E$280)))=0,"","Source: "&amp;IF(LEN(INDEX('Inspections'!$M$4:$M$503,_calc!$E$280))=0,"",INDEX('Inspections'!$M$4:$M$503,_calc!$E$280))&amp;". ")&amp;IF(LEN(IF(LEN(INDEX('Inspections'!$N$4:$N$503,_calc!$E$280))=0,"",INDEX('Inspections'!$N$4:$N$503,_calc!$E$280)))=0,"","Owner: "&amp;IF(LEN(INDEX('Inspections'!$N$4:$N$503,_calc!$E$280))=0,"",INDEX('Inspections'!$N$4:$N$503,_calc!$E$280))&amp;". ")&amp;IF(LEN(IF(LEN(INDEX('Inspections'!$O$4:$O$503,_calc!$E$280))=0,"",INDEX('Inspections'!$O$4:$O$503,_calc!$E$280)))=0,"","Backup: "&amp;IF(LEN(INDEX('Inspections'!$O$4:$O$503,_calc!$E$280))=0,"",INDEX('Inspections'!$O$4:$O$503,_calc!$E$280))&amp;". ")&amp;IF(LEN(IF(LEN(INDEX('Inspections'!$R$4:$R$503,_calc!$E$280))=0,"",INDEX('Inspections'!$R$4:$R$503,_calc!$E$280)))=0,"",IF(LEN(INDEX('Inspections'!$R$4:$R$503,_calc!$E$280))=0,"",INDEX('Inspections'!$R$4:$R$503,_calc!$E$280)))))</f>
        <v/>
      </c>
      <c r="G278" s="55">
        <f>IF(_calc!$E$280="","",IF(LEN(INDEX('Inspections'!$Q$4:$Q$503,_calc!$E$280))=0,"",INDEX('Inspections'!$Q$4:$Q$503,_calc!$E$280)))</f>
        <v/>
      </c>
      <c r="K278" s="55">
        <f>IF(_calc!$E$280="","",IF(LEN(INDEX('Inspections'!$P$4:$P$503,_calc!$E$280))=0,"",INDEX('Inspections'!$P$4:$P$503,_calc!$E$280)))</f>
        <v/>
      </c>
    </row>
    <row r="279">
      <c r="A279" s="55">
        <f>IF(_calc!$E$281="","",IF(LEN(INDEX('Inspections'!$C$4:$C$503,_calc!$E$281))=0,"",INDEX('Inspections'!$C$4:$C$503,_calc!$E$281))&amp;" – "&amp;IF(LEN(INDEX('Inspections'!$A$4:$A$503,_calc!$E$281))=0,"",INDEX('Inspections'!$A$4:$A$503,_calc!$E$281)))</f>
        <v/>
      </c>
      <c r="B279" s="55">
        <f>IF(_calc!$E$281="","",IF(ISNUMBER(INDEX('Inspections'!$H$4:$H$503,_calc!$E$281)),TEXT(INDEX('Inspections'!$H$4:$H$503,_calc!$E$281),"yyyy-mm-dd"),""))</f>
        <v/>
      </c>
      <c r="C279" s="55">
        <f>IF(_calc!$E$281="","","Inspection")</f>
        <v/>
      </c>
      <c r="D279" s="55">
        <f>IF(_calc!$E$281="","",IF(ISNUMBER(INDEX('Inspections'!$G$4:$G$503,_calc!$E$281)),TEXT(INDEX('Inspections'!$G$4:$G$503,_calc!$E$281),"yyyy-mm-dd"),""))</f>
        <v/>
      </c>
      <c r="F279" s="55">
        <f>IF(_calc!$E$281="","",TRIM(IF(LEN(IF(LEN(INDEX('Inspections'!$B$4:$B$503,_calc!$E$281))=0,"",INDEX('Inspections'!$B$4:$B$503,_calc!$E$281)))=0,"","System: "&amp;IF(LEN(INDEX('Inspections'!$B$4:$B$503,_calc!$E$281))=0,"",INDEX('Inspections'!$B$4:$B$503,_calc!$E$281))&amp;". ")&amp;IF(LEN(IF(LEN(INDEX('Inspections'!$D$4:$D$503,_calc!$E$281))=0,"",INDEX('Inspections'!$D$4:$D$503,_calc!$E$281)))=0,"","Every: "&amp;IF(LEN(INDEX('Inspections'!$D$4:$D$503,_calc!$E$281))=0,"",INDEX('Inspections'!$D$4:$D$503,_calc!$E$281))&amp;". ")&amp;IF(LEN(IF(LEN(INDEX('Inspections'!$E$4:$E$503,_calc!$E$281))=0,"",INDEX('Inspections'!$E$4:$E$503,_calc!$E$281)))=0,"","Unit: "&amp;IF(LEN(INDEX('Inspections'!$E$4:$E$503,_calc!$E$281))=0,"",INDEX('Inspections'!$E$4:$E$503,_calc!$E$281))&amp;". ")&amp;IF(LEN(IF(LEN(INDEX('Inspections'!$F$4:$F$503,_calc!$E$281))=0,"",INDEX('Inspections'!$F$4:$F$503,_calc!$E$281)))=0,"","Done by: "&amp;IF(LEN(INDEX('Inspections'!$F$4:$F$503,_calc!$E$281))=0,"",INDEX('Inspections'!$F$4:$F$503,_calc!$E$281))&amp;". ")&amp;IF(LEN(IF(LEN(INDEX('Inspections'!$M$4:$M$503,_calc!$E$281))=0,"",INDEX('Inspections'!$M$4:$M$503,_calc!$E$281)))=0,"","Source: "&amp;IF(LEN(INDEX('Inspections'!$M$4:$M$503,_calc!$E$281))=0,"",INDEX('Inspections'!$M$4:$M$503,_calc!$E$281))&amp;". ")&amp;IF(LEN(IF(LEN(INDEX('Inspections'!$N$4:$N$503,_calc!$E$281))=0,"",INDEX('Inspections'!$N$4:$N$503,_calc!$E$281)))=0,"","Owner: "&amp;IF(LEN(INDEX('Inspections'!$N$4:$N$503,_calc!$E$281))=0,"",INDEX('Inspections'!$N$4:$N$503,_calc!$E$281))&amp;". ")&amp;IF(LEN(IF(LEN(INDEX('Inspections'!$O$4:$O$503,_calc!$E$281))=0,"",INDEX('Inspections'!$O$4:$O$503,_calc!$E$281)))=0,"","Backup: "&amp;IF(LEN(INDEX('Inspections'!$O$4:$O$503,_calc!$E$281))=0,"",INDEX('Inspections'!$O$4:$O$503,_calc!$E$281))&amp;". ")&amp;IF(LEN(IF(LEN(INDEX('Inspections'!$R$4:$R$503,_calc!$E$281))=0,"",INDEX('Inspections'!$R$4:$R$503,_calc!$E$281)))=0,"",IF(LEN(INDEX('Inspections'!$R$4:$R$503,_calc!$E$281))=0,"",INDEX('Inspections'!$R$4:$R$503,_calc!$E$281)))))</f>
        <v/>
      </c>
      <c r="G279" s="55">
        <f>IF(_calc!$E$281="","",IF(LEN(INDEX('Inspections'!$Q$4:$Q$503,_calc!$E$281))=0,"",INDEX('Inspections'!$Q$4:$Q$503,_calc!$E$281)))</f>
        <v/>
      </c>
      <c r="K279" s="55">
        <f>IF(_calc!$E$281="","",IF(LEN(INDEX('Inspections'!$P$4:$P$503,_calc!$E$281))=0,"",INDEX('Inspections'!$P$4:$P$503,_calc!$E$281)))</f>
        <v/>
      </c>
    </row>
    <row r="280">
      <c r="A280" s="55">
        <f>IF(_calc!$E$282="","",IF(LEN(INDEX('Inspections'!$C$4:$C$503,_calc!$E$282))=0,"",INDEX('Inspections'!$C$4:$C$503,_calc!$E$282))&amp;" – "&amp;IF(LEN(INDEX('Inspections'!$A$4:$A$503,_calc!$E$282))=0,"",INDEX('Inspections'!$A$4:$A$503,_calc!$E$282)))</f>
        <v/>
      </c>
      <c r="B280" s="55">
        <f>IF(_calc!$E$282="","",IF(ISNUMBER(INDEX('Inspections'!$H$4:$H$503,_calc!$E$282)),TEXT(INDEX('Inspections'!$H$4:$H$503,_calc!$E$282),"yyyy-mm-dd"),""))</f>
        <v/>
      </c>
      <c r="C280" s="55">
        <f>IF(_calc!$E$282="","","Inspection")</f>
        <v/>
      </c>
      <c r="D280" s="55">
        <f>IF(_calc!$E$282="","",IF(ISNUMBER(INDEX('Inspections'!$G$4:$G$503,_calc!$E$282)),TEXT(INDEX('Inspections'!$G$4:$G$503,_calc!$E$282),"yyyy-mm-dd"),""))</f>
        <v/>
      </c>
      <c r="F280" s="55">
        <f>IF(_calc!$E$282="","",TRIM(IF(LEN(IF(LEN(INDEX('Inspections'!$B$4:$B$503,_calc!$E$282))=0,"",INDEX('Inspections'!$B$4:$B$503,_calc!$E$282)))=0,"","System: "&amp;IF(LEN(INDEX('Inspections'!$B$4:$B$503,_calc!$E$282))=0,"",INDEX('Inspections'!$B$4:$B$503,_calc!$E$282))&amp;". ")&amp;IF(LEN(IF(LEN(INDEX('Inspections'!$D$4:$D$503,_calc!$E$282))=0,"",INDEX('Inspections'!$D$4:$D$503,_calc!$E$282)))=0,"","Every: "&amp;IF(LEN(INDEX('Inspections'!$D$4:$D$503,_calc!$E$282))=0,"",INDEX('Inspections'!$D$4:$D$503,_calc!$E$282))&amp;". ")&amp;IF(LEN(IF(LEN(INDEX('Inspections'!$E$4:$E$503,_calc!$E$282))=0,"",INDEX('Inspections'!$E$4:$E$503,_calc!$E$282)))=0,"","Unit: "&amp;IF(LEN(INDEX('Inspections'!$E$4:$E$503,_calc!$E$282))=0,"",INDEX('Inspections'!$E$4:$E$503,_calc!$E$282))&amp;". ")&amp;IF(LEN(IF(LEN(INDEX('Inspections'!$F$4:$F$503,_calc!$E$282))=0,"",INDEX('Inspections'!$F$4:$F$503,_calc!$E$282)))=0,"","Done by: "&amp;IF(LEN(INDEX('Inspections'!$F$4:$F$503,_calc!$E$282))=0,"",INDEX('Inspections'!$F$4:$F$503,_calc!$E$282))&amp;". ")&amp;IF(LEN(IF(LEN(INDEX('Inspections'!$M$4:$M$503,_calc!$E$282))=0,"",INDEX('Inspections'!$M$4:$M$503,_calc!$E$282)))=0,"","Source: "&amp;IF(LEN(INDEX('Inspections'!$M$4:$M$503,_calc!$E$282))=0,"",INDEX('Inspections'!$M$4:$M$503,_calc!$E$282))&amp;". ")&amp;IF(LEN(IF(LEN(INDEX('Inspections'!$N$4:$N$503,_calc!$E$282))=0,"",INDEX('Inspections'!$N$4:$N$503,_calc!$E$282)))=0,"","Owner: "&amp;IF(LEN(INDEX('Inspections'!$N$4:$N$503,_calc!$E$282))=0,"",INDEX('Inspections'!$N$4:$N$503,_calc!$E$282))&amp;". ")&amp;IF(LEN(IF(LEN(INDEX('Inspections'!$O$4:$O$503,_calc!$E$282))=0,"",INDEX('Inspections'!$O$4:$O$503,_calc!$E$282)))=0,"","Backup: "&amp;IF(LEN(INDEX('Inspections'!$O$4:$O$503,_calc!$E$282))=0,"",INDEX('Inspections'!$O$4:$O$503,_calc!$E$282))&amp;". ")&amp;IF(LEN(IF(LEN(INDEX('Inspections'!$R$4:$R$503,_calc!$E$282))=0,"",INDEX('Inspections'!$R$4:$R$503,_calc!$E$282)))=0,"",IF(LEN(INDEX('Inspections'!$R$4:$R$503,_calc!$E$282))=0,"",INDEX('Inspections'!$R$4:$R$503,_calc!$E$282)))))</f>
        <v/>
      </c>
      <c r="G280" s="55">
        <f>IF(_calc!$E$282="","",IF(LEN(INDEX('Inspections'!$Q$4:$Q$503,_calc!$E$282))=0,"",INDEX('Inspections'!$Q$4:$Q$503,_calc!$E$282)))</f>
        <v/>
      </c>
      <c r="K280" s="55">
        <f>IF(_calc!$E$282="","",IF(LEN(INDEX('Inspections'!$P$4:$P$503,_calc!$E$282))=0,"",INDEX('Inspections'!$P$4:$P$503,_calc!$E$282)))</f>
        <v/>
      </c>
    </row>
    <row r="281">
      <c r="A281" s="55">
        <f>IF(_calc!$E$283="","",IF(LEN(INDEX('Inspections'!$C$4:$C$503,_calc!$E$283))=0,"",INDEX('Inspections'!$C$4:$C$503,_calc!$E$283))&amp;" – "&amp;IF(LEN(INDEX('Inspections'!$A$4:$A$503,_calc!$E$283))=0,"",INDEX('Inspections'!$A$4:$A$503,_calc!$E$283)))</f>
        <v/>
      </c>
      <c r="B281" s="55">
        <f>IF(_calc!$E$283="","",IF(ISNUMBER(INDEX('Inspections'!$H$4:$H$503,_calc!$E$283)),TEXT(INDEX('Inspections'!$H$4:$H$503,_calc!$E$283),"yyyy-mm-dd"),""))</f>
        <v/>
      </c>
      <c r="C281" s="55">
        <f>IF(_calc!$E$283="","","Inspection")</f>
        <v/>
      </c>
      <c r="D281" s="55">
        <f>IF(_calc!$E$283="","",IF(ISNUMBER(INDEX('Inspections'!$G$4:$G$503,_calc!$E$283)),TEXT(INDEX('Inspections'!$G$4:$G$503,_calc!$E$283),"yyyy-mm-dd"),""))</f>
        <v/>
      </c>
      <c r="F281" s="55">
        <f>IF(_calc!$E$283="","",TRIM(IF(LEN(IF(LEN(INDEX('Inspections'!$B$4:$B$503,_calc!$E$283))=0,"",INDEX('Inspections'!$B$4:$B$503,_calc!$E$283)))=0,"","System: "&amp;IF(LEN(INDEX('Inspections'!$B$4:$B$503,_calc!$E$283))=0,"",INDEX('Inspections'!$B$4:$B$503,_calc!$E$283))&amp;". ")&amp;IF(LEN(IF(LEN(INDEX('Inspections'!$D$4:$D$503,_calc!$E$283))=0,"",INDEX('Inspections'!$D$4:$D$503,_calc!$E$283)))=0,"","Every: "&amp;IF(LEN(INDEX('Inspections'!$D$4:$D$503,_calc!$E$283))=0,"",INDEX('Inspections'!$D$4:$D$503,_calc!$E$283))&amp;". ")&amp;IF(LEN(IF(LEN(INDEX('Inspections'!$E$4:$E$503,_calc!$E$283))=0,"",INDEX('Inspections'!$E$4:$E$503,_calc!$E$283)))=0,"","Unit: "&amp;IF(LEN(INDEX('Inspections'!$E$4:$E$503,_calc!$E$283))=0,"",INDEX('Inspections'!$E$4:$E$503,_calc!$E$283))&amp;". ")&amp;IF(LEN(IF(LEN(INDEX('Inspections'!$F$4:$F$503,_calc!$E$283))=0,"",INDEX('Inspections'!$F$4:$F$503,_calc!$E$283)))=0,"","Done by: "&amp;IF(LEN(INDEX('Inspections'!$F$4:$F$503,_calc!$E$283))=0,"",INDEX('Inspections'!$F$4:$F$503,_calc!$E$283))&amp;". ")&amp;IF(LEN(IF(LEN(INDEX('Inspections'!$M$4:$M$503,_calc!$E$283))=0,"",INDEX('Inspections'!$M$4:$M$503,_calc!$E$283)))=0,"","Source: "&amp;IF(LEN(INDEX('Inspections'!$M$4:$M$503,_calc!$E$283))=0,"",INDEX('Inspections'!$M$4:$M$503,_calc!$E$283))&amp;". ")&amp;IF(LEN(IF(LEN(INDEX('Inspections'!$N$4:$N$503,_calc!$E$283))=0,"",INDEX('Inspections'!$N$4:$N$503,_calc!$E$283)))=0,"","Owner: "&amp;IF(LEN(INDEX('Inspections'!$N$4:$N$503,_calc!$E$283))=0,"",INDEX('Inspections'!$N$4:$N$503,_calc!$E$283))&amp;". ")&amp;IF(LEN(IF(LEN(INDEX('Inspections'!$O$4:$O$503,_calc!$E$283))=0,"",INDEX('Inspections'!$O$4:$O$503,_calc!$E$283)))=0,"","Backup: "&amp;IF(LEN(INDEX('Inspections'!$O$4:$O$503,_calc!$E$283))=0,"",INDEX('Inspections'!$O$4:$O$503,_calc!$E$283))&amp;". ")&amp;IF(LEN(IF(LEN(INDEX('Inspections'!$R$4:$R$503,_calc!$E$283))=0,"",INDEX('Inspections'!$R$4:$R$503,_calc!$E$283)))=0,"",IF(LEN(INDEX('Inspections'!$R$4:$R$503,_calc!$E$283))=0,"",INDEX('Inspections'!$R$4:$R$503,_calc!$E$283)))))</f>
        <v/>
      </c>
      <c r="G281" s="55">
        <f>IF(_calc!$E$283="","",IF(LEN(INDEX('Inspections'!$Q$4:$Q$503,_calc!$E$283))=0,"",INDEX('Inspections'!$Q$4:$Q$503,_calc!$E$283)))</f>
        <v/>
      </c>
      <c r="K281" s="55">
        <f>IF(_calc!$E$283="","",IF(LEN(INDEX('Inspections'!$P$4:$P$503,_calc!$E$283))=0,"",INDEX('Inspections'!$P$4:$P$503,_calc!$E$283)))</f>
        <v/>
      </c>
    </row>
    <row r="282">
      <c r="A282" s="55">
        <f>IF(_calc!$E$284="","",IF(LEN(INDEX('Inspections'!$C$4:$C$503,_calc!$E$284))=0,"",INDEX('Inspections'!$C$4:$C$503,_calc!$E$284))&amp;" – "&amp;IF(LEN(INDEX('Inspections'!$A$4:$A$503,_calc!$E$284))=0,"",INDEX('Inspections'!$A$4:$A$503,_calc!$E$284)))</f>
        <v/>
      </c>
      <c r="B282" s="55">
        <f>IF(_calc!$E$284="","",IF(ISNUMBER(INDEX('Inspections'!$H$4:$H$503,_calc!$E$284)),TEXT(INDEX('Inspections'!$H$4:$H$503,_calc!$E$284),"yyyy-mm-dd"),""))</f>
        <v/>
      </c>
      <c r="C282" s="55">
        <f>IF(_calc!$E$284="","","Inspection")</f>
        <v/>
      </c>
      <c r="D282" s="55">
        <f>IF(_calc!$E$284="","",IF(ISNUMBER(INDEX('Inspections'!$G$4:$G$503,_calc!$E$284)),TEXT(INDEX('Inspections'!$G$4:$G$503,_calc!$E$284),"yyyy-mm-dd"),""))</f>
        <v/>
      </c>
      <c r="F282" s="55">
        <f>IF(_calc!$E$284="","",TRIM(IF(LEN(IF(LEN(INDEX('Inspections'!$B$4:$B$503,_calc!$E$284))=0,"",INDEX('Inspections'!$B$4:$B$503,_calc!$E$284)))=0,"","System: "&amp;IF(LEN(INDEX('Inspections'!$B$4:$B$503,_calc!$E$284))=0,"",INDEX('Inspections'!$B$4:$B$503,_calc!$E$284))&amp;". ")&amp;IF(LEN(IF(LEN(INDEX('Inspections'!$D$4:$D$503,_calc!$E$284))=0,"",INDEX('Inspections'!$D$4:$D$503,_calc!$E$284)))=0,"","Every: "&amp;IF(LEN(INDEX('Inspections'!$D$4:$D$503,_calc!$E$284))=0,"",INDEX('Inspections'!$D$4:$D$503,_calc!$E$284))&amp;". ")&amp;IF(LEN(IF(LEN(INDEX('Inspections'!$E$4:$E$503,_calc!$E$284))=0,"",INDEX('Inspections'!$E$4:$E$503,_calc!$E$284)))=0,"","Unit: "&amp;IF(LEN(INDEX('Inspections'!$E$4:$E$503,_calc!$E$284))=0,"",INDEX('Inspections'!$E$4:$E$503,_calc!$E$284))&amp;". ")&amp;IF(LEN(IF(LEN(INDEX('Inspections'!$F$4:$F$503,_calc!$E$284))=0,"",INDEX('Inspections'!$F$4:$F$503,_calc!$E$284)))=0,"","Done by: "&amp;IF(LEN(INDEX('Inspections'!$F$4:$F$503,_calc!$E$284))=0,"",INDEX('Inspections'!$F$4:$F$503,_calc!$E$284))&amp;". ")&amp;IF(LEN(IF(LEN(INDEX('Inspections'!$M$4:$M$503,_calc!$E$284))=0,"",INDEX('Inspections'!$M$4:$M$503,_calc!$E$284)))=0,"","Source: "&amp;IF(LEN(INDEX('Inspections'!$M$4:$M$503,_calc!$E$284))=0,"",INDEX('Inspections'!$M$4:$M$503,_calc!$E$284))&amp;". ")&amp;IF(LEN(IF(LEN(INDEX('Inspections'!$N$4:$N$503,_calc!$E$284))=0,"",INDEX('Inspections'!$N$4:$N$503,_calc!$E$284)))=0,"","Owner: "&amp;IF(LEN(INDEX('Inspections'!$N$4:$N$503,_calc!$E$284))=0,"",INDEX('Inspections'!$N$4:$N$503,_calc!$E$284))&amp;". ")&amp;IF(LEN(IF(LEN(INDEX('Inspections'!$O$4:$O$503,_calc!$E$284))=0,"",INDEX('Inspections'!$O$4:$O$503,_calc!$E$284)))=0,"","Backup: "&amp;IF(LEN(INDEX('Inspections'!$O$4:$O$503,_calc!$E$284))=0,"",INDEX('Inspections'!$O$4:$O$503,_calc!$E$284))&amp;". ")&amp;IF(LEN(IF(LEN(INDEX('Inspections'!$R$4:$R$503,_calc!$E$284))=0,"",INDEX('Inspections'!$R$4:$R$503,_calc!$E$284)))=0,"",IF(LEN(INDEX('Inspections'!$R$4:$R$503,_calc!$E$284))=0,"",INDEX('Inspections'!$R$4:$R$503,_calc!$E$284)))))</f>
        <v/>
      </c>
      <c r="G282" s="55">
        <f>IF(_calc!$E$284="","",IF(LEN(INDEX('Inspections'!$Q$4:$Q$503,_calc!$E$284))=0,"",INDEX('Inspections'!$Q$4:$Q$503,_calc!$E$284)))</f>
        <v/>
      </c>
      <c r="K282" s="55">
        <f>IF(_calc!$E$284="","",IF(LEN(INDEX('Inspections'!$P$4:$P$503,_calc!$E$284))=0,"",INDEX('Inspections'!$P$4:$P$503,_calc!$E$284)))</f>
        <v/>
      </c>
    </row>
    <row r="283">
      <c r="A283" s="55">
        <f>IF(_calc!$E$285="","",IF(LEN(INDEX('Inspections'!$C$4:$C$503,_calc!$E$285))=0,"",INDEX('Inspections'!$C$4:$C$503,_calc!$E$285))&amp;" – "&amp;IF(LEN(INDEX('Inspections'!$A$4:$A$503,_calc!$E$285))=0,"",INDEX('Inspections'!$A$4:$A$503,_calc!$E$285)))</f>
        <v/>
      </c>
      <c r="B283" s="55">
        <f>IF(_calc!$E$285="","",IF(ISNUMBER(INDEX('Inspections'!$H$4:$H$503,_calc!$E$285)),TEXT(INDEX('Inspections'!$H$4:$H$503,_calc!$E$285),"yyyy-mm-dd"),""))</f>
        <v/>
      </c>
      <c r="C283" s="55">
        <f>IF(_calc!$E$285="","","Inspection")</f>
        <v/>
      </c>
      <c r="D283" s="55">
        <f>IF(_calc!$E$285="","",IF(ISNUMBER(INDEX('Inspections'!$G$4:$G$503,_calc!$E$285)),TEXT(INDEX('Inspections'!$G$4:$G$503,_calc!$E$285),"yyyy-mm-dd"),""))</f>
        <v/>
      </c>
      <c r="F283" s="55">
        <f>IF(_calc!$E$285="","",TRIM(IF(LEN(IF(LEN(INDEX('Inspections'!$B$4:$B$503,_calc!$E$285))=0,"",INDEX('Inspections'!$B$4:$B$503,_calc!$E$285)))=0,"","System: "&amp;IF(LEN(INDEX('Inspections'!$B$4:$B$503,_calc!$E$285))=0,"",INDEX('Inspections'!$B$4:$B$503,_calc!$E$285))&amp;". ")&amp;IF(LEN(IF(LEN(INDEX('Inspections'!$D$4:$D$503,_calc!$E$285))=0,"",INDEX('Inspections'!$D$4:$D$503,_calc!$E$285)))=0,"","Every: "&amp;IF(LEN(INDEX('Inspections'!$D$4:$D$503,_calc!$E$285))=0,"",INDEX('Inspections'!$D$4:$D$503,_calc!$E$285))&amp;". ")&amp;IF(LEN(IF(LEN(INDEX('Inspections'!$E$4:$E$503,_calc!$E$285))=0,"",INDEX('Inspections'!$E$4:$E$503,_calc!$E$285)))=0,"","Unit: "&amp;IF(LEN(INDEX('Inspections'!$E$4:$E$503,_calc!$E$285))=0,"",INDEX('Inspections'!$E$4:$E$503,_calc!$E$285))&amp;". ")&amp;IF(LEN(IF(LEN(INDEX('Inspections'!$F$4:$F$503,_calc!$E$285))=0,"",INDEX('Inspections'!$F$4:$F$503,_calc!$E$285)))=0,"","Done by: "&amp;IF(LEN(INDEX('Inspections'!$F$4:$F$503,_calc!$E$285))=0,"",INDEX('Inspections'!$F$4:$F$503,_calc!$E$285))&amp;". ")&amp;IF(LEN(IF(LEN(INDEX('Inspections'!$M$4:$M$503,_calc!$E$285))=0,"",INDEX('Inspections'!$M$4:$M$503,_calc!$E$285)))=0,"","Source: "&amp;IF(LEN(INDEX('Inspections'!$M$4:$M$503,_calc!$E$285))=0,"",INDEX('Inspections'!$M$4:$M$503,_calc!$E$285))&amp;". ")&amp;IF(LEN(IF(LEN(INDEX('Inspections'!$N$4:$N$503,_calc!$E$285))=0,"",INDEX('Inspections'!$N$4:$N$503,_calc!$E$285)))=0,"","Owner: "&amp;IF(LEN(INDEX('Inspections'!$N$4:$N$503,_calc!$E$285))=0,"",INDEX('Inspections'!$N$4:$N$503,_calc!$E$285))&amp;". ")&amp;IF(LEN(IF(LEN(INDEX('Inspections'!$O$4:$O$503,_calc!$E$285))=0,"",INDEX('Inspections'!$O$4:$O$503,_calc!$E$285)))=0,"","Backup: "&amp;IF(LEN(INDEX('Inspections'!$O$4:$O$503,_calc!$E$285))=0,"",INDEX('Inspections'!$O$4:$O$503,_calc!$E$285))&amp;". ")&amp;IF(LEN(IF(LEN(INDEX('Inspections'!$R$4:$R$503,_calc!$E$285))=0,"",INDEX('Inspections'!$R$4:$R$503,_calc!$E$285)))=0,"",IF(LEN(INDEX('Inspections'!$R$4:$R$503,_calc!$E$285))=0,"",INDEX('Inspections'!$R$4:$R$503,_calc!$E$285)))))</f>
        <v/>
      </c>
      <c r="G283" s="55">
        <f>IF(_calc!$E$285="","",IF(LEN(INDEX('Inspections'!$Q$4:$Q$503,_calc!$E$285))=0,"",INDEX('Inspections'!$Q$4:$Q$503,_calc!$E$285)))</f>
        <v/>
      </c>
      <c r="K283" s="55">
        <f>IF(_calc!$E$285="","",IF(LEN(INDEX('Inspections'!$P$4:$P$503,_calc!$E$285))=0,"",INDEX('Inspections'!$P$4:$P$503,_calc!$E$285)))</f>
        <v/>
      </c>
    </row>
    <row r="284">
      <c r="A284" s="55">
        <f>IF(_calc!$E$286="","",IF(LEN(INDEX('Inspections'!$C$4:$C$503,_calc!$E$286))=0,"",INDEX('Inspections'!$C$4:$C$503,_calc!$E$286))&amp;" – "&amp;IF(LEN(INDEX('Inspections'!$A$4:$A$503,_calc!$E$286))=0,"",INDEX('Inspections'!$A$4:$A$503,_calc!$E$286)))</f>
        <v/>
      </c>
      <c r="B284" s="55">
        <f>IF(_calc!$E$286="","",IF(ISNUMBER(INDEX('Inspections'!$H$4:$H$503,_calc!$E$286)),TEXT(INDEX('Inspections'!$H$4:$H$503,_calc!$E$286),"yyyy-mm-dd"),""))</f>
        <v/>
      </c>
      <c r="C284" s="55">
        <f>IF(_calc!$E$286="","","Inspection")</f>
        <v/>
      </c>
      <c r="D284" s="55">
        <f>IF(_calc!$E$286="","",IF(ISNUMBER(INDEX('Inspections'!$G$4:$G$503,_calc!$E$286)),TEXT(INDEX('Inspections'!$G$4:$G$503,_calc!$E$286),"yyyy-mm-dd"),""))</f>
        <v/>
      </c>
      <c r="F284" s="55">
        <f>IF(_calc!$E$286="","",TRIM(IF(LEN(IF(LEN(INDEX('Inspections'!$B$4:$B$503,_calc!$E$286))=0,"",INDEX('Inspections'!$B$4:$B$503,_calc!$E$286)))=0,"","System: "&amp;IF(LEN(INDEX('Inspections'!$B$4:$B$503,_calc!$E$286))=0,"",INDEX('Inspections'!$B$4:$B$503,_calc!$E$286))&amp;". ")&amp;IF(LEN(IF(LEN(INDEX('Inspections'!$D$4:$D$503,_calc!$E$286))=0,"",INDEX('Inspections'!$D$4:$D$503,_calc!$E$286)))=0,"","Every: "&amp;IF(LEN(INDEX('Inspections'!$D$4:$D$503,_calc!$E$286))=0,"",INDEX('Inspections'!$D$4:$D$503,_calc!$E$286))&amp;". ")&amp;IF(LEN(IF(LEN(INDEX('Inspections'!$E$4:$E$503,_calc!$E$286))=0,"",INDEX('Inspections'!$E$4:$E$503,_calc!$E$286)))=0,"","Unit: "&amp;IF(LEN(INDEX('Inspections'!$E$4:$E$503,_calc!$E$286))=0,"",INDEX('Inspections'!$E$4:$E$503,_calc!$E$286))&amp;". ")&amp;IF(LEN(IF(LEN(INDEX('Inspections'!$F$4:$F$503,_calc!$E$286))=0,"",INDEX('Inspections'!$F$4:$F$503,_calc!$E$286)))=0,"","Done by: "&amp;IF(LEN(INDEX('Inspections'!$F$4:$F$503,_calc!$E$286))=0,"",INDEX('Inspections'!$F$4:$F$503,_calc!$E$286))&amp;". ")&amp;IF(LEN(IF(LEN(INDEX('Inspections'!$M$4:$M$503,_calc!$E$286))=0,"",INDEX('Inspections'!$M$4:$M$503,_calc!$E$286)))=0,"","Source: "&amp;IF(LEN(INDEX('Inspections'!$M$4:$M$503,_calc!$E$286))=0,"",INDEX('Inspections'!$M$4:$M$503,_calc!$E$286))&amp;". ")&amp;IF(LEN(IF(LEN(INDEX('Inspections'!$N$4:$N$503,_calc!$E$286))=0,"",INDEX('Inspections'!$N$4:$N$503,_calc!$E$286)))=0,"","Owner: "&amp;IF(LEN(INDEX('Inspections'!$N$4:$N$503,_calc!$E$286))=0,"",INDEX('Inspections'!$N$4:$N$503,_calc!$E$286))&amp;". ")&amp;IF(LEN(IF(LEN(INDEX('Inspections'!$O$4:$O$503,_calc!$E$286))=0,"",INDEX('Inspections'!$O$4:$O$503,_calc!$E$286)))=0,"","Backup: "&amp;IF(LEN(INDEX('Inspections'!$O$4:$O$503,_calc!$E$286))=0,"",INDEX('Inspections'!$O$4:$O$503,_calc!$E$286))&amp;". ")&amp;IF(LEN(IF(LEN(INDEX('Inspections'!$R$4:$R$503,_calc!$E$286))=0,"",INDEX('Inspections'!$R$4:$R$503,_calc!$E$286)))=0,"",IF(LEN(INDEX('Inspections'!$R$4:$R$503,_calc!$E$286))=0,"",INDEX('Inspections'!$R$4:$R$503,_calc!$E$286)))))</f>
        <v/>
      </c>
      <c r="G284" s="55">
        <f>IF(_calc!$E$286="","",IF(LEN(INDEX('Inspections'!$Q$4:$Q$503,_calc!$E$286))=0,"",INDEX('Inspections'!$Q$4:$Q$503,_calc!$E$286)))</f>
        <v/>
      </c>
      <c r="K284" s="55">
        <f>IF(_calc!$E$286="","",IF(LEN(INDEX('Inspections'!$P$4:$P$503,_calc!$E$286))=0,"",INDEX('Inspections'!$P$4:$P$503,_calc!$E$286)))</f>
        <v/>
      </c>
    </row>
    <row r="285">
      <c r="A285" s="55">
        <f>IF(_calc!$E$287="","",IF(LEN(INDEX('Inspections'!$C$4:$C$503,_calc!$E$287))=0,"",INDEX('Inspections'!$C$4:$C$503,_calc!$E$287))&amp;" – "&amp;IF(LEN(INDEX('Inspections'!$A$4:$A$503,_calc!$E$287))=0,"",INDEX('Inspections'!$A$4:$A$503,_calc!$E$287)))</f>
        <v/>
      </c>
      <c r="B285" s="55">
        <f>IF(_calc!$E$287="","",IF(ISNUMBER(INDEX('Inspections'!$H$4:$H$503,_calc!$E$287)),TEXT(INDEX('Inspections'!$H$4:$H$503,_calc!$E$287),"yyyy-mm-dd"),""))</f>
        <v/>
      </c>
      <c r="C285" s="55">
        <f>IF(_calc!$E$287="","","Inspection")</f>
        <v/>
      </c>
      <c r="D285" s="55">
        <f>IF(_calc!$E$287="","",IF(ISNUMBER(INDEX('Inspections'!$G$4:$G$503,_calc!$E$287)),TEXT(INDEX('Inspections'!$G$4:$G$503,_calc!$E$287),"yyyy-mm-dd"),""))</f>
        <v/>
      </c>
      <c r="F285" s="55">
        <f>IF(_calc!$E$287="","",TRIM(IF(LEN(IF(LEN(INDEX('Inspections'!$B$4:$B$503,_calc!$E$287))=0,"",INDEX('Inspections'!$B$4:$B$503,_calc!$E$287)))=0,"","System: "&amp;IF(LEN(INDEX('Inspections'!$B$4:$B$503,_calc!$E$287))=0,"",INDEX('Inspections'!$B$4:$B$503,_calc!$E$287))&amp;". ")&amp;IF(LEN(IF(LEN(INDEX('Inspections'!$D$4:$D$503,_calc!$E$287))=0,"",INDEX('Inspections'!$D$4:$D$503,_calc!$E$287)))=0,"","Every: "&amp;IF(LEN(INDEX('Inspections'!$D$4:$D$503,_calc!$E$287))=0,"",INDEX('Inspections'!$D$4:$D$503,_calc!$E$287))&amp;". ")&amp;IF(LEN(IF(LEN(INDEX('Inspections'!$E$4:$E$503,_calc!$E$287))=0,"",INDEX('Inspections'!$E$4:$E$503,_calc!$E$287)))=0,"","Unit: "&amp;IF(LEN(INDEX('Inspections'!$E$4:$E$503,_calc!$E$287))=0,"",INDEX('Inspections'!$E$4:$E$503,_calc!$E$287))&amp;". ")&amp;IF(LEN(IF(LEN(INDEX('Inspections'!$F$4:$F$503,_calc!$E$287))=0,"",INDEX('Inspections'!$F$4:$F$503,_calc!$E$287)))=0,"","Done by: "&amp;IF(LEN(INDEX('Inspections'!$F$4:$F$503,_calc!$E$287))=0,"",INDEX('Inspections'!$F$4:$F$503,_calc!$E$287))&amp;". ")&amp;IF(LEN(IF(LEN(INDEX('Inspections'!$M$4:$M$503,_calc!$E$287))=0,"",INDEX('Inspections'!$M$4:$M$503,_calc!$E$287)))=0,"","Source: "&amp;IF(LEN(INDEX('Inspections'!$M$4:$M$503,_calc!$E$287))=0,"",INDEX('Inspections'!$M$4:$M$503,_calc!$E$287))&amp;". ")&amp;IF(LEN(IF(LEN(INDEX('Inspections'!$N$4:$N$503,_calc!$E$287))=0,"",INDEX('Inspections'!$N$4:$N$503,_calc!$E$287)))=0,"","Owner: "&amp;IF(LEN(INDEX('Inspections'!$N$4:$N$503,_calc!$E$287))=0,"",INDEX('Inspections'!$N$4:$N$503,_calc!$E$287))&amp;". ")&amp;IF(LEN(IF(LEN(INDEX('Inspections'!$O$4:$O$503,_calc!$E$287))=0,"",INDEX('Inspections'!$O$4:$O$503,_calc!$E$287)))=0,"","Backup: "&amp;IF(LEN(INDEX('Inspections'!$O$4:$O$503,_calc!$E$287))=0,"",INDEX('Inspections'!$O$4:$O$503,_calc!$E$287))&amp;". ")&amp;IF(LEN(IF(LEN(INDEX('Inspections'!$R$4:$R$503,_calc!$E$287))=0,"",INDEX('Inspections'!$R$4:$R$503,_calc!$E$287)))=0,"",IF(LEN(INDEX('Inspections'!$R$4:$R$503,_calc!$E$287))=0,"",INDEX('Inspections'!$R$4:$R$503,_calc!$E$287)))))</f>
        <v/>
      </c>
      <c r="G285" s="55">
        <f>IF(_calc!$E$287="","",IF(LEN(INDEX('Inspections'!$Q$4:$Q$503,_calc!$E$287))=0,"",INDEX('Inspections'!$Q$4:$Q$503,_calc!$E$287)))</f>
        <v/>
      </c>
      <c r="K285" s="55">
        <f>IF(_calc!$E$287="","",IF(LEN(INDEX('Inspections'!$P$4:$P$503,_calc!$E$287))=0,"",INDEX('Inspections'!$P$4:$P$503,_calc!$E$287)))</f>
        <v/>
      </c>
    </row>
    <row r="286">
      <c r="A286" s="55">
        <f>IF(_calc!$E$288="","",IF(LEN(INDEX('Inspections'!$C$4:$C$503,_calc!$E$288))=0,"",INDEX('Inspections'!$C$4:$C$503,_calc!$E$288))&amp;" – "&amp;IF(LEN(INDEX('Inspections'!$A$4:$A$503,_calc!$E$288))=0,"",INDEX('Inspections'!$A$4:$A$503,_calc!$E$288)))</f>
        <v/>
      </c>
      <c r="B286" s="55">
        <f>IF(_calc!$E$288="","",IF(ISNUMBER(INDEX('Inspections'!$H$4:$H$503,_calc!$E$288)),TEXT(INDEX('Inspections'!$H$4:$H$503,_calc!$E$288),"yyyy-mm-dd"),""))</f>
        <v/>
      </c>
      <c r="C286" s="55">
        <f>IF(_calc!$E$288="","","Inspection")</f>
        <v/>
      </c>
      <c r="D286" s="55">
        <f>IF(_calc!$E$288="","",IF(ISNUMBER(INDEX('Inspections'!$G$4:$G$503,_calc!$E$288)),TEXT(INDEX('Inspections'!$G$4:$G$503,_calc!$E$288),"yyyy-mm-dd"),""))</f>
        <v/>
      </c>
      <c r="F286" s="55">
        <f>IF(_calc!$E$288="","",TRIM(IF(LEN(IF(LEN(INDEX('Inspections'!$B$4:$B$503,_calc!$E$288))=0,"",INDEX('Inspections'!$B$4:$B$503,_calc!$E$288)))=0,"","System: "&amp;IF(LEN(INDEX('Inspections'!$B$4:$B$503,_calc!$E$288))=0,"",INDEX('Inspections'!$B$4:$B$503,_calc!$E$288))&amp;". ")&amp;IF(LEN(IF(LEN(INDEX('Inspections'!$D$4:$D$503,_calc!$E$288))=0,"",INDEX('Inspections'!$D$4:$D$503,_calc!$E$288)))=0,"","Every: "&amp;IF(LEN(INDEX('Inspections'!$D$4:$D$503,_calc!$E$288))=0,"",INDEX('Inspections'!$D$4:$D$503,_calc!$E$288))&amp;". ")&amp;IF(LEN(IF(LEN(INDEX('Inspections'!$E$4:$E$503,_calc!$E$288))=0,"",INDEX('Inspections'!$E$4:$E$503,_calc!$E$288)))=0,"","Unit: "&amp;IF(LEN(INDEX('Inspections'!$E$4:$E$503,_calc!$E$288))=0,"",INDEX('Inspections'!$E$4:$E$503,_calc!$E$288))&amp;". ")&amp;IF(LEN(IF(LEN(INDEX('Inspections'!$F$4:$F$503,_calc!$E$288))=0,"",INDEX('Inspections'!$F$4:$F$503,_calc!$E$288)))=0,"","Done by: "&amp;IF(LEN(INDEX('Inspections'!$F$4:$F$503,_calc!$E$288))=0,"",INDEX('Inspections'!$F$4:$F$503,_calc!$E$288))&amp;". ")&amp;IF(LEN(IF(LEN(INDEX('Inspections'!$M$4:$M$503,_calc!$E$288))=0,"",INDEX('Inspections'!$M$4:$M$503,_calc!$E$288)))=0,"","Source: "&amp;IF(LEN(INDEX('Inspections'!$M$4:$M$503,_calc!$E$288))=0,"",INDEX('Inspections'!$M$4:$M$503,_calc!$E$288))&amp;". ")&amp;IF(LEN(IF(LEN(INDEX('Inspections'!$N$4:$N$503,_calc!$E$288))=0,"",INDEX('Inspections'!$N$4:$N$503,_calc!$E$288)))=0,"","Owner: "&amp;IF(LEN(INDEX('Inspections'!$N$4:$N$503,_calc!$E$288))=0,"",INDEX('Inspections'!$N$4:$N$503,_calc!$E$288))&amp;". ")&amp;IF(LEN(IF(LEN(INDEX('Inspections'!$O$4:$O$503,_calc!$E$288))=0,"",INDEX('Inspections'!$O$4:$O$503,_calc!$E$288)))=0,"","Backup: "&amp;IF(LEN(INDEX('Inspections'!$O$4:$O$503,_calc!$E$288))=0,"",INDEX('Inspections'!$O$4:$O$503,_calc!$E$288))&amp;". ")&amp;IF(LEN(IF(LEN(INDEX('Inspections'!$R$4:$R$503,_calc!$E$288))=0,"",INDEX('Inspections'!$R$4:$R$503,_calc!$E$288)))=0,"",IF(LEN(INDEX('Inspections'!$R$4:$R$503,_calc!$E$288))=0,"",INDEX('Inspections'!$R$4:$R$503,_calc!$E$288)))))</f>
        <v/>
      </c>
      <c r="G286" s="55">
        <f>IF(_calc!$E$288="","",IF(LEN(INDEX('Inspections'!$Q$4:$Q$503,_calc!$E$288))=0,"",INDEX('Inspections'!$Q$4:$Q$503,_calc!$E$288)))</f>
        <v/>
      </c>
      <c r="K286" s="55">
        <f>IF(_calc!$E$288="","",IF(LEN(INDEX('Inspections'!$P$4:$P$503,_calc!$E$288))=0,"",INDEX('Inspections'!$P$4:$P$503,_calc!$E$288)))</f>
        <v/>
      </c>
    </row>
    <row r="287">
      <c r="A287" s="55">
        <f>IF(_calc!$E$289="","",IF(LEN(INDEX('Inspections'!$C$4:$C$503,_calc!$E$289))=0,"",INDEX('Inspections'!$C$4:$C$503,_calc!$E$289))&amp;" – "&amp;IF(LEN(INDEX('Inspections'!$A$4:$A$503,_calc!$E$289))=0,"",INDEX('Inspections'!$A$4:$A$503,_calc!$E$289)))</f>
        <v/>
      </c>
      <c r="B287" s="55">
        <f>IF(_calc!$E$289="","",IF(ISNUMBER(INDEX('Inspections'!$H$4:$H$503,_calc!$E$289)),TEXT(INDEX('Inspections'!$H$4:$H$503,_calc!$E$289),"yyyy-mm-dd"),""))</f>
        <v/>
      </c>
      <c r="C287" s="55">
        <f>IF(_calc!$E$289="","","Inspection")</f>
        <v/>
      </c>
      <c r="D287" s="55">
        <f>IF(_calc!$E$289="","",IF(ISNUMBER(INDEX('Inspections'!$G$4:$G$503,_calc!$E$289)),TEXT(INDEX('Inspections'!$G$4:$G$503,_calc!$E$289),"yyyy-mm-dd"),""))</f>
        <v/>
      </c>
      <c r="F287" s="55">
        <f>IF(_calc!$E$289="","",TRIM(IF(LEN(IF(LEN(INDEX('Inspections'!$B$4:$B$503,_calc!$E$289))=0,"",INDEX('Inspections'!$B$4:$B$503,_calc!$E$289)))=0,"","System: "&amp;IF(LEN(INDEX('Inspections'!$B$4:$B$503,_calc!$E$289))=0,"",INDEX('Inspections'!$B$4:$B$503,_calc!$E$289))&amp;". ")&amp;IF(LEN(IF(LEN(INDEX('Inspections'!$D$4:$D$503,_calc!$E$289))=0,"",INDEX('Inspections'!$D$4:$D$503,_calc!$E$289)))=0,"","Every: "&amp;IF(LEN(INDEX('Inspections'!$D$4:$D$503,_calc!$E$289))=0,"",INDEX('Inspections'!$D$4:$D$503,_calc!$E$289))&amp;". ")&amp;IF(LEN(IF(LEN(INDEX('Inspections'!$E$4:$E$503,_calc!$E$289))=0,"",INDEX('Inspections'!$E$4:$E$503,_calc!$E$289)))=0,"","Unit: "&amp;IF(LEN(INDEX('Inspections'!$E$4:$E$503,_calc!$E$289))=0,"",INDEX('Inspections'!$E$4:$E$503,_calc!$E$289))&amp;". ")&amp;IF(LEN(IF(LEN(INDEX('Inspections'!$F$4:$F$503,_calc!$E$289))=0,"",INDEX('Inspections'!$F$4:$F$503,_calc!$E$289)))=0,"","Done by: "&amp;IF(LEN(INDEX('Inspections'!$F$4:$F$503,_calc!$E$289))=0,"",INDEX('Inspections'!$F$4:$F$503,_calc!$E$289))&amp;". ")&amp;IF(LEN(IF(LEN(INDEX('Inspections'!$M$4:$M$503,_calc!$E$289))=0,"",INDEX('Inspections'!$M$4:$M$503,_calc!$E$289)))=0,"","Source: "&amp;IF(LEN(INDEX('Inspections'!$M$4:$M$503,_calc!$E$289))=0,"",INDEX('Inspections'!$M$4:$M$503,_calc!$E$289))&amp;". ")&amp;IF(LEN(IF(LEN(INDEX('Inspections'!$N$4:$N$503,_calc!$E$289))=0,"",INDEX('Inspections'!$N$4:$N$503,_calc!$E$289)))=0,"","Owner: "&amp;IF(LEN(INDEX('Inspections'!$N$4:$N$503,_calc!$E$289))=0,"",INDEX('Inspections'!$N$4:$N$503,_calc!$E$289))&amp;". ")&amp;IF(LEN(IF(LEN(INDEX('Inspections'!$O$4:$O$503,_calc!$E$289))=0,"",INDEX('Inspections'!$O$4:$O$503,_calc!$E$289)))=0,"","Backup: "&amp;IF(LEN(INDEX('Inspections'!$O$4:$O$503,_calc!$E$289))=0,"",INDEX('Inspections'!$O$4:$O$503,_calc!$E$289))&amp;". ")&amp;IF(LEN(IF(LEN(INDEX('Inspections'!$R$4:$R$503,_calc!$E$289))=0,"",INDEX('Inspections'!$R$4:$R$503,_calc!$E$289)))=0,"",IF(LEN(INDEX('Inspections'!$R$4:$R$503,_calc!$E$289))=0,"",INDEX('Inspections'!$R$4:$R$503,_calc!$E$289)))))</f>
        <v/>
      </c>
      <c r="G287" s="55">
        <f>IF(_calc!$E$289="","",IF(LEN(INDEX('Inspections'!$Q$4:$Q$503,_calc!$E$289))=0,"",INDEX('Inspections'!$Q$4:$Q$503,_calc!$E$289)))</f>
        <v/>
      </c>
      <c r="K287" s="55">
        <f>IF(_calc!$E$289="","",IF(LEN(INDEX('Inspections'!$P$4:$P$503,_calc!$E$289))=0,"",INDEX('Inspections'!$P$4:$P$503,_calc!$E$289)))</f>
        <v/>
      </c>
    </row>
    <row r="288">
      <c r="A288" s="55">
        <f>IF(_calc!$E$290="","",IF(LEN(INDEX('Inspections'!$C$4:$C$503,_calc!$E$290))=0,"",INDEX('Inspections'!$C$4:$C$503,_calc!$E$290))&amp;" – "&amp;IF(LEN(INDEX('Inspections'!$A$4:$A$503,_calc!$E$290))=0,"",INDEX('Inspections'!$A$4:$A$503,_calc!$E$290)))</f>
        <v/>
      </c>
      <c r="B288" s="55">
        <f>IF(_calc!$E$290="","",IF(ISNUMBER(INDEX('Inspections'!$H$4:$H$503,_calc!$E$290)),TEXT(INDEX('Inspections'!$H$4:$H$503,_calc!$E$290),"yyyy-mm-dd"),""))</f>
        <v/>
      </c>
      <c r="C288" s="55">
        <f>IF(_calc!$E$290="","","Inspection")</f>
        <v/>
      </c>
      <c r="D288" s="55">
        <f>IF(_calc!$E$290="","",IF(ISNUMBER(INDEX('Inspections'!$G$4:$G$503,_calc!$E$290)),TEXT(INDEX('Inspections'!$G$4:$G$503,_calc!$E$290),"yyyy-mm-dd"),""))</f>
        <v/>
      </c>
      <c r="F288" s="55">
        <f>IF(_calc!$E$290="","",TRIM(IF(LEN(IF(LEN(INDEX('Inspections'!$B$4:$B$503,_calc!$E$290))=0,"",INDEX('Inspections'!$B$4:$B$503,_calc!$E$290)))=0,"","System: "&amp;IF(LEN(INDEX('Inspections'!$B$4:$B$503,_calc!$E$290))=0,"",INDEX('Inspections'!$B$4:$B$503,_calc!$E$290))&amp;". ")&amp;IF(LEN(IF(LEN(INDEX('Inspections'!$D$4:$D$503,_calc!$E$290))=0,"",INDEX('Inspections'!$D$4:$D$503,_calc!$E$290)))=0,"","Every: "&amp;IF(LEN(INDEX('Inspections'!$D$4:$D$503,_calc!$E$290))=0,"",INDEX('Inspections'!$D$4:$D$503,_calc!$E$290))&amp;". ")&amp;IF(LEN(IF(LEN(INDEX('Inspections'!$E$4:$E$503,_calc!$E$290))=0,"",INDEX('Inspections'!$E$4:$E$503,_calc!$E$290)))=0,"","Unit: "&amp;IF(LEN(INDEX('Inspections'!$E$4:$E$503,_calc!$E$290))=0,"",INDEX('Inspections'!$E$4:$E$503,_calc!$E$290))&amp;". ")&amp;IF(LEN(IF(LEN(INDEX('Inspections'!$F$4:$F$503,_calc!$E$290))=0,"",INDEX('Inspections'!$F$4:$F$503,_calc!$E$290)))=0,"","Done by: "&amp;IF(LEN(INDEX('Inspections'!$F$4:$F$503,_calc!$E$290))=0,"",INDEX('Inspections'!$F$4:$F$503,_calc!$E$290))&amp;". ")&amp;IF(LEN(IF(LEN(INDEX('Inspections'!$M$4:$M$503,_calc!$E$290))=0,"",INDEX('Inspections'!$M$4:$M$503,_calc!$E$290)))=0,"","Source: "&amp;IF(LEN(INDEX('Inspections'!$M$4:$M$503,_calc!$E$290))=0,"",INDEX('Inspections'!$M$4:$M$503,_calc!$E$290))&amp;". ")&amp;IF(LEN(IF(LEN(INDEX('Inspections'!$N$4:$N$503,_calc!$E$290))=0,"",INDEX('Inspections'!$N$4:$N$503,_calc!$E$290)))=0,"","Owner: "&amp;IF(LEN(INDEX('Inspections'!$N$4:$N$503,_calc!$E$290))=0,"",INDEX('Inspections'!$N$4:$N$503,_calc!$E$290))&amp;". ")&amp;IF(LEN(IF(LEN(INDEX('Inspections'!$O$4:$O$503,_calc!$E$290))=0,"",INDEX('Inspections'!$O$4:$O$503,_calc!$E$290)))=0,"","Backup: "&amp;IF(LEN(INDEX('Inspections'!$O$4:$O$503,_calc!$E$290))=0,"",INDEX('Inspections'!$O$4:$O$503,_calc!$E$290))&amp;". ")&amp;IF(LEN(IF(LEN(INDEX('Inspections'!$R$4:$R$503,_calc!$E$290))=0,"",INDEX('Inspections'!$R$4:$R$503,_calc!$E$290)))=0,"",IF(LEN(INDEX('Inspections'!$R$4:$R$503,_calc!$E$290))=0,"",INDEX('Inspections'!$R$4:$R$503,_calc!$E$290)))))</f>
        <v/>
      </c>
      <c r="G288" s="55">
        <f>IF(_calc!$E$290="","",IF(LEN(INDEX('Inspections'!$Q$4:$Q$503,_calc!$E$290))=0,"",INDEX('Inspections'!$Q$4:$Q$503,_calc!$E$290)))</f>
        <v/>
      </c>
      <c r="K288" s="55">
        <f>IF(_calc!$E$290="","",IF(LEN(INDEX('Inspections'!$P$4:$P$503,_calc!$E$290))=0,"",INDEX('Inspections'!$P$4:$P$503,_calc!$E$290)))</f>
        <v/>
      </c>
    </row>
    <row r="289">
      <c r="A289" s="55">
        <f>IF(_calc!$E$291="","",IF(LEN(INDEX('Inspections'!$C$4:$C$503,_calc!$E$291))=0,"",INDEX('Inspections'!$C$4:$C$503,_calc!$E$291))&amp;" – "&amp;IF(LEN(INDEX('Inspections'!$A$4:$A$503,_calc!$E$291))=0,"",INDEX('Inspections'!$A$4:$A$503,_calc!$E$291)))</f>
        <v/>
      </c>
      <c r="B289" s="55">
        <f>IF(_calc!$E$291="","",IF(ISNUMBER(INDEX('Inspections'!$H$4:$H$503,_calc!$E$291)),TEXT(INDEX('Inspections'!$H$4:$H$503,_calc!$E$291),"yyyy-mm-dd"),""))</f>
        <v/>
      </c>
      <c r="C289" s="55">
        <f>IF(_calc!$E$291="","","Inspection")</f>
        <v/>
      </c>
      <c r="D289" s="55">
        <f>IF(_calc!$E$291="","",IF(ISNUMBER(INDEX('Inspections'!$G$4:$G$503,_calc!$E$291)),TEXT(INDEX('Inspections'!$G$4:$G$503,_calc!$E$291),"yyyy-mm-dd"),""))</f>
        <v/>
      </c>
      <c r="F289" s="55">
        <f>IF(_calc!$E$291="","",TRIM(IF(LEN(IF(LEN(INDEX('Inspections'!$B$4:$B$503,_calc!$E$291))=0,"",INDEX('Inspections'!$B$4:$B$503,_calc!$E$291)))=0,"","System: "&amp;IF(LEN(INDEX('Inspections'!$B$4:$B$503,_calc!$E$291))=0,"",INDEX('Inspections'!$B$4:$B$503,_calc!$E$291))&amp;". ")&amp;IF(LEN(IF(LEN(INDEX('Inspections'!$D$4:$D$503,_calc!$E$291))=0,"",INDEX('Inspections'!$D$4:$D$503,_calc!$E$291)))=0,"","Every: "&amp;IF(LEN(INDEX('Inspections'!$D$4:$D$503,_calc!$E$291))=0,"",INDEX('Inspections'!$D$4:$D$503,_calc!$E$291))&amp;". ")&amp;IF(LEN(IF(LEN(INDEX('Inspections'!$E$4:$E$503,_calc!$E$291))=0,"",INDEX('Inspections'!$E$4:$E$503,_calc!$E$291)))=0,"","Unit: "&amp;IF(LEN(INDEX('Inspections'!$E$4:$E$503,_calc!$E$291))=0,"",INDEX('Inspections'!$E$4:$E$503,_calc!$E$291))&amp;". ")&amp;IF(LEN(IF(LEN(INDEX('Inspections'!$F$4:$F$503,_calc!$E$291))=0,"",INDEX('Inspections'!$F$4:$F$503,_calc!$E$291)))=0,"","Done by: "&amp;IF(LEN(INDEX('Inspections'!$F$4:$F$503,_calc!$E$291))=0,"",INDEX('Inspections'!$F$4:$F$503,_calc!$E$291))&amp;". ")&amp;IF(LEN(IF(LEN(INDEX('Inspections'!$M$4:$M$503,_calc!$E$291))=0,"",INDEX('Inspections'!$M$4:$M$503,_calc!$E$291)))=0,"","Source: "&amp;IF(LEN(INDEX('Inspections'!$M$4:$M$503,_calc!$E$291))=0,"",INDEX('Inspections'!$M$4:$M$503,_calc!$E$291))&amp;". ")&amp;IF(LEN(IF(LEN(INDEX('Inspections'!$N$4:$N$503,_calc!$E$291))=0,"",INDEX('Inspections'!$N$4:$N$503,_calc!$E$291)))=0,"","Owner: "&amp;IF(LEN(INDEX('Inspections'!$N$4:$N$503,_calc!$E$291))=0,"",INDEX('Inspections'!$N$4:$N$503,_calc!$E$291))&amp;". ")&amp;IF(LEN(IF(LEN(INDEX('Inspections'!$O$4:$O$503,_calc!$E$291))=0,"",INDEX('Inspections'!$O$4:$O$503,_calc!$E$291)))=0,"","Backup: "&amp;IF(LEN(INDEX('Inspections'!$O$4:$O$503,_calc!$E$291))=0,"",INDEX('Inspections'!$O$4:$O$503,_calc!$E$291))&amp;". ")&amp;IF(LEN(IF(LEN(INDEX('Inspections'!$R$4:$R$503,_calc!$E$291))=0,"",INDEX('Inspections'!$R$4:$R$503,_calc!$E$291)))=0,"",IF(LEN(INDEX('Inspections'!$R$4:$R$503,_calc!$E$291))=0,"",INDEX('Inspections'!$R$4:$R$503,_calc!$E$291)))))</f>
        <v/>
      </c>
      <c r="G289" s="55">
        <f>IF(_calc!$E$291="","",IF(LEN(INDEX('Inspections'!$Q$4:$Q$503,_calc!$E$291))=0,"",INDEX('Inspections'!$Q$4:$Q$503,_calc!$E$291)))</f>
        <v/>
      </c>
      <c r="K289" s="55">
        <f>IF(_calc!$E$291="","",IF(LEN(INDEX('Inspections'!$P$4:$P$503,_calc!$E$291))=0,"",INDEX('Inspections'!$P$4:$P$503,_calc!$E$291)))</f>
        <v/>
      </c>
    </row>
    <row r="290">
      <c r="A290" s="55">
        <f>IF(_calc!$E$292="","",IF(LEN(INDEX('Inspections'!$C$4:$C$503,_calc!$E$292))=0,"",INDEX('Inspections'!$C$4:$C$503,_calc!$E$292))&amp;" – "&amp;IF(LEN(INDEX('Inspections'!$A$4:$A$503,_calc!$E$292))=0,"",INDEX('Inspections'!$A$4:$A$503,_calc!$E$292)))</f>
        <v/>
      </c>
      <c r="B290" s="55">
        <f>IF(_calc!$E$292="","",IF(ISNUMBER(INDEX('Inspections'!$H$4:$H$503,_calc!$E$292)),TEXT(INDEX('Inspections'!$H$4:$H$503,_calc!$E$292),"yyyy-mm-dd"),""))</f>
        <v/>
      </c>
      <c r="C290" s="55">
        <f>IF(_calc!$E$292="","","Inspection")</f>
        <v/>
      </c>
      <c r="D290" s="55">
        <f>IF(_calc!$E$292="","",IF(ISNUMBER(INDEX('Inspections'!$G$4:$G$503,_calc!$E$292)),TEXT(INDEX('Inspections'!$G$4:$G$503,_calc!$E$292),"yyyy-mm-dd"),""))</f>
        <v/>
      </c>
      <c r="F290" s="55">
        <f>IF(_calc!$E$292="","",TRIM(IF(LEN(IF(LEN(INDEX('Inspections'!$B$4:$B$503,_calc!$E$292))=0,"",INDEX('Inspections'!$B$4:$B$503,_calc!$E$292)))=0,"","System: "&amp;IF(LEN(INDEX('Inspections'!$B$4:$B$503,_calc!$E$292))=0,"",INDEX('Inspections'!$B$4:$B$503,_calc!$E$292))&amp;". ")&amp;IF(LEN(IF(LEN(INDEX('Inspections'!$D$4:$D$503,_calc!$E$292))=0,"",INDEX('Inspections'!$D$4:$D$503,_calc!$E$292)))=0,"","Every: "&amp;IF(LEN(INDEX('Inspections'!$D$4:$D$503,_calc!$E$292))=0,"",INDEX('Inspections'!$D$4:$D$503,_calc!$E$292))&amp;". ")&amp;IF(LEN(IF(LEN(INDEX('Inspections'!$E$4:$E$503,_calc!$E$292))=0,"",INDEX('Inspections'!$E$4:$E$503,_calc!$E$292)))=0,"","Unit: "&amp;IF(LEN(INDEX('Inspections'!$E$4:$E$503,_calc!$E$292))=0,"",INDEX('Inspections'!$E$4:$E$503,_calc!$E$292))&amp;". ")&amp;IF(LEN(IF(LEN(INDEX('Inspections'!$F$4:$F$503,_calc!$E$292))=0,"",INDEX('Inspections'!$F$4:$F$503,_calc!$E$292)))=0,"","Done by: "&amp;IF(LEN(INDEX('Inspections'!$F$4:$F$503,_calc!$E$292))=0,"",INDEX('Inspections'!$F$4:$F$503,_calc!$E$292))&amp;". ")&amp;IF(LEN(IF(LEN(INDEX('Inspections'!$M$4:$M$503,_calc!$E$292))=0,"",INDEX('Inspections'!$M$4:$M$503,_calc!$E$292)))=0,"","Source: "&amp;IF(LEN(INDEX('Inspections'!$M$4:$M$503,_calc!$E$292))=0,"",INDEX('Inspections'!$M$4:$M$503,_calc!$E$292))&amp;". ")&amp;IF(LEN(IF(LEN(INDEX('Inspections'!$N$4:$N$503,_calc!$E$292))=0,"",INDEX('Inspections'!$N$4:$N$503,_calc!$E$292)))=0,"","Owner: "&amp;IF(LEN(INDEX('Inspections'!$N$4:$N$503,_calc!$E$292))=0,"",INDEX('Inspections'!$N$4:$N$503,_calc!$E$292))&amp;". ")&amp;IF(LEN(IF(LEN(INDEX('Inspections'!$O$4:$O$503,_calc!$E$292))=0,"",INDEX('Inspections'!$O$4:$O$503,_calc!$E$292)))=0,"","Backup: "&amp;IF(LEN(INDEX('Inspections'!$O$4:$O$503,_calc!$E$292))=0,"",INDEX('Inspections'!$O$4:$O$503,_calc!$E$292))&amp;". ")&amp;IF(LEN(IF(LEN(INDEX('Inspections'!$R$4:$R$503,_calc!$E$292))=0,"",INDEX('Inspections'!$R$4:$R$503,_calc!$E$292)))=0,"",IF(LEN(INDEX('Inspections'!$R$4:$R$503,_calc!$E$292))=0,"",INDEX('Inspections'!$R$4:$R$503,_calc!$E$292)))))</f>
        <v/>
      </c>
      <c r="G290" s="55">
        <f>IF(_calc!$E$292="","",IF(LEN(INDEX('Inspections'!$Q$4:$Q$503,_calc!$E$292))=0,"",INDEX('Inspections'!$Q$4:$Q$503,_calc!$E$292)))</f>
        <v/>
      </c>
      <c r="K290" s="55">
        <f>IF(_calc!$E$292="","",IF(LEN(INDEX('Inspections'!$P$4:$P$503,_calc!$E$292))=0,"",INDEX('Inspections'!$P$4:$P$503,_calc!$E$292)))</f>
        <v/>
      </c>
    </row>
    <row r="291">
      <c r="A291" s="55">
        <f>IF(_calc!$E$293="","",IF(LEN(INDEX('Inspections'!$C$4:$C$503,_calc!$E$293))=0,"",INDEX('Inspections'!$C$4:$C$503,_calc!$E$293))&amp;" – "&amp;IF(LEN(INDEX('Inspections'!$A$4:$A$503,_calc!$E$293))=0,"",INDEX('Inspections'!$A$4:$A$503,_calc!$E$293)))</f>
        <v/>
      </c>
      <c r="B291" s="55">
        <f>IF(_calc!$E$293="","",IF(ISNUMBER(INDEX('Inspections'!$H$4:$H$503,_calc!$E$293)),TEXT(INDEX('Inspections'!$H$4:$H$503,_calc!$E$293),"yyyy-mm-dd"),""))</f>
        <v/>
      </c>
      <c r="C291" s="55">
        <f>IF(_calc!$E$293="","","Inspection")</f>
        <v/>
      </c>
      <c r="D291" s="55">
        <f>IF(_calc!$E$293="","",IF(ISNUMBER(INDEX('Inspections'!$G$4:$G$503,_calc!$E$293)),TEXT(INDEX('Inspections'!$G$4:$G$503,_calc!$E$293),"yyyy-mm-dd"),""))</f>
        <v/>
      </c>
      <c r="F291" s="55">
        <f>IF(_calc!$E$293="","",TRIM(IF(LEN(IF(LEN(INDEX('Inspections'!$B$4:$B$503,_calc!$E$293))=0,"",INDEX('Inspections'!$B$4:$B$503,_calc!$E$293)))=0,"","System: "&amp;IF(LEN(INDEX('Inspections'!$B$4:$B$503,_calc!$E$293))=0,"",INDEX('Inspections'!$B$4:$B$503,_calc!$E$293))&amp;". ")&amp;IF(LEN(IF(LEN(INDEX('Inspections'!$D$4:$D$503,_calc!$E$293))=0,"",INDEX('Inspections'!$D$4:$D$503,_calc!$E$293)))=0,"","Every: "&amp;IF(LEN(INDEX('Inspections'!$D$4:$D$503,_calc!$E$293))=0,"",INDEX('Inspections'!$D$4:$D$503,_calc!$E$293))&amp;". ")&amp;IF(LEN(IF(LEN(INDEX('Inspections'!$E$4:$E$503,_calc!$E$293))=0,"",INDEX('Inspections'!$E$4:$E$503,_calc!$E$293)))=0,"","Unit: "&amp;IF(LEN(INDEX('Inspections'!$E$4:$E$503,_calc!$E$293))=0,"",INDEX('Inspections'!$E$4:$E$503,_calc!$E$293))&amp;". ")&amp;IF(LEN(IF(LEN(INDEX('Inspections'!$F$4:$F$503,_calc!$E$293))=0,"",INDEX('Inspections'!$F$4:$F$503,_calc!$E$293)))=0,"","Done by: "&amp;IF(LEN(INDEX('Inspections'!$F$4:$F$503,_calc!$E$293))=0,"",INDEX('Inspections'!$F$4:$F$503,_calc!$E$293))&amp;". ")&amp;IF(LEN(IF(LEN(INDEX('Inspections'!$M$4:$M$503,_calc!$E$293))=0,"",INDEX('Inspections'!$M$4:$M$503,_calc!$E$293)))=0,"","Source: "&amp;IF(LEN(INDEX('Inspections'!$M$4:$M$503,_calc!$E$293))=0,"",INDEX('Inspections'!$M$4:$M$503,_calc!$E$293))&amp;". ")&amp;IF(LEN(IF(LEN(INDEX('Inspections'!$N$4:$N$503,_calc!$E$293))=0,"",INDEX('Inspections'!$N$4:$N$503,_calc!$E$293)))=0,"","Owner: "&amp;IF(LEN(INDEX('Inspections'!$N$4:$N$503,_calc!$E$293))=0,"",INDEX('Inspections'!$N$4:$N$503,_calc!$E$293))&amp;". ")&amp;IF(LEN(IF(LEN(INDEX('Inspections'!$O$4:$O$503,_calc!$E$293))=0,"",INDEX('Inspections'!$O$4:$O$503,_calc!$E$293)))=0,"","Backup: "&amp;IF(LEN(INDEX('Inspections'!$O$4:$O$503,_calc!$E$293))=0,"",INDEX('Inspections'!$O$4:$O$503,_calc!$E$293))&amp;". ")&amp;IF(LEN(IF(LEN(INDEX('Inspections'!$R$4:$R$503,_calc!$E$293))=0,"",INDEX('Inspections'!$R$4:$R$503,_calc!$E$293)))=0,"",IF(LEN(INDEX('Inspections'!$R$4:$R$503,_calc!$E$293))=0,"",INDEX('Inspections'!$R$4:$R$503,_calc!$E$293)))))</f>
        <v/>
      </c>
      <c r="G291" s="55">
        <f>IF(_calc!$E$293="","",IF(LEN(INDEX('Inspections'!$Q$4:$Q$503,_calc!$E$293))=0,"",INDEX('Inspections'!$Q$4:$Q$503,_calc!$E$293)))</f>
        <v/>
      </c>
      <c r="K291" s="55">
        <f>IF(_calc!$E$293="","",IF(LEN(INDEX('Inspections'!$P$4:$P$503,_calc!$E$293))=0,"",INDEX('Inspections'!$P$4:$P$503,_calc!$E$293)))</f>
        <v/>
      </c>
    </row>
    <row r="292">
      <c r="A292" s="55">
        <f>IF(_calc!$E$294="","",IF(LEN(INDEX('Inspections'!$C$4:$C$503,_calc!$E$294))=0,"",INDEX('Inspections'!$C$4:$C$503,_calc!$E$294))&amp;" – "&amp;IF(LEN(INDEX('Inspections'!$A$4:$A$503,_calc!$E$294))=0,"",INDEX('Inspections'!$A$4:$A$503,_calc!$E$294)))</f>
        <v/>
      </c>
      <c r="B292" s="55">
        <f>IF(_calc!$E$294="","",IF(ISNUMBER(INDEX('Inspections'!$H$4:$H$503,_calc!$E$294)),TEXT(INDEX('Inspections'!$H$4:$H$503,_calc!$E$294),"yyyy-mm-dd"),""))</f>
        <v/>
      </c>
      <c r="C292" s="55">
        <f>IF(_calc!$E$294="","","Inspection")</f>
        <v/>
      </c>
      <c r="D292" s="55">
        <f>IF(_calc!$E$294="","",IF(ISNUMBER(INDEX('Inspections'!$G$4:$G$503,_calc!$E$294)),TEXT(INDEX('Inspections'!$G$4:$G$503,_calc!$E$294),"yyyy-mm-dd"),""))</f>
        <v/>
      </c>
      <c r="F292" s="55">
        <f>IF(_calc!$E$294="","",TRIM(IF(LEN(IF(LEN(INDEX('Inspections'!$B$4:$B$503,_calc!$E$294))=0,"",INDEX('Inspections'!$B$4:$B$503,_calc!$E$294)))=0,"","System: "&amp;IF(LEN(INDEX('Inspections'!$B$4:$B$503,_calc!$E$294))=0,"",INDEX('Inspections'!$B$4:$B$503,_calc!$E$294))&amp;". ")&amp;IF(LEN(IF(LEN(INDEX('Inspections'!$D$4:$D$503,_calc!$E$294))=0,"",INDEX('Inspections'!$D$4:$D$503,_calc!$E$294)))=0,"","Every: "&amp;IF(LEN(INDEX('Inspections'!$D$4:$D$503,_calc!$E$294))=0,"",INDEX('Inspections'!$D$4:$D$503,_calc!$E$294))&amp;". ")&amp;IF(LEN(IF(LEN(INDEX('Inspections'!$E$4:$E$503,_calc!$E$294))=0,"",INDEX('Inspections'!$E$4:$E$503,_calc!$E$294)))=0,"","Unit: "&amp;IF(LEN(INDEX('Inspections'!$E$4:$E$503,_calc!$E$294))=0,"",INDEX('Inspections'!$E$4:$E$503,_calc!$E$294))&amp;". ")&amp;IF(LEN(IF(LEN(INDEX('Inspections'!$F$4:$F$503,_calc!$E$294))=0,"",INDEX('Inspections'!$F$4:$F$503,_calc!$E$294)))=0,"","Done by: "&amp;IF(LEN(INDEX('Inspections'!$F$4:$F$503,_calc!$E$294))=0,"",INDEX('Inspections'!$F$4:$F$503,_calc!$E$294))&amp;". ")&amp;IF(LEN(IF(LEN(INDEX('Inspections'!$M$4:$M$503,_calc!$E$294))=0,"",INDEX('Inspections'!$M$4:$M$503,_calc!$E$294)))=0,"","Source: "&amp;IF(LEN(INDEX('Inspections'!$M$4:$M$503,_calc!$E$294))=0,"",INDEX('Inspections'!$M$4:$M$503,_calc!$E$294))&amp;". ")&amp;IF(LEN(IF(LEN(INDEX('Inspections'!$N$4:$N$503,_calc!$E$294))=0,"",INDEX('Inspections'!$N$4:$N$503,_calc!$E$294)))=0,"","Owner: "&amp;IF(LEN(INDEX('Inspections'!$N$4:$N$503,_calc!$E$294))=0,"",INDEX('Inspections'!$N$4:$N$503,_calc!$E$294))&amp;". ")&amp;IF(LEN(IF(LEN(INDEX('Inspections'!$O$4:$O$503,_calc!$E$294))=0,"",INDEX('Inspections'!$O$4:$O$503,_calc!$E$294)))=0,"","Backup: "&amp;IF(LEN(INDEX('Inspections'!$O$4:$O$503,_calc!$E$294))=0,"",INDEX('Inspections'!$O$4:$O$503,_calc!$E$294))&amp;". ")&amp;IF(LEN(IF(LEN(INDEX('Inspections'!$R$4:$R$503,_calc!$E$294))=0,"",INDEX('Inspections'!$R$4:$R$503,_calc!$E$294)))=0,"",IF(LEN(INDEX('Inspections'!$R$4:$R$503,_calc!$E$294))=0,"",INDEX('Inspections'!$R$4:$R$503,_calc!$E$294)))))</f>
        <v/>
      </c>
      <c r="G292" s="55">
        <f>IF(_calc!$E$294="","",IF(LEN(INDEX('Inspections'!$Q$4:$Q$503,_calc!$E$294))=0,"",INDEX('Inspections'!$Q$4:$Q$503,_calc!$E$294)))</f>
        <v/>
      </c>
      <c r="K292" s="55">
        <f>IF(_calc!$E$294="","",IF(LEN(INDEX('Inspections'!$P$4:$P$503,_calc!$E$294))=0,"",INDEX('Inspections'!$P$4:$P$503,_calc!$E$294)))</f>
        <v/>
      </c>
    </row>
    <row r="293">
      <c r="A293" s="55">
        <f>IF(_calc!$E$295="","",IF(LEN(INDEX('Inspections'!$C$4:$C$503,_calc!$E$295))=0,"",INDEX('Inspections'!$C$4:$C$503,_calc!$E$295))&amp;" – "&amp;IF(LEN(INDEX('Inspections'!$A$4:$A$503,_calc!$E$295))=0,"",INDEX('Inspections'!$A$4:$A$503,_calc!$E$295)))</f>
        <v/>
      </c>
      <c r="B293" s="55">
        <f>IF(_calc!$E$295="","",IF(ISNUMBER(INDEX('Inspections'!$H$4:$H$503,_calc!$E$295)),TEXT(INDEX('Inspections'!$H$4:$H$503,_calc!$E$295),"yyyy-mm-dd"),""))</f>
        <v/>
      </c>
      <c r="C293" s="55">
        <f>IF(_calc!$E$295="","","Inspection")</f>
        <v/>
      </c>
      <c r="D293" s="55">
        <f>IF(_calc!$E$295="","",IF(ISNUMBER(INDEX('Inspections'!$G$4:$G$503,_calc!$E$295)),TEXT(INDEX('Inspections'!$G$4:$G$503,_calc!$E$295),"yyyy-mm-dd"),""))</f>
        <v/>
      </c>
      <c r="F293" s="55">
        <f>IF(_calc!$E$295="","",TRIM(IF(LEN(IF(LEN(INDEX('Inspections'!$B$4:$B$503,_calc!$E$295))=0,"",INDEX('Inspections'!$B$4:$B$503,_calc!$E$295)))=0,"","System: "&amp;IF(LEN(INDEX('Inspections'!$B$4:$B$503,_calc!$E$295))=0,"",INDEX('Inspections'!$B$4:$B$503,_calc!$E$295))&amp;". ")&amp;IF(LEN(IF(LEN(INDEX('Inspections'!$D$4:$D$503,_calc!$E$295))=0,"",INDEX('Inspections'!$D$4:$D$503,_calc!$E$295)))=0,"","Every: "&amp;IF(LEN(INDEX('Inspections'!$D$4:$D$503,_calc!$E$295))=0,"",INDEX('Inspections'!$D$4:$D$503,_calc!$E$295))&amp;". ")&amp;IF(LEN(IF(LEN(INDEX('Inspections'!$E$4:$E$503,_calc!$E$295))=0,"",INDEX('Inspections'!$E$4:$E$503,_calc!$E$295)))=0,"","Unit: "&amp;IF(LEN(INDEX('Inspections'!$E$4:$E$503,_calc!$E$295))=0,"",INDEX('Inspections'!$E$4:$E$503,_calc!$E$295))&amp;". ")&amp;IF(LEN(IF(LEN(INDEX('Inspections'!$F$4:$F$503,_calc!$E$295))=0,"",INDEX('Inspections'!$F$4:$F$503,_calc!$E$295)))=0,"","Done by: "&amp;IF(LEN(INDEX('Inspections'!$F$4:$F$503,_calc!$E$295))=0,"",INDEX('Inspections'!$F$4:$F$503,_calc!$E$295))&amp;". ")&amp;IF(LEN(IF(LEN(INDEX('Inspections'!$M$4:$M$503,_calc!$E$295))=0,"",INDEX('Inspections'!$M$4:$M$503,_calc!$E$295)))=0,"","Source: "&amp;IF(LEN(INDEX('Inspections'!$M$4:$M$503,_calc!$E$295))=0,"",INDEX('Inspections'!$M$4:$M$503,_calc!$E$295))&amp;". ")&amp;IF(LEN(IF(LEN(INDEX('Inspections'!$N$4:$N$503,_calc!$E$295))=0,"",INDEX('Inspections'!$N$4:$N$503,_calc!$E$295)))=0,"","Owner: "&amp;IF(LEN(INDEX('Inspections'!$N$4:$N$503,_calc!$E$295))=0,"",INDEX('Inspections'!$N$4:$N$503,_calc!$E$295))&amp;". ")&amp;IF(LEN(IF(LEN(INDEX('Inspections'!$O$4:$O$503,_calc!$E$295))=0,"",INDEX('Inspections'!$O$4:$O$503,_calc!$E$295)))=0,"","Backup: "&amp;IF(LEN(INDEX('Inspections'!$O$4:$O$503,_calc!$E$295))=0,"",INDEX('Inspections'!$O$4:$O$503,_calc!$E$295))&amp;". ")&amp;IF(LEN(IF(LEN(INDEX('Inspections'!$R$4:$R$503,_calc!$E$295))=0,"",INDEX('Inspections'!$R$4:$R$503,_calc!$E$295)))=0,"",IF(LEN(INDEX('Inspections'!$R$4:$R$503,_calc!$E$295))=0,"",INDEX('Inspections'!$R$4:$R$503,_calc!$E$295)))))</f>
        <v/>
      </c>
      <c r="G293" s="55">
        <f>IF(_calc!$E$295="","",IF(LEN(INDEX('Inspections'!$Q$4:$Q$503,_calc!$E$295))=0,"",INDEX('Inspections'!$Q$4:$Q$503,_calc!$E$295)))</f>
        <v/>
      </c>
      <c r="K293" s="55">
        <f>IF(_calc!$E$295="","",IF(LEN(INDEX('Inspections'!$P$4:$P$503,_calc!$E$295))=0,"",INDEX('Inspections'!$P$4:$P$503,_calc!$E$295)))</f>
        <v/>
      </c>
    </row>
    <row r="294">
      <c r="A294" s="55">
        <f>IF(_calc!$E$296="","",IF(LEN(INDEX('Inspections'!$C$4:$C$503,_calc!$E$296))=0,"",INDEX('Inspections'!$C$4:$C$503,_calc!$E$296))&amp;" – "&amp;IF(LEN(INDEX('Inspections'!$A$4:$A$503,_calc!$E$296))=0,"",INDEX('Inspections'!$A$4:$A$503,_calc!$E$296)))</f>
        <v/>
      </c>
      <c r="B294" s="55">
        <f>IF(_calc!$E$296="","",IF(ISNUMBER(INDEX('Inspections'!$H$4:$H$503,_calc!$E$296)),TEXT(INDEX('Inspections'!$H$4:$H$503,_calc!$E$296),"yyyy-mm-dd"),""))</f>
        <v/>
      </c>
      <c r="C294" s="55">
        <f>IF(_calc!$E$296="","","Inspection")</f>
        <v/>
      </c>
      <c r="D294" s="55">
        <f>IF(_calc!$E$296="","",IF(ISNUMBER(INDEX('Inspections'!$G$4:$G$503,_calc!$E$296)),TEXT(INDEX('Inspections'!$G$4:$G$503,_calc!$E$296),"yyyy-mm-dd"),""))</f>
        <v/>
      </c>
      <c r="F294" s="55">
        <f>IF(_calc!$E$296="","",TRIM(IF(LEN(IF(LEN(INDEX('Inspections'!$B$4:$B$503,_calc!$E$296))=0,"",INDEX('Inspections'!$B$4:$B$503,_calc!$E$296)))=0,"","System: "&amp;IF(LEN(INDEX('Inspections'!$B$4:$B$503,_calc!$E$296))=0,"",INDEX('Inspections'!$B$4:$B$503,_calc!$E$296))&amp;". ")&amp;IF(LEN(IF(LEN(INDEX('Inspections'!$D$4:$D$503,_calc!$E$296))=0,"",INDEX('Inspections'!$D$4:$D$503,_calc!$E$296)))=0,"","Every: "&amp;IF(LEN(INDEX('Inspections'!$D$4:$D$503,_calc!$E$296))=0,"",INDEX('Inspections'!$D$4:$D$503,_calc!$E$296))&amp;". ")&amp;IF(LEN(IF(LEN(INDEX('Inspections'!$E$4:$E$503,_calc!$E$296))=0,"",INDEX('Inspections'!$E$4:$E$503,_calc!$E$296)))=0,"","Unit: "&amp;IF(LEN(INDEX('Inspections'!$E$4:$E$503,_calc!$E$296))=0,"",INDEX('Inspections'!$E$4:$E$503,_calc!$E$296))&amp;". ")&amp;IF(LEN(IF(LEN(INDEX('Inspections'!$F$4:$F$503,_calc!$E$296))=0,"",INDEX('Inspections'!$F$4:$F$503,_calc!$E$296)))=0,"","Done by: "&amp;IF(LEN(INDEX('Inspections'!$F$4:$F$503,_calc!$E$296))=0,"",INDEX('Inspections'!$F$4:$F$503,_calc!$E$296))&amp;". ")&amp;IF(LEN(IF(LEN(INDEX('Inspections'!$M$4:$M$503,_calc!$E$296))=0,"",INDEX('Inspections'!$M$4:$M$503,_calc!$E$296)))=0,"","Source: "&amp;IF(LEN(INDEX('Inspections'!$M$4:$M$503,_calc!$E$296))=0,"",INDEX('Inspections'!$M$4:$M$503,_calc!$E$296))&amp;". ")&amp;IF(LEN(IF(LEN(INDEX('Inspections'!$N$4:$N$503,_calc!$E$296))=0,"",INDEX('Inspections'!$N$4:$N$503,_calc!$E$296)))=0,"","Owner: "&amp;IF(LEN(INDEX('Inspections'!$N$4:$N$503,_calc!$E$296))=0,"",INDEX('Inspections'!$N$4:$N$503,_calc!$E$296))&amp;". ")&amp;IF(LEN(IF(LEN(INDEX('Inspections'!$O$4:$O$503,_calc!$E$296))=0,"",INDEX('Inspections'!$O$4:$O$503,_calc!$E$296)))=0,"","Backup: "&amp;IF(LEN(INDEX('Inspections'!$O$4:$O$503,_calc!$E$296))=0,"",INDEX('Inspections'!$O$4:$O$503,_calc!$E$296))&amp;". ")&amp;IF(LEN(IF(LEN(INDEX('Inspections'!$R$4:$R$503,_calc!$E$296))=0,"",INDEX('Inspections'!$R$4:$R$503,_calc!$E$296)))=0,"",IF(LEN(INDEX('Inspections'!$R$4:$R$503,_calc!$E$296))=0,"",INDEX('Inspections'!$R$4:$R$503,_calc!$E$296)))))</f>
        <v/>
      </c>
      <c r="G294" s="55">
        <f>IF(_calc!$E$296="","",IF(LEN(INDEX('Inspections'!$Q$4:$Q$503,_calc!$E$296))=0,"",INDEX('Inspections'!$Q$4:$Q$503,_calc!$E$296)))</f>
        <v/>
      </c>
      <c r="K294" s="55">
        <f>IF(_calc!$E$296="","",IF(LEN(INDEX('Inspections'!$P$4:$P$503,_calc!$E$296))=0,"",INDEX('Inspections'!$P$4:$P$503,_calc!$E$296)))</f>
        <v/>
      </c>
    </row>
    <row r="295">
      <c r="A295" s="55">
        <f>IF(_calc!$E$297="","",IF(LEN(INDEX('Inspections'!$C$4:$C$503,_calc!$E$297))=0,"",INDEX('Inspections'!$C$4:$C$503,_calc!$E$297))&amp;" – "&amp;IF(LEN(INDEX('Inspections'!$A$4:$A$503,_calc!$E$297))=0,"",INDEX('Inspections'!$A$4:$A$503,_calc!$E$297)))</f>
        <v/>
      </c>
      <c r="B295" s="55">
        <f>IF(_calc!$E$297="","",IF(ISNUMBER(INDEX('Inspections'!$H$4:$H$503,_calc!$E$297)),TEXT(INDEX('Inspections'!$H$4:$H$503,_calc!$E$297),"yyyy-mm-dd"),""))</f>
        <v/>
      </c>
      <c r="C295" s="55">
        <f>IF(_calc!$E$297="","","Inspection")</f>
        <v/>
      </c>
      <c r="D295" s="55">
        <f>IF(_calc!$E$297="","",IF(ISNUMBER(INDEX('Inspections'!$G$4:$G$503,_calc!$E$297)),TEXT(INDEX('Inspections'!$G$4:$G$503,_calc!$E$297),"yyyy-mm-dd"),""))</f>
        <v/>
      </c>
      <c r="F295" s="55">
        <f>IF(_calc!$E$297="","",TRIM(IF(LEN(IF(LEN(INDEX('Inspections'!$B$4:$B$503,_calc!$E$297))=0,"",INDEX('Inspections'!$B$4:$B$503,_calc!$E$297)))=0,"","System: "&amp;IF(LEN(INDEX('Inspections'!$B$4:$B$503,_calc!$E$297))=0,"",INDEX('Inspections'!$B$4:$B$503,_calc!$E$297))&amp;". ")&amp;IF(LEN(IF(LEN(INDEX('Inspections'!$D$4:$D$503,_calc!$E$297))=0,"",INDEX('Inspections'!$D$4:$D$503,_calc!$E$297)))=0,"","Every: "&amp;IF(LEN(INDEX('Inspections'!$D$4:$D$503,_calc!$E$297))=0,"",INDEX('Inspections'!$D$4:$D$503,_calc!$E$297))&amp;". ")&amp;IF(LEN(IF(LEN(INDEX('Inspections'!$E$4:$E$503,_calc!$E$297))=0,"",INDEX('Inspections'!$E$4:$E$503,_calc!$E$297)))=0,"","Unit: "&amp;IF(LEN(INDEX('Inspections'!$E$4:$E$503,_calc!$E$297))=0,"",INDEX('Inspections'!$E$4:$E$503,_calc!$E$297))&amp;". ")&amp;IF(LEN(IF(LEN(INDEX('Inspections'!$F$4:$F$503,_calc!$E$297))=0,"",INDEX('Inspections'!$F$4:$F$503,_calc!$E$297)))=0,"","Done by: "&amp;IF(LEN(INDEX('Inspections'!$F$4:$F$503,_calc!$E$297))=0,"",INDEX('Inspections'!$F$4:$F$503,_calc!$E$297))&amp;". ")&amp;IF(LEN(IF(LEN(INDEX('Inspections'!$M$4:$M$503,_calc!$E$297))=0,"",INDEX('Inspections'!$M$4:$M$503,_calc!$E$297)))=0,"","Source: "&amp;IF(LEN(INDEX('Inspections'!$M$4:$M$503,_calc!$E$297))=0,"",INDEX('Inspections'!$M$4:$M$503,_calc!$E$297))&amp;". ")&amp;IF(LEN(IF(LEN(INDEX('Inspections'!$N$4:$N$503,_calc!$E$297))=0,"",INDEX('Inspections'!$N$4:$N$503,_calc!$E$297)))=0,"","Owner: "&amp;IF(LEN(INDEX('Inspections'!$N$4:$N$503,_calc!$E$297))=0,"",INDEX('Inspections'!$N$4:$N$503,_calc!$E$297))&amp;". ")&amp;IF(LEN(IF(LEN(INDEX('Inspections'!$O$4:$O$503,_calc!$E$297))=0,"",INDEX('Inspections'!$O$4:$O$503,_calc!$E$297)))=0,"","Backup: "&amp;IF(LEN(INDEX('Inspections'!$O$4:$O$503,_calc!$E$297))=0,"",INDEX('Inspections'!$O$4:$O$503,_calc!$E$297))&amp;". ")&amp;IF(LEN(IF(LEN(INDEX('Inspections'!$R$4:$R$503,_calc!$E$297))=0,"",INDEX('Inspections'!$R$4:$R$503,_calc!$E$297)))=0,"",IF(LEN(INDEX('Inspections'!$R$4:$R$503,_calc!$E$297))=0,"",INDEX('Inspections'!$R$4:$R$503,_calc!$E$297)))))</f>
        <v/>
      </c>
      <c r="G295" s="55">
        <f>IF(_calc!$E$297="","",IF(LEN(INDEX('Inspections'!$Q$4:$Q$503,_calc!$E$297))=0,"",INDEX('Inspections'!$Q$4:$Q$503,_calc!$E$297)))</f>
        <v/>
      </c>
      <c r="K295" s="55">
        <f>IF(_calc!$E$297="","",IF(LEN(INDEX('Inspections'!$P$4:$P$503,_calc!$E$297))=0,"",INDEX('Inspections'!$P$4:$P$503,_calc!$E$297)))</f>
        <v/>
      </c>
    </row>
    <row r="296">
      <c r="A296" s="55">
        <f>IF(_calc!$E$298="","",IF(LEN(INDEX('Inspections'!$C$4:$C$503,_calc!$E$298))=0,"",INDEX('Inspections'!$C$4:$C$503,_calc!$E$298))&amp;" – "&amp;IF(LEN(INDEX('Inspections'!$A$4:$A$503,_calc!$E$298))=0,"",INDEX('Inspections'!$A$4:$A$503,_calc!$E$298)))</f>
        <v/>
      </c>
      <c r="B296" s="55">
        <f>IF(_calc!$E$298="","",IF(ISNUMBER(INDEX('Inspections'!$H$4:$H$503,_calc!$E$298)),TEXT(INDEX('Inspections'!$H$4:$H$503,_calc!$E$298),"yyyy-mm-dd"),""))</f>
        <v/>
      </c>
      <c r="C296" s="55">
        <f>IF(_calc!$E$298="","","Inspection")</f>
        <v/>
      </c>
      <c r="D296" s="55">
        <f>IF(_calc!$E$298="","",IF(ISNUMBER(INDEX('Inspections'!$G$4:$G$503,_calc!$E$298)),TEXT(INDEX('Inspections'!$G$4:$G$503,_calc!$E$298),"yyyy-mm-dd"),""))</f>
        <v/>
      </c>
      <c r="F296" s="55">
        <f>IF(_calc!$E$298="","",TRIM(IF(LEN(IF(LEN(INDEX('Inspections'!$B$4:$B$503,_calc!$E$298))=0,"",INDEX('Inspections'!$B$4:$B$503,_calc!$E$298)))=0,"","System: "&amp;IF(LEN(INDEX('Inspections'!$B$4:$B$503,_calc!$E$298))=0,"",INDEX('Inspections'!$B$4:$B$503,_calc!$E$298))&amp;". ")&amp;IF(LEN(IF(LEN(INDEX('Inspections'!$D$4:$D$503,_calc!$E$298))=0,"",INDEX('Inspections'!$D$4:$D$503,_calc!$E$298)))=0,"","Every: "&amp;IF(LEN(INDEX('Inspections'!$D$4:$D$503,_calc!$E$298))=0,"",INDEX('Inspections'!$D$4:$D$503,_calc!$E$298))&amp;". ")&amp;IF(LEN(IF(LEN(INDEX('Inspections'!$E$4:$E$503,_calc!$E$298))=0,"",INDEX('Inspections'!$E$4:$E$503,_calc!$E$298)))=0,"","Unit: "&amp;IF(LEN(INDEX('Inspections'!$E$4:$E$503,_calc!$E$298))=0,"",INDEX('Inspections'!$E$4:$E$503,_calc!$E$298))&amp;". ")&amp;IF(LEN(IF(LEN(INDEX('Inspections'!$F$4:$F$503,_calc!$E$298))=0,"",INDEX('Inspections'!$F$4:$F$503,_calc!$E$298)))=0,"","Done by: "&amp;IF(LEN(INDEX('Inspections'!$F$4:$F$503,_calc!$E$298))=0,"",INDEX('Inspections'!$F$4:$F$503,_calc!$E$298))&amp;". ")&amp;IF(LEN(IF(LEN(INDEX('Inspections'!$M$4:$M$503,_calc!$E$298))=0,"",INDEX('Inspections'!$M$4:$M$503,_calc!$E$298)))=0,"","Source: "&amp;IF(LEN(INDEX('Inspections'!$M$4:$M$503,_calc!$E$298))=0,"",INDEX('Inspections'!$M$4:$M$503,_calc!$E$298))&amp;". ")&amp;IF(LEN(IF(LEN(INDEX('Inspections'!$N$4:$N$503,_calc!$E$298))=0,"",INDEX('Inspections'!$N$4:$N$503,_calc!$E$298)))=0,"","Owner: "&amp;IF(LEN(INDEX('Inspections'!$N$4:$N$503,_calc!$E$298))=0,"",INDEX('Inspections'!$N$4:$N$503,_calc!$E$298))&amp;". ")&amp;IF(LEN(IF(LEN(INDEX('Inspections'!$O$4:$O$503,_calc!$E$298))=0,"",INDEX('Inspections'!$O$4:$O$503,_calc!$E$298)))=0,"","Backup: "&amp;IF(LEN(INDEX('Inspections'!$O$4:$O$503,_calc!$E$298))=0,"",INDEX('Inspections'!$O$4:$O$503,_calc!$E$298))&amp;". ")&amp;IF(LEN(IF(LEN(INDEX('Inspections'!$R$4:$R$503,_calc!$E$298))=0,"",INDEX('Inspections'!$R$4:$R$503,_calc!$E$298)))=0,"",IF(LEN(INDEX('Inspections'!$R$4:$R$503,_calc!$E$298))=0,"",INDEX('Inspections'!$R$4:$R$503,_calc!$E$298)))))</f>
        <v/>
      </c>
      <c r="G296" s="55">
        <f>IF(_calc!$E$298="","",IF(LEN(INDEX('Inspections'!$Q$4:$Q$503,_calc!$E$298))=0,"",INDEX('Inspections'!$Q$4:$Q$503,_calc!$E$298)))</f>
        <v/>
      </c>
      <c r="K296" s="55">
        <f>IF(_calc!$E$298="","",IF(LEN(INDEX('Inspections'!$P$4:$P$503,_calc!$E$298))=0,"",INDEX('Inspections'!$P$4:$P$503,_calc!$E$298)))</f>
        <v/>
      </c>
    </row>
    <row r="297">
      <c r="A297" s="55">
        <f>IF(_calc!$E$299="","",IF(LEN(INDEX('Inspections'!$C$4:$C$503,_calc!$E$299))=0,"",INDEX('Inspections'!$C$4:$C$503,_calc!$E$299))&amp;" – "&amp;IF(LEN(INDEX('Inspections'!$A$4:$A$503,_calc!$E$299))=0,"",INDEX('Inspections'!$A$4:$A$503,_calc!$E$299)))</f>
        <v/>
      </c>
      <c r="B297" s="55">
        <f>IF(_calc!$E$299="","",IF(ISNUMBER(INDEX('Inspections'!$H$4:$H$503,_calc!$E$299)),TEXT(INDEX('Inspections'!$H$4:$H$503,_calc!$E$299),"yyyy-mm-dd"),""))</f>
        <v/>
      </c>
      <c r="C297" s="55">
        <f>IF(_calc!$E$299="","","Inspection")</f>
        <v/>
      </c>
      <c r="D297" s="55">
        <f>IF(_calc!$E$299="","",IF(ISNUMBER(INDEX('Inspections'!$G$4:$G$503,_calc!$E$299)),TEXT(INDEX('Inspections'!$G$4:$G$503,_calc!$E$299),"yyyy-mm-dd"),""))</f>
        <v/>
      </c>
      <c r="F297" s="55">
        <f>IF(_calc!$E$299="","",TRIM(IF(LEN(IF(LEN(INDEX('Inspections'!$B$4:$B$503,_calc!$E$299))=0,"",INDEX('Inspections'!$B$4:$B$503,_calc!$E$299)))=0,"","System: "&amp;IF(LEN(INDEX('Inspections'!$B$4:$B$503,_calc!$E$299))=0,"",INDEX('Inspections'!$B$4:$B$503,_calc!$E$299))&amp;". ")&amp;IF(LEN(IF(LEN(INDEX('Inspections'!$D$4:$D$503,_calc!$E$299))=0,"",INDEX('Inspections'!$D$4:$D$503,_calc!$E$299)))=0,"","Every: "&amp;IF(LEN(INDEX('Inspections'!$D$4:$D$503,_calc!$E$299))=0,"",INDEX('Inspections'!$D$4:$D$503,_calc!$E$299))&amp;". ")&amp;IF(LEN(IF(LEN(INDEX('Inspections'!$E$4:$E$503,_calc!$E$299))=0,"",INDEX('Inspections'!$E$4:$E$503,_calc!$E$299)))=0,"","Unit: "&amp;IF(LEN(INDEX('Inspections'!$E$4:$E$503,_calc!$E$299))=0,"",INDEX('Inspections'!$E$4:$E$503,_calc!$E$299))&amp;". ")&amp;IF(LEN(IF(LEN(INDEX('Inspections'!$F$4:$F$503,_calc!$E$299))=0,"",INDEX('Inspections'!$F$4:$F$503,_calc!$E$299)))=0,"","Done by: "&amp;IF(LEN(INDEX('Inspections'!$F$4:$F$503,_calc!$E$299))=0,"",INDEX('Inspections'!$F$4:$F$503,_calc!$E$299))&amp;". ")&amp;IF(LEN(IF(LEN(INDEX('Inspections'!$M$4:$M$503,_calc!$E$299))=0,"",INDEX('Inspections'!$M$4:$M$503,_calc!$E$299)))=0,"","Source: "&amp;IF(LEN(INDEX('Inspections'!$M$4:$M$503,_calc!$E$299))=0,"",INDEX('Inspections'!$M$4:$M$503,_calc!$E$299))&amp;". ")&amp;IF(LEN(IF(LEN(INDEX('Inspections'!$N$4:$N$503,_calc!$E$299))=0,"",INDEX('Inspections'!$N$4:$N$503,_calc!$E$299)))=0,"","Owner: "&amp;IF(LEN(INDEX('Inspections'!$N$4:$N$503,_calc!$E$299))=0,"",INDEX('Inspections'!$N$4:$N$503,_calc!$E$299))&amp;". ")&amp;IF(LEN(IF(LEN(INDEX('Inspections'!$O$4:$O$503,_calc!$E$299))=0,"",INDEX('Inspections'!$O$4:$O$503,_calc!$E$299)))=0,"","Backup: "&amp;IF(LEN(INDEX('Inspections'!$O$4:$O$503,_calc!$E$299))=0,"",INDEX('Inspections'!$O$4:$O$503,_calc!$E$299))&amp;". ")&amp;IF(LEN(IF(LEN(INDEX('Inspections'!$R$4:$R$503,_calc!$E$299))=0,"",INDEX('Inspections'!$R$4:$R$503,_calc!$E$299)))=0,"",IF(LEN(INDEX('Inspections'!$R$4:$R$503,_calc!$E$299))=0,"",INDEX('Inspections'!$R$4:$R$503,_calc!$E$299)))))</f>
        <v/>
      </c>
      <c r="G297" s="55">
        <f>IF(_calc!$E$299="","",IF(LEN(INDEX('Inspections'!$Q$4:$Q$503,_calc!$E$299))=0,"",INDEX('Inspections'!$Q$4:$Q$503,_calc!$E$299)))</f>
        <v/>
      </c>
      <c r="K297" s="55">
        <f>IF(_calc!$E$299="","",IF(LEN(INDEX('Inspections'!$P$4:$P$503,_calc!$E$299))=0,"",INDEX('Inspections'!$P$4:$P$503,_calc!$E$299)))</f>
        <v/>
      </c>
    </row>
    <row r="298">
      <c r="A298" s="55">
        <f>IF(_calc!$E$300="","",IF(LEN(INDEX('Inspections'!$C$4:$C$503,_calc!$E$300))=0,"",INDEX('Inspections'!$C$4:$C$503,_calc!$E$300))&amp;" – "&amp;IF(LEN(INDEX('Inspections'!$A$4:$A$503,_calc!$E$300))=0,"",INDEX('Inspections'!$A$4:$A$503,_calc!$E$300)))</f>
        <v/>
      </c>
      <c r="B298" s="55">
        <f>IF(_calc!$E$300="","",IF(ISNUMBER(INDEX('Inspections'!$H$4:$H$503,_calc!$E$300)),TEXT(INDEX('Inspections'!$H$4:$H$503,_calc!$E$300),"yyyy-mm-dd"),""))</f>
        <v/>
      </c>
      <c r="C298" s="55">
        <f>IF(_calc!$E$300="","","Inspection")</f>
        <v/>
      </c>
      <c r="D298" s="55">
        <f>IF(_calc!$E$300="","",IF(ISNUMBER(INDEX('Inspections'!$G$4:$G$503,_calc!$E$300)),TEXT(INDEX('Inspections'!$G$4:$G$503,_calc!$E$300),"yyyy-mm-dd"),""))</f>
        <v/>
      </c>
      <c r="F298" s="55">
        <f>IF(_calc!$E$300="","",TRIM(IF(LEN(IF(LEN(INDEX('Inspections'!$B$4:$B$503,_calc!$E$300))=0,"",INDEX('Inspections'!$B$4:$B$503,_calc!$E$300)))=0,"","System: "&amp;IF(LEN(INDEX('Inspections'!$B$4:$B$503,_calc!$E$300))=0,"",INDEX('Inspections'!$B$4:$B$503,_calc!$E$300))&amp;". ")&amp;IF(LEN(IF(LEN(INDEX('Inspections'!$D$4:$D$503,_calc!$E$300))=0,"",INDEX('Inspections'!$D$4:$D$503,_calc!$E$300)))=0,"","Every: "&amp;IF(LEN(INDEX('Inspections'!$D$4:$D$503,_calc!$E$300))=0,"",INDEX('Inspections'!$D$4:$D$503,_calc!$E$300))&amp;". ")&amp;IF(LEN(IF(LEN(INDEX('Inspections'!$E$4:$E$503,_calc!$E$300))=0,"",INDEX('Inspections'!$E$4:$E$503,_calc!$E$300)))=0,"","Unit: "&amp;IF(LEN(INDEX('Inspections'!$E$4:$E$503,_calc!$E$300))=0,"",INDEX('Inspections'!$E$4:$E$503,_calc!$E$300))&amp;". ")&amp;IF(LEN(IF(LEN(INDEX('Inspections'!$F$4:$F$503,_calc!$E$300))=0,"",INDEX('Inspections'!$F$4:$F$503,_calc!$E$300)))=0,"","Done by: "&amp;IF(LEN(INDEX('Inspections'!$F$4:$F$503,_calc!$E$300))=0,"",INDEX('Inspections'!$F$4:$F$503,_calc!$E$300))&amp;". ")&amp;IF(LEN(IF(LEN(INDEX('Inspections'!$M$4:$M$503,_calc!$E$300))=0,"",INDEX('Inspections'!$M$4:$M$503,_calc!$E$300)))=0,"","Source: "&amp;IF(LEN(INDEX('Inspections'!$M$4:$M$503,_calc!$E$300))=0,"",INDEX('Inspections'!$M$4:$M$503,_calc!$E$300))&amp;". ")&amp;IF(LEN(IF(LEN(INDEX('Inspections'!$N$4:$N$503,_calc!$E$300))=0,"",INDEX('Inspections'!$N$4:$N$503,_calc!$E$300)))=0,"","Owner: "&amp;IF(LEN(INDEX('Inspections'!$N$4:$N$503,_calc!$E$300))=0,"",INDEX('Inspections'!$N$4:$N$503,_calc!$E$300))&amp;". ")&amp;IF(LEN(IF(LEN(INDEX('Inspections'!$O$4:$O$503,_calc!$E$300))=0,"",INDEX('Inspections'!$O$4:$O$503,_calc!$E$300)))=0,"","Backup: "&amp;IF(LEN(INDEX('Inspections'!$O$4:$O$503,_calc!$E$300))=0,"",INDEX('Inspections'!$O$4:$O$503,_calc!$E$300))&amp;". ")&amp;IF(LEN(IF(LEN(INDEX('Inspections'!$R$4:$R$503,_calc!$E$300))=0,"",INDEX('Inspections'!$R$4:$R$503,_calc!$E$300)))=0,"",IF(LEN(INDEX('Inspections'!$R$4:$R$503,_calc!$E$300))=0,"",INDEX('Inspections'!$R$4:$R$503,_calc!$E$300)))))</f>
        <v/>
      </c>
      <c r="G298" s="55">
        <f>IF(_calc!$E$300="","",IF(LEN(INDEX('Inspections'!$Q$4:$Q$503,_calc!$E$300))=0,"",INDEX('Inspections'!$Q$4:$Q$503,_calc!$E$300)))</f>
        <v/>
      </c>
      <c r="K298" s="55">
        <f>IF(_calc!$E$300="","",IF(LEN(INDEX('Inspections'!$P$4:$P$503,_calc!$E$300))=0,"",INDEX('Inspections'!$P$4:$P$503,_calc!$E$300)))</f>
        <v/>
      </c>
    </row>
    <row r="299">
      <c r="A299" s="55">
        <f>IF(_calc!$E$301="","",IF(LEN(INDEX('Inspections'!$C$4:$C$503,_calc!$E$301))=0,"",INDEX('Inspections'!$C$4:$C$503,_calc!$E$301))&amp;" – "&amp;IF(LEN(INDEX('Inspections'!$A$4:$A$503,_calc!$E$301))=0,"",INDEX('Inspections'!$A$4:$A$503,_calc!$E$301)))</f>
        <v/>
      </c>
      <c r="B299" s="55">
        <f>IF(_calc!$E$301="","",IF(ISNUMBER(INDEX('Inspections'!$H$4:$H$503,_calc!$E$301)),TEXT(INDEX('Inspections'!$H$4:$H$503,_calc!$E$301),"yyyy-mm-dd"),""))</f>
        <v/>
      </c>
      <c r="C299" s="55">
        <f>IF(_calc!$E$301="","","Inspection")</f>
        <v/>
      </c>
      <c r="D299" s="55">
        <f>IF(_calc!$E$301="","",IF(ISNUMBER(INDEX('Inspections'!$G$4:$G$503,_calc!$E$301)),TEXT(INDEX('Inspections'!$G$4:$G$503,_calc!$E$301),"yyyy-mm-dd"),""))</f>
        <v/>
      </c>
      <c r="F299" s="55">
        <f>IF(_calc!$E$301="","",TRIM(IF(LEN(IF(LEN(INDEX('Inspections'!$B$4:$B$503,_calc!$E$301))=0,"",INDEX('Inspections'!$B$4:$B$503,_calc!$E$301)))=0,"","System: "&amp;IF(LEN(INDEX('Inspections'!$B$4:$B$503,_calc!$E$301))=0,"",INDEX('Inspections'!$B$4:$B$503,_calc!$E$301))&amp;". ")&amp;IF(LEN(IF(LEN(INDEX('Inspections'!$D$4:$D$503,_calc!$E$301))=0,"",INDEX('Inspections'!$D$4:$D$503,_calc!$E$301)))=0,"","Every: "&amp;IF(LEN(INDEX('Inspections'!$D$4:$D$503,_calc!$E$301))=0,"",INDEX('Inspections'!$D$4:$D$503,_calc!$E$301))&amp;". ")&amp;IF(LEN(IF(LEN(INDEX('Inspections'!$E$4:$E$503,_calc!$E$301))=0,"",INDEX('Inspections'!$E$4:$E$503,_calc!$E$301)))=0,"","Unit: "&amp;IF(LEN(INDEX('Inspections'!$E$4:$E$503,_calc!$E$301))=0,"",INDEX('Inspections'!$E$4:$E$503,_calc!$E$301))&amp;". ")&amp;IF(LEN(IF(LEN(INDEX('Inspections'!$F$4:$F$503,_calc!$E$301))=0,"",INDEX('Inspections'!$F$4:$F$503,_calc!$E$301)))=0,"","Done by: "&amp;IF(LEN(INDEX('Inspections'!$F$4:$F$503,_calc!$E$301))=0,"",INDEX('Inspections'!$F$4:$F$503,_calc!$E$301))&amp;". ")&amp;IF(LEN(IF(LEN(INDEX('Inspections'!$M$4:$M$503,_calc!$E$301))=0,"",INDEX('Inspections'!$M$4:$M$503,_calc!$E$301)))=0,"","Source: "&amp;IF(LEN(INDEX('Inspections'!$M$4:$M$503,_calc!$E$301))=0,"",INDEX('Inspections'!$M$4:$M$503,_calc!$E$301))&amp;". ")&amp;IF(LEN(IF(LEN(INDEX('Inspections'!$N$4:$N$503,_calc!$E$301))=0,"",INDEX('Inspections'!$N$4:$N$503,_calc!$E$301)))=0,"","Owner: "&amp;IF(LEN(INDEX('Inspections'!$N$4:$N$503,_calc!$E$301))=0,"",INDEX('Inspections'!$N$4:$N$503,_calc!$E$301))&amp;". ")&amp;IF(LEN(IF(LEN(INDEX('Inspections'!$O$4:$O$503,_calc!$E$301))=0,"",INDEX('Inspections'!$O$4:$O$503,_calc!$E$301)))=0,"","Backup: "&amp;IF(LEN(INDEX('Inspections'!$O$4:$O$503,_calc!$E$301))=0,"",INDEX('Inspections'!$O$4:$O$503,_calc!$E$301))&amp;". ")&amp;IF(LEN(IF(LEN(INDEX('Inspections'!$R$4:$R$503,_calc!$E$301))=0,"",INDEX('Inspections'!$R$4:$R$503,_calc!$E$301)))=0,"",IF(LEN(INDEX('Inspections'!$R$4:$R$503,_calc!$E$301))=0,"",INDEX('Inspections'!$R$4:$R$503,_calc!$E$301)))))</f>
        <v/>
      </c>
      <c r="G299" s="55">
        <f>IF(_calc!$E$301="","",IF(LEN(INDEX('Inspections'!$Q$4:$Q$503,_calc!$E$301))=0,"",INDEX('Inspections'!$Q$4:$Q$503,_calc!$E$301)))</f>
        <v/>
      </c>
      <c r="K299" s="55">
        <f>IF(_calc!$E$301="","",IF(LEN(INDEX('Inspections'!$P$4:$P$503,_calc!$E$301))=0,"",INDEX('Inspections'!$P$4:$P$503,_calc!$E$301)))</f>
        <v/>
      </c>
    </row>
    <row r="300">
      <c r="A300" s="55">
        <f>IF(_calc!$E$302="","",IF(LEN(INDEX('Inspections'!$C$4:$C$503,_calc!$E$302))=0,"",INDEX('Inspections'!$C$4:$C$503,_calc!$E$302))&amp;" – "&amp;IF(LEN(INDEX('Inspections'!$A$4:$A$503,_calc!$E$302))=0,"",INDEX('Inspections'!$A$4:$A$503,_calc!$E$302)))</f>
        <v/>
      </c>
      <c r="B300" s="55">
        <f>IF(_calc!$E$302="","",IF(ISNUMBER(INDEX('Inspections'!$H$4:$H$503,_calc!$E$302)),TEXT(INDEX('Inspections'!$H$4:$H$503,_calc!$E$302),"yyyy-mm-dd"),""))</f>
        <v/>
      </c>
      <c r="C300" s="55">
        <f>IF(_calc!$E$302="","","Inspection")</f>
        <v/>
      </c>
      <c r="D300" s="55">
        <f>IF(_calc!$E$302="","",IF(ISNUMBER(INDEX('Inspections'!$G$4:$G$503,_calc!$E$302)),TEXT(INDEX('Inspections'!$G$4:$G$503,_calc!$E$302),"yyyy-mm-dd"),""))</f>
        <v/>
      </c>
      <c r="F300" s="55">
        <f>IF(_calc!$E$302="","",TRIM(IF(LEN(IF(LEN(INDEX('Inspections'!$B$4:$B$503,_calc!$E$302))=0,"",INDEX('Inspections'!$B$4:$B$503,_calc!$E$302)))=0,"","System: "&amp;IF(LEN(INDEX('Inspections'!$B$4:$B$503,_calc!$E$302))=0,"",INDEX('Inspections'!$B$4:$B$503,_calc!$E$302))&amp;". ")&amp;IF(LEN(IF(LEN(INDEX('Inspections'!$D$4:$D$503,_calc!$E$302))=0,"",INDEX('Inspections'!$D$4:$D$503,_calc!$E$302)))=0,"","Every: "&amp;IF(LEN(INDEX('Inspections'!$D$4:$D$503,_calc!$E$302))=0,"",INDEX('Inspections'!$D$4:$D$503,_calc!$E$302))&amp;". ")&amp;IF(LEN(IF(LEN(INDEX('Inspections'!$E$4:$E$503,_calc!$E$302))=0,"",INDEX('Inspections'!$E$4:$E$503,_calc!$E$302)))=0,"","Unit: "&amp;IF(LEN(INDEX('Inspections'!$E$4:$E$503,_calc!$E$302))=0,"",INDEX('Inspections'!$E$4:$E$503,_calc!$E$302))&amp;". ")&amp;IF(LEN(IF(LEN(INDEX('Inspections'!$F$4:$F$503,_calc!$E$302))=0,"",INDEX('Inspections'!$F$4:$F$503,_calc!$E$302)))=0,"","Done by: "&amp;IF(LEN(INDEX('Inspections'!$F$4:$F$503,_calc!$E$302))=0,"",INDEX('Inspections'!$F$4:$F$503,_calc!$E$302))&amp;". ")&amp;IF(LEN(IF(LEN(INDEX('Inspections'!$M$4:$M$503,_calc!$E$302))=0,"",INDEX('Inspections'!$M$4:$M$503,_calc!$E$302)))=0,"","Source: "&amp;IF(LEN(INDEX('Inspections'!$M$4:$M$503,_calc!$E$302))=0,"",INDEX('Inspections'!$M$4:$M$503,_calc!$E$302))&amp;". ")&amp;IF(LEN(IF(LEN(INDEX('Inspections'!$N$4:$N$503,_calc!$E$302))=0,"",INDEX('Inspections'!$N$4:$N$503,_calc!$E$302)))=0,"","Owner: "&amp;IF(LEN(INDEX('Inspections'!$N$4:$N$503,_calc!$E$302))=0,"",INDEX('Inspections'!$N$4:$N$503,_calc!$E$302))&amp;". ")&amp;IF(LEN(IF(LEN(INDEX('Inspections'!$O$4:$O$503,_calc!$E$302))=0,"",INDEX('Inspections'!$O$4:$O$503,_calc!$E$302)))=0,"","Backup: "&amp;IF(LEN(INDEX('Inspections'!$O$4:$O$503,_calc!$E$302))=0,"",INDEX('Inspections'!$O$4:$O$503,_calc!$E$302))&amp;". ")&amp;IF(LEN(IF(LEN(INDEX('Inspections'!$R$4:$R$503,_calc!$E$302))=0,"",INDEX('Inspections'!$R$4:$R$503,_calc!$E$302)))=0,"",IF(LEN(INDEX('Inspections'!$R$4:$R$503,_calc!$E$302))=0,"",INDEX('Inspections'!$R$4:$R$503,_calc!$E$302)))))</f>
        <v/>
      </c>
      <c r="G300" s="55">
        <f>IF(_calc!$E$302="","",IF(LEN(INDEX('Inspections'!$Q$4:$Q$503,_calc!$E$302))=0,"",INDEX('Inspections'!$Q$4:$Q$503,_calc!$E$302)))</f>
        <v/>
      </c>
      <c r="K300" s="55">
        <f>IF(_calc!$E$302="","",IF(LEN(INDEX('Inspections'!$P$4:$P$503,_calc!$E$302))=0,"",INDEX('Inspections'!$P$4:$P$503,_calc!$E$302)))</f>
        <v/>
      </c>
    </row>
    <row r="301">
      <c r="A301" s="55">
        <f>IF(_calc!$E$303="","",IF(LEN(INDEX('Inspections'!$C$4:$C$503,_calc!$E$303))=0,"",INDEX('Inspections'!$C$4:$C$503,_calc!$E$303))&amp;" – "&amp;IF(LEN(INDEX('Inspections'!$A$4:$A$503,_calc!$E$303))=0,"",INDEX('Inspections'!$A$4:$A$503,_calc!$E$303)))</f>
        <v/>
      </c>
      <c r="B301" s="55">
        <f>IF(_calc!$E$303="","",IF(ISNUMBER(INDEX('Inspections'!$H$4:$H$503,_calc!$E$303)),TEXT(INDEX('Inspections'!$H$4:$H$503,_calc!$E$303),"yyyy-mm-dd"),""))</f>
        <v/>
      </c>
      <c r="C301" s="55">
        <f>IF(_calc!$E$303="","","Inspection")</f>
        <v/>
      </c>
      <c r="D301" s="55">
        <f>IF(_calc!$E$303="","",IF(ISNUMBER(INDEX('Inspections'!$G$4:$G$503,_calc!$E$303)),TEXT(INDEX('Inspections'!$G$4:$G$503,_calc!$E$303),"yyyy-mm-dd"),""))</f>
        <v/>
      </c>
      <c r="F301" s="55">
        <f>IF(_calc!$E$303="","",TRIM(IF(LEN(IF(LEN(INDEX('Inspections'!$B$4:$B$503,_calc!$E$303))=0,"",INDEX('Inspections'!$B$4:$B$503,_calc!$E$303)))=0,"","System: "&amp;IF(LEN(INDEX('Inspections'!$B$4:$B$503,_calc!$E$303))=0,"",INDEX('Inspections'!$B$4:$B$503,_calc!$E$303))&amp;". ")&amp;IF(LEN(IF(LEN(INDEX('Inspections'!$D$4:$D$503,_calc!$E$303))=0,"",INDEX('Inspections'!$D$4:$D$503,_calc!$E$303)))=0,"","Every: "&amp;IF(LEN(INDEX('Inspections'!$D$4:$D$503,_calc!$E$303))=0,"",INDEX('Inspections'!$D$4:$D$503,_calc!$E$303))&amp;". ")&amp;IF(LEN(IF(LEN(INDEX('Inspections'!$E$4:$E$503,_calc!$E$303))=0,"",INDEX('Inspections'!$E$4:$E$503,_calc!$E$303)))=0,"","Unit: "&amp;IF(LEN(INDEX('Inspections'!$E$4:$E$503,_calc!$E$303))=0,"",INDEX('Inspections'!$E$4:$E$503,_calc!$E$303))&amp;". ")&amp;IF(LEN(IF(LEN(INDEX('Inspections'!$F$4:$F$503,_calc!$E$303))=0,"",INDEX('Inspections'!$F$4:$F$503,_calc!$E$303)))=0,"","Done by: "&amp;IF(LEN(INDEX('Inspections'!$F$4:$F$503,_calc!$E$303))=0,"",INDEX('Inspections'!$F$4:$F$503,_calc!$E$303))&amp;". ")&amp;IF(LEN(IF(LEN(INDEX('Inspections'!$M$4:$M$503,_calc!$E$303))=0,"",INDEX('Inspections'!$M$4:$M$503,_calc!$E$303)))=0,"","Source: "&amp;IF(LEN(INDEX('Inspections'!$M$4:$M$503,_calc!$E$303))=0,"",INDEX('Inspections'!$M$4:$M$503,_calc!$E$303))&amp;". ")&amp;IF(LEN(IF(LEN(INDEX('Inspections'!$N$4:$N$503,_calc!$E$303))=0,"",INDEX('Inspections'!$N$4:$N$503,_calc!$E$303)))=0,"","Owner: "&amp;IF(LEN(INDEX('Inspections'!$N$4:$N$503,_calc!$E$303))=0,"",INDEX('Inspections'!$N$4:$N$503,_calc!$E$303))&amp;". ")&amp;IF(LEN(IF(LEN(INDEX('Inspections'!$O$4:$O$503,_calc!$E$303))=0,"",INDEX('Inspections'!$O$4:$O$503,_calc!$E$303)))=0,"","Backup: "&amp;IF(LEN(INDEX('Inspections'!$O$4:$O$503,_calc!$E$303))=0,"",INDEX('Inspections'!$O$4:$O$503,_calc!$E$303))&amp;". ")&amp;IF(LEN(IF(LEN(INDEX('Inspections'!$R$4:$R$503,_calc!$E$303))=0,"",INDEX('Inspections'!$R$4:$R$503,_calc!$E$303)))=0,"",IF(LEN(INDEX('Inspections'!$R$4:$R$503,_calc!$E$303))=0,"",INDEX('Inspections'!$R$4:$R$503,_calc!$E$303)))))</f>
        <v/>
      </c>
      <c r="G301" s="55">
        <f>IF(_calc!$E$303="","",IF(LEN(INDEX('Inspections'!$Q$4:$Q$503,_calc!$E$303))=0,"",INDEX('Inspections'!$Q$4:$Q$503,_calc!$E$303)))</f>
        <v/>
      </c>
      <c r="K301" s="55">
        <f>IF(_calc!$E$303="","",IF(LEN(INDEX('Inspections'!$P$4:$P$503,_calc!$E$303))=0,"",INDEX('Inspections'!$P$4:$P$503,_calc!$E$303)))</f>
        <v/>
      </c>
    </row>
    <row r="302">
      <c r="A302" s="55">
        <f>IF(_calc!$E$304="","",IF(LEN(INDEX('Inspections'!$C$4:$C$503,_calc!$E$304))=0,"",INDEX('Inspections'!$C$4:$C$503,_calc!$E$304))&amp;" – "&amp;IF(LEN(INDEX('Inspections'!$A$4:$A$503,_calc!$E$304))=0,"",INDEX('Inspections'!$A$4:$A$503,_calc!$E$304)))</f>
        <v/>
      </c>
      <c r="B302" s="55">
        <f>IF(_calc!$E$304="","",IF(ISNUMBER(INDEX('Inspections'!$H$4:$H$503,_calc!$E$304)),TEXT(INDEX('Inspections'!$H$4:$H$503,_calc!$E$304),"yyyy-mm-dd"),""))</f>
        <v/>
      </c>
      <c r="C302" s="55">
        <f>IF(_calc!$E$304="","","Inspection")</f>
        <v/>
      </c>
      <c r="D302" s="55">
        <f>IF(_calc!$E$304="","",IF(ISNUMBER(INDEX('Inspections'!$G$4:$G$503,_calc!$E$304)),TEXT(INDEX('Inspections'!$G$4:$G$503,_calc!$E$304),"yyyy-mm-dd"),""))</f>
        <v/>
      </c>
      <c r="F302" s="55">
        <f>IF(_calc!$E$304="","",TRIM(IF(LEN(IF(LEN(INDEX('Inspections'!$B$4:$B$503,_calc!$E$304))=0,"",INDEX('Inspections'!$B$4:$B$503,_calc!$E$304)))=0,"","System: "&amp;IF(LEN(INDEX('Inspections'!$B$4:$B$503,_calc!$E$304))=0,"",INDEX('Inspections'!$B$4:$B$503,_calc!$E$304))&amp;". ")&amp;IF(LEN(IF(LEN(INDEX('Inspections'!$D$4:$D$503,_calc!$E$304))=0,"",INDEX('Inspections'!$D$4:$D$503,_calc!$E$304)))=0,"","Every: "&amp;IF(LEN(INDEX('Inspections'!$D$4:$D$503,_calc!$E$304))=0,"",INDEX('Inspections'!$D$4:$D$503,_calc!$E$304))&amp;". ")&amp;IF(LEN(IF(LEN(INDEX('Inspections'!$E$4:$E$503,_calc!$E$304))=0,"",INDEX('Inspections'!$E$4:$E$503,_calc!$E$304)))=0,"","Unit: "&amp;IF(LEN(INDEX('Inspections'!$E$4:$E$503,_calc!$E$304))=0,"",INDEX('Inspections'!$E$4:$E$503,_calc!$E$304))&amp;". ")&amp;IF(LEN(IF(LEN(INDEX('Inspections'!$F$4:$F$503,_calc!$E$304))=0,"",INDEX('Inspections'!$F$4:$F$503,_calc!$E$304)))=0,"","Done by: "&amp;IF(LEN(INDEX('Inspections'!$F$4:$F$503,_calc!$E$304))=0,"",INDEX('Inspections'!$F$4:$F$503,_calc!$E$304))&amp;". ")&amp;IF(LEN(IF(LEN(INDEX('Inspections'!$M$4:$M$503,_calc!$E$304))=0,"",INDEX('Inspections'!$M$4:$M$503,_calc!$E$304)))=0,"","Source: "&amp;IF(LEN(INDEX('Inspections'!$M$4:$M$503,_calc!$E$304))=0,"",INDEX('Inspections'!$M$4:$M$503,_calc!$E$304))&amp;". ")&amp;IF(LEN(IF(LEN(INDEX('Inspections'!$N$4:$N$503,_calc!$E$304))=0,"",INDEX('Inspections'!$N$4:$N$503,_calc!$E$304)))=0,"","Owner: "&amp;IF(LEN(INDEX('Inspections'!$N$4:$N$503,_calc!$E$304))=0,"",INDEX('Inspections'!$N$4:$N$503,_calc!$E$304))&amp;". ")&amp;IF(LEN(IF(LEN(INDEX('Inspections'!$O$4:$O$503,_calc!$E$304))=0,"",INDEX('Inspections'!$O$4:$O$503,_calc!$E$304)))=0,"","Backup: "&amp;IF(LEN(INDEX('Inspections'!$O$4:$O$503,_calc!$E$304))=0,"",INDEX('Inspections'!$O$4:$O$503,_calc!$E$304))&amp;". ")&amp;IF(LEN(IF(LEN(INDEX('Inspections'!$R$4:$R$503,_calc!$E$304))=0,"",INDEX('Inspections'!$R$4:$R$503,_calc!$E$304)))=0,"",IF(LEN(INDEX('Inspections'!$R$4:$R$503,_calc!$E$304))=0,"",INDEX('Inspections'!$R$4:$R$503,_calc!$E$304)))))</f>
        <v/>
      </c>
      <c r="G302" s="55">
        <f>IF(_calc!$E$304="","",IF(LEN(INDEX('Inspections'!$Q$4:$Q$503,_calc!$E$304))=0,"",INDEX('Inspections'!$Q$4:$Q$503,_calc!$E$304)))</f>
        <v/>
      </c>
      <c r="K302" s="55">
        <f>IF(_calc!$E$304="","",IF(LEN(INDEX('Inspections'!$P$4:$P$503,_calc!$E$304))=0,"",INDEX('Inspections'!$P$4:$P$503,_calc!$E$304)))</f>
        <v/>
      </c>
    </row>
    <row r="303">
      <c r="A303" s="55">
        <f>IF(_calc!$E$305="","",IF(LEN(INDEX('Inspections'!$C$4:$C$503,_calc!$E$305))=0,"",INDEX('Inspections'!$C$4:$C$503,_calc!$E$305))&amp;" – "&amp;IF(LEN(INDEX('Inspections'!$A$4:$A$503,_calc!$E$305))=0,"",INDEX('Inspections'!$A$4:$A$503,_calc!$E$305)))</f>
        <v/>
      </c>
      <c r="B303" s="55">
        <f>IF(_calc!$E$305="","",IF(ISNUMBER(INDEX('Inspections'!$H$4:$H$503,_calc!$E$305)),TEXT(INDEX('Inspections'!$H$4:$H$503,_calc!$E$305),"yyyy-mm-dd"),""))</f>
        <v/>
      </c>
      <c r="C303" s="55">
        <f>IF(_calc!$E$305="","","Inspection")</f>
        <v/>
      </c>
      <c r="D303" s="55">
        <f>IF(_calc!$E$305="","",IF(ISNUMBER(INDEX('Inspections'!$G$4:$G$503,_calc!$E$305)),TEXT(INDEX('Inspections'!$G$4:$G$503,_calc!$E$305),"yyyy-mm-dd"),""))</f>
        <v/>
      </c>
      <c r="F303" s="55">
        <f>IF(_calc!$E$305="","",TRIM(IF(LEN(IF(LEN(INDEX('Inspections'!$B$4:$B$503,_calc!$E$305))=0,"",INDEX('Inspections'!$B$4:$B$503,_calc!$E$305)))=0,"","System: "&amp;IF(LEN(INDEX('Inspections'!$B$4:$B$503,_calc!$E$305))=0,"",INDEX('Inspections'!$B$4:$B$503,_calc!$E$305))&amp;". ")&amp;IF(LEN(IF(LEN(INDEX('Inspections'!$D$4:$D$503,_calc!$E$305))=0,"",INDEX('Inspections'!$D$4:$D$503,_calc!$E$305)))=0,"","Every: "&amp;IF(LEN(INDEX('Inspections'!$D$4:$D$503,_calc!$E$305))=0,"",INDEX('Inspections'!$D$4:$D$503,_calc!$E$305))&amp;". ")&amp;IF(LEN(IF(LEN(INDEX('Inspections'!$E$4:$E$503,_calc!$E$305))=0,"",INDEX('Inspections'!$E$4:$E$503,_calc!$E$305)))=0,"","Unit: "&amp;IF(LEN(INDEX('Inspections'!$E$4:$E$503,_calc!$E$305))=0,"",INDEX('Inspections'!$E$4:$E$503,_calc!$E$305))&amp;". ")&amp;IF(LEN(IF(LEN(INDEX('Inspections'!$F$4:$F$503,_calc!$E$305))=0,"",INDEX('Inspections'!$F$4:$F$503,_calc!$E$305)))=0,"","Done by: "&amp;IF(LEN(INDEX('Inspections'!$F$4:$F$503,_calc!$E$305))=0,"",INDEX('Inspections'!$F$4:$F$503,_calc!$E$305))&amp;". ")&amp;IF(LEN(IF(LEN(INDEX('Inspections'!$M$4:$M$503,_calc!$E$305))=0,"",INDEX('Inspections'!$M$4:$M$503,_calc!$E$305)))=0,"","Source: "&amp;IF(LEN(INDEX('Inspections'!$M$4:$M$503,_calc!$E$305))=0,"",INDEX('Inspections'!$M$4:$M$503,_calc!$E$305))&amp;". ")&amp;IF(LEN(IF(LEN(INDEX('Inspections'!$N$4:$N$503,_calc!$E$305))=0,"",INDEX('Inspections'!$N$4:$N$503,_calc!$E$305)))=0,"","Owner: "&amp;IF(LEN(INDEX('Inspections'!$N$4:$N$503,_calc!$E$305))=0,"",INDEX('Inspections'!$N$4:$N$503,_calc!$E$305))&amp;". ")&amp;IF(LEN(IF(LEN(INDEX('Inspections'!$O$4:$O$503,_calc!$E$305))=0,"",INDEX('Inspections'!$O$4:$O$503,_calc!$E$305)))=0,"","Backup: "&amp;IF(LEN(INDEX('Inspections'!$O$4:$O$503,_calc!$E$305))=0,"",INDEX('Inspections'!$O$4:$O$503,_calc!$E$305))&amp;". ")&amp;IF(LEN(IF(LEN(INDEX('Inspections'!$R$4:$R$503,_calc!$E$305))=0,"",INDEX('Inspections'!$R$4:$R$503,_calc!$E$305)))=0,"",IF(LEN(INDEX('Inspections'!$R$4:$R$503,_calc!$E$305))=0,"",INDEX('Inspections'!$R$4:$R$503,_calc!$E$305)))))</f>
        <v/>
      </c>
      <c r="G303" s="55">
        <f>IF(_calc!$E$305="","",IF(LEN(INDEX('Inspections'!$Q$4:$Q$503,_calc!$E$305))=0,"",INDEX('Inspections'!$Q$4:$Q$503,_calc!$E$305)))</f>
        <v/>
      </c>
      <c r="K303" s="55">
        <f>IF(_calc!$E$305="","",IF(LEN(INDEX('Inspections'!$P$4:$P$503,_calc!$E$305))=0,"",INDEX('Inspections'!$P$4:$P$503,_calc!$E$305)))</f>
        <v/>
      </c>
    </row>
    <row r="304">
      <c r="A304" s="55">
        <f>IF(_calc!$E$306="","",IF(LEN(INDEX('Inspections'!$C$4:$C$503,_calc!$E$306))=0,"",INDEX('Inspections'!$C$4:$C$503,_calc!$E$306))&amp;" – "&amp;IF(LEN(INDEX('Inspections'!$A$4:$A$503,_calc!$E$306))=0,"",INDEX('Inspections'!$A$4:$A$503,_calc!$E$306)))</f>
        <v/>
      </c>
      <c r="B304" s="55">
        <f>IF(_calc!$E$306="","",IF(ISNUMBER(INDEX('Inspections'!$H$4:$H$503,_calc!$E$306)),TEXT(INDEX('Inspections'!$H$4:$H$503,_calc!$E$306),"yyyy-mm-dd"),""))</f>
        <v/>
      </c>
      <c r="C304" s="55">
        <f>IF(_calc!$E$306="","","Inspection")</f>
        <v/>
      </c>
      <c r="D304" s="55">
        <f>IF(_calc!$E$306="","",IF(ISNUMBER(INDEX('Inspections'!$G$4:$G$503,_calc!$E$306)),TEXT(INDEX('Inspections'!$G$4:$G$503,_calc!$E$306),"yyyy-mm-dd"),""))</f>
        <v/>
      </c>
      <c r="F304" s="55">
        <f>IF(_calc!$E$306="","",TRIM(IF(LEN(IF(LEN(INDEX('Inspections'!$B$4:$B$503,_calc!$E$306))=0,"",INDEX('Inspections'!$B$4:$B$503,_calc!$E$306)))=0,"","System: "&amp;IF(LEN(INDEX('Inspections'!$B$4:$B$503,_calc!$E$306))=0,"",INDEX('Inspections'!$B$4:$B$503,_calc!$E$306))&amp;". ")&amp;IF(LEN(IF(LEN(INDEX('Inspections'!$D$4:$D$503,_calc!$E$306))=0,"",INDEX('Inspections'!$D$4:$D$503,_calc!$E$306)))=0,"","Every: "&amp;IF(LEN(INDEX('Inspections'!$D$4:$D$503,_calc!$E$306))=0,"",INDEX('Inspections'!$D$4:$D$503,_calc!$E$306))&amp;". ")&amp;IF(LEN(IF(LEN(INDEX('Inspections'!$E$4:$E$503,_calc!$E$306))=0,"",INDEX('Inspections'!$E$4:$E$503,_calc!$E$306)))=0,"","Unit: "&amp;IF(LEN(INDEX('Inspections'!$E$4:$E$503,_calc!$E$306))=0,"",INDEX('Inspections'!$E$4:$E$503,_calc!$E$306))&amp;". ")&amp;IF(LEN(IF(LEN(INDEX('Inspections'!$F$4:$F$503,_calc!$E$306))=0,"",INDEX('Inspections'!$F$4:$F$503,_calc!$E$306)))=0,"","Done by: "&amp;IF(LEN(INDEX('Inspections'!$F$4:$F$503,_calc!$E$306))=0,"",INDEX('Inspections'!$F$4:$F$503,_calc!$E$306))&amp;". ")&amp;IF(LEN(IF(LEN(INDEX('Inspections'!$M$4:$M$503,_calc!$E$306))=0,"",INDEX('Inspections'!$M$4:$M$503,_calc!$E$306)))=0,"","Source: "&amp;IF(LEN(INDEX('Inspections'!$M$4:$M$503,_calc!$E$306))=0,"",INDEX('Inspections'!$M$4:$M$503,_calc!$E$306))&amp;". ")&amp;IF(LEN(IF(LEN(INDEX('Inspections'!$N$4:$N$503,_calc!$E$306))=0,"",INDEX('Inspections'!$N$4:$N$503,_calc!$E$306)))=0,"","Owner: "&amp;IF(LEN(INDEX('Inspections'!$N$4:$N$503,_calc!$E$306))=0,"",INDEX('Inspections'!$N$4:$N$503,_calc!$E$306))&amp;". ")&amp;IF(LEN(IF(LEN(INDEX('Inspections'!$O$4:$O$503,_calc!$E$306))=0,"",INDEX('Inspections'!$O$4:$O$503,_calc!$E$306)))=0,"","Backup: "&amp;IF(LEN(INDEX('Inspections'!$O$4:$O$503,_calc!$E$306))=0,"",INDEX('Inspections'!$O$4:$O$503,_calc!$E$306))&amp;". ")&amp;IF(LEN(IF(LEN(INDEX('Inspections'!$R$4:$R$503,_calc!$E$306))=0,"",INDEX('Inspections'!$R$4:$R$503,_calc!$E$306)))=0,"",IF(LEN(INDEX('Inspections'!$R$4:$R$503,_calc!$E$306))=0,"",INDEX('Inspections'!$R$4:$R$503,_calc!$E$306)))))</f>
        <v/>
      </c>
      <c r="G304" s="55">
        <f>IF(_calc!$E$306="","",IF(LEN(INDEX('Inspections'!$Q$4:$Q$503,_calc!$E$306))=0,"",INDEX('Inspections'!$Q$4:$Q$503,_calc!$E$306)))</f>
        <v/>
      </c>
      <c r="K304" s="55">
        <f>IF(_calc!$E$306="","",IF(LEN(INDEX('Inspections'!$P$4:$P$503,_calc!$E$306))=0,"",INDEX('Inspections'!$P$4:$P$503,_calc!$E$306)))</f>
        <v/>
      </c>
    </row>
    <row r="305">
      <c r="A305" s="55">
        <f>IF(_calc!$E$307="","",IF(LEN(INDEX('Inspections'!$C$4:$C$503,_calc!$E$307))=0,"",INDEX('Inspections'!$C$4:$C$503,_calc!$E$307))&amp;" – "&amp;IF(LEN(INDEX('Inspections'!$A$4:$A$503,_calc!$E$307))=0,"",INDEX('Inspections'!$A$4:$A$503,_calc!$E$307)))</f>
        <v/>
      </c>
      <c r="B305" s="55">
        <f>IF(_calc!$E$307="","",IF(ISNUMBER(INDEX('Inspections'!$H$4:$H$503,_calc!$E$307)),TEXT(INDEX('Inspections'!$H$4:$H$503,_calc!$E$307),"yyyy-mm-dd"),""))</f>
        <v/>
      </c>
      <c r="C305" s="55">
        <f>IF(_calc!$E$307="","","Inspection")</f>
        <v/>
      </c>
      <c r="D305" s="55">
        <f>IF(_calc!$E$307="","",IF(ISNUMBER(INDEX('Inspections'!$G$4:$G$503,_calc!$E$307)),TEXT(INDEX('Inspections'!$G$4:$G$503,_calc!$E$307),"yyyy-mm-dd"),""))</f>
        <v/>
      </c>
      <c r="F305" s="55">
        <f>IF(_calc!$E$307="","",TRIM(IF(LEN(IF(LEN(INDEX('Inspections'!$B$4:$B$503,_calc!$E$307))=0,"",INDEX('Inspections'!$B$4:$B$503,_calc!$E$307)))=0,"","System: "&amp;IF(LEN(INDEX('Inspections'!$B$4:$B$503,_calc!$E$307))=0,"",INDEX('Inspections'!$B$4:$B$503,_calc!$E$307))&amp;". ")&amp;IF(LEN(IF(LEN(INDEX('Inspections'!$D$4:$D$503,_calc!$E$307))=0,"",INDEX('Inspections'!$D$4:$D$503,_calc!$E$307)))=0,"","Every: "&amp;IF(LEN(INDEX('Inspections'!$D$4:$D$503,_calc!$E$307))=0,"",INDEX('Inspections'!$D$4:$D$503,_calc!$E$307))&amp;". ")&amp;IF(LEN(IF(LEN(INDEX('Inspections'!$E$4:$E$503,_calc!$E$307))=0,"",INDEX('Inspections'!$E$4:$E$503,_calc!$E$307)))=0,"","Unit: "&amp;IF(LEN(INDEX('Inspections'!$E$4:$E$503,_calc!$E$307))=0,"",INDEX('Inspections'!$E$4:$E$503,_calc!$E$307))&amp;". ")&amp;IF(LEN(IF(LEN(INDEX('Inspections'!$F$4:$F$503,_calc!$E$307))=0,"",INDEX('Inspections'!$F$4:$F$503,_calc!$E$307)))=0,"","Done by: "&amp;IF(LEN(INDEX('Inspections'!$F$4:$F$503,_calc!$E$307))=0,"",INDEX('Inspections'!$F$4:$F$503,_calc!$E$307))&amp;". ")&amp;IF(LEN(IF(LEN(INDEX('Inspections'!$M$4:$M$503,_calc!$E$307))=0,"",INDEX('Inspections'!$M$4:$M$503,_calc!$E$307)))=0,"","Source: "&amp;IF(LEN(INDEX('Inspections'!$M$4:$M$503,_calc!$E$307))=0,"",INDEX('Inspections'!$M$4:$M$503,_calc!$E$307))&amp;". ")&amp;IF(LEN(IF(LEN(INDEX('Inspections'!$N$4:$N$503,_calc!$E$307))=0,"",INDEX('Inspections'!$N$4:$N$503,_calc!$E$307)))=0,"","Owner: "&amp;IF(LEN(INDEX('Inspections'!$N$4:$N$503,_calc!$E$307))=0,"",INDEX('Inspections'!$N$4:$N$503,_calc!$E$307))&amp;". ")&amp;IF(LEN(IF(LEN(INDEX('Inspections'!$O$4:$O$503,_calc!$E$307))=0,"",INDEX('Inspections'!$O$4:$O$503,_calc!$E$307)))=0,"","Backup: "&amp;IF(LEN(INDEX('Inspections'!$O$4:$O$503,_calc!$E$307))=0,"",INDEX('Inspections'!$O$4:$O$503,_calc!$E$307))&amp;". ")&amp;IF(LEN(IF(LEN(INDEX('Inspections'!$R$4:$R$503,_calc!$E$307))=0,"",INDEX('Inspections'!$R$4:$R$503,_calc!$E$307)))=0,"",IF(LEN(INDEX('Inspections'!$R$4:$R$503,_calc!$E$307))=0,"",INDEX('Inspections'!$R$4:$R$503,_calc!$E$307)))))</f>
        <v/>
      </c>
      <c r="G305" s="55">
        <f>IF(_calc!$E$307="","",IF(LEN(INDEX('Inspections'!$Q$4:$Q$503,_calc!$E$307))=0,"",INDEX('Inspections'!$Q$4:$Q$503,_calc!$E$307)))</f>
        <v/>
      </c>
      <c r="K305" s="55">
        <f>IF(_calc!$E$307="","",IF(LEN(INDEX('Inspections'!$P$4:$P$503,_calc!$E$307))=0,"",INDEX('Inspections'!$P$4:$P$503,_calc!$E$307)))</f>
        <v/>
      </c>
    </row>
    <row r="306">
      <c r="A306" s="55">
        <f>IF(_calc!$E$308="","",IF(LEN(INDEX('Inspections'!$C$4:$C$503,_calc!$E$308))=0,"",INDEX('Inspections'!$C$4:$C$503,_calc!$E$308))&amp;" – "&amp;IF(LEN(INDEX('Inspections'!$A$4:$A$503,_calc!$E$308))=0,"",INDEX('Inspections'!$A$4:$A$503,_calc!$E$308)))</f>
        <v/>
      </c>
      <c r="B306" s="55">
        <f>IF(_calc!$E$308="","",IF(ISNUMBER(INDEX('Inspections'!$H$4:$H$503,_calc!$E$308)),TEXT(INDEX('Inspections'!$H$4:$H$503,_calc!$E$308),"yyyy-mm-dd"),""))</f>
        <v/>
      </c>
      <c r="C306" s="55">
        <f>IF(_calc!$E$308="","","Inspection")</f>
        <v/>
      </c>
      <c r="D306" s="55">
        <f>IF(_calc!$E$308="","",IF(ISNUMBER(INDEX('Inspections'!$G$4:$G$503,_calc!$E$308)),TEXT(INDEX('Inspections'!$G$4:$G$503,_calc!$E$308),"yyyy-mm-dd"),""))</f>
        <v/>
      </c>
      <c r="F306" s="55">
        <f>IF(_calc!$E$308="","",TRIM(IF(LEN(IF(LEN(INDEX('Inspections'!$B$4:$B$503,_calc!$E$308))=0,"",INDEX('Inspections'!$B$4:$B$503,_calc!$E$308)))=0,"","System: "&amp;IF(LEN(INDEX('Inspections'!$B$4:$B$503,_calc!$E$308))=0,"",INDEX('Inspections'!$B$4:$B$503,_calc!$E$308))&amp;". ")&amp;IF(LEN(IF(LEN(INDEX('Inspections'!$D$4:$D$503,_calc!$E$308))=0,"",INDEX('Inspections'!$D$4:$D$503,_calc!$E$308)))=0,"","Every: "&amp;IF(LEN(INDEX('Inspections'!$D$4:$D$503,_calc!$E$308))=0,"",INDEX('Inspections'!$D$4:$D$503,_calc!$E$308))&amp;". ")&amp;IF(LEN(IF(LEN(INDEX('Inspections'!$E$4:$E$503,_calc!$E$308))=0,"",INDEX('Inspections'!$E$4:$E$503,_calc!$E$308)))=0,"","Unit: "&amp;IF(LEN(INDEX('Inspections'!$E$4:$E$503,_calc!$E$308))=0,"",INDEX('Inspections'!$E$4:$E$503,_calc!$E$308))&amp;". ")&amp;IF(LEN(IF(LEN(INDEX('Inspections'!$F$4:$F$503,_calc!$E$308))=0,"",INDEX('Inspections'!$F$4:$F$503,_calc!$E$308)))=0,"","Done by: "&amp;IF(LEN(INDEX('Inspections'!$F$4:$F$503,_calc!$E$308))=0,"",INDEX('Inspections'!$F$4:$F$503,_calc!$E$308))&amp;". ")&amp;IF(LEN(IF(LEN(INDEX('Inspections'!$M$4:$M$503,_calc!$E$308))=0,"",INDEX('Inspections'!$M$4:$M$503,_calc!$E$308)))=0,"","Source: "&amp;IF(LEN(INDEX('Inspections'!$M$4:$M$503,_calc!$E$308))=0,"",INDEX('Inspections'!$M$4:$M$503,_calc!$E$308))&amp;". ")&amp;IF(LEN(IF(LEN(INDEX('Inspections'!$N$4:$N$503,_calc!$E$308))=0,"",INDEX('Inspections'!$N$4:$N$503,_calc!$E$308)))=0,"","Owner: "&amp;IF(LEN(INDEX('Inspections'!$N$4:$N$503,_calc!$E$308))=0,"",INDEX('Inspections'!$N$4:$N$503,_calc!$E$308))&amp;". ")&amp;IF(LEN(IF(LEN(INDEX('Inspections'!$O$4:$O$503,_calc!$E$308))=0,"",INDEX('Inspections'!$O$4:$O$503,_calc!$E$308)))=0,"","Backup: "&amp;IF(LEN(INDEX('Inspections'!$O$4:$O$503,_calc!$E$308))=0,"",INDEX('Inspections'!$O$4:$O$503,_calc!$E$308))&amp;". ")&amp;IF(LEN(IF(LEN(INDEX('Inspections'!$R$4:$R$503,_calc!$E$308))=0,"",INDEX('Inspections'!$R$4:$R$503,_calc!$E$308)))=0,"",IF(LEN(INDEX('Inspections'!$R$4:$R$503,_calc!$E$308))=0,"",INDEX('Inspections'!$R$4:$R$503,_calc!$E$308)))))</f>
        <v/>
      </c>
      <c r="G306" s="55">
        <f>IF(_calc!$E$308="","",IF(LEN(INDEX('Inspections'!$Q$4:$Q$503,_calc!$E$308))=0,"",INDEX('Inspections'!$Q$4:$Q$503,_calc!$E$308)))</f>
        <v/>
      </c>
      <c r="K306" s="55">
        <f>IF(_calc!$E$308="","",IF(LEN(INDEX('Inspections'!$P$4:$P$503,_calc!$E$308))=0,"",INDEX('Inspections'!$P$4:$P$503,_calc!$E$308)))</f>
        <v/>
      </c>
    </row>
    <row r="307">
      <c r="A307" s="55">
        <f>IF(_calc!$E$309="","",IF(LEN(INDEX('Inspections'!$C$4:$C$503,_calc!$E$309))=0,"",INDEX('Inspections'!$C$4:$C$503,_calc!$E$309))&amp;" – "&amp;IF(LEN(INDEX('Inspections'!$A$4:$A$503,_calc!$E$309))=0,"",INDEX('Inspections'!$A$4:$A$503,_calc!$E$309)))</f>
        <v/>
      </c>
      <c r="B307" s="55">
        <f>IF(_calc!$E$309="","",IF(ISNUMBER(INDEX('Inspections'!$H$4:$H$503,_calc!$E$309)),TEXT(INDEX('Inspections'!$H$4:$H$503,_calc!$E$309),"yyyy-mm-dd"),""))</f>
        <v/>
      </c>
      <c r="C307" s="55">
        <f>IF(_calc!$E$309="","","Inspection")</f>
        <v/>
      </c>
      <c r="D307" s="55">
        <f>IF(_calc!$E$309="","",IF(ISNUMBER(INDEX('Inspections'!$G$4:$G$503,_calc!$E$309)),TEXT(INDEX('Inspections'!$G$4:$G$503,_calc!$E$309),"yyyy-mm-dd"),""))</f>
        <v/>
      </c>
      <c r="F307" s="55">
        <f>IF(_calc!$E$309="","",TRIM(IF(LEN(IF(LEN(INDEX('Inspections'!$B$4:$B$503,_calc!$E$309))=0,"",INDEX('Inspections'!$B$4:$B$503,_calc!$E$309)))=0,"","System: "&amp;IF(LEN(INDEX('Inspections'!$B$4:$B$503,_calc!$E$309))=0,"",INDEX('Inspections'!$B$4:$B$503,_calc!$E$309))&amp;". ")&amp;IF(LEN(IF(LEN(INDEX('Inspections'!$D$4:$D$503,_calc!$E$309))=0,"",INDEX('Inspections'!$D$4:$D$503,_calc!$E$309)))=0,"","Every: "&amp;IF(LEN(INDEX('Inspections'!$D$4:$D$503,_calc!$E$309))=0,"",INDEX('Inspections'!$D$4:$D$503,_calc!$E$309))&amp;". ")&amp;IF(LEN(IF(LEN(INDEX('Inspections'!$E$4:$E$503,_calc!$E$309))=0,"",INDEX('Inspections'!$E$4:$E$503,_calc!$E$309)))=0,"","Unit: "&amp;IF(LEN(INDEX('Inspections'!$E$4:$E$503,_calc!$E$309))=0,"",INDEX('Inspections'!$E$4:$E$503,_calc!$E$309))&amp;". ")&amp;IF(LEN(IF(LEN(INDEX('Inspections'!$F$4:$F$503,_calc!$E$309))=0,"",INDEX('Inspections'!$F$4:$F$503,_calc!$E$309)))=0,"","Done by: "&amp;IF(LEN(INDEX('Inspections'!$F$4:$F$503,_calc!$E$309))=0,"",INDEX('Inspections'!$F$4:$F$503,_calc!$E$309))&amp;". ")&amp;IF(LEN(IF(LEN(INDEX('Inspections'!$M$4:$M$503,_calc!$E$309))=0,"",INDEX('Inspections'!$M$4:$M$503,_calc!$E$309)))=0,"","Source: "&amp;IF(LEN(INDEX('Inspections'!$M$4:$M$503,_calc!$E$309))=0,"",INDEX('Inspections'!$M$4:$M$503,_calc!$E$309))&amp;". ")&amp;IF(LEN(IF(LEN(INDEX('Inspections'!$N$4:$N$503,_calc!$E$309))=0,"",INDEX('Inspections'!$N$4:$N$503,_calc!$E$309)))=0,"","Owner: "&amp;IF(LEN(INDEX('Inspections'!$N$4:$N$503,_calc!$E$309))=0,"",INDEX('Inspections'!$N$4:$N$503,_calc!$E$309))&amp;". ")&amp;IF(LEN(IF(LEN(INDEX('Inspections'!$O$4:$O$503,_calc!$E$309))=0,"",INDEX('Inspections'!$O$4:$O$503,_calc!$E$309)))=0,"","Backup: "&amp;IF(LEN(INDEX('Inspections'!$O$4:$O$503,_calc!$E$309))=0,"",INDEX('Inspections'!$O$4:$O$503,_calc!$E$309))&amp;". ")&amp;IF(LEN(IF(LEN(INDEX('Inspections'!$R$4:$R$503,_calc!$E$309))=0,"",INDEX('Inspections'!$R$4:$R$503,_calc!$E$309)))=0,"",IF(LEN(INDEX('Inspections'!$R$4:$R$503,_calc!$E$309))=0,"",INDEX('Inspections'!$R$4:$R$503,_calc!$E$309)))))</f>
        <v/>
      </c>
      <c r="G307" s="55">
        <f>IF(_calc!$E$309="","",IF(LEN(INDEX('Inspections'!$Q$4:$Q$503,_calc!$E$309))=0,"",INDEX('Inspections'!$Q$4:$Q$503,_calc!$E$309)))</f>
        <v/>
      </c>
      <c r="K307" s="55">
        <f>IF(_calc!$E$309="","",IF(LEN(INDEX('Inspections'!$P$4:$P$503,_calc!$E$309))=0,"",INDEX('Inspections'!$P$4:$P$503,_calc!$E$309)))</f>
        <v/>
      </c>
    </row>
    <row r="308">
      <c r="A308" s="55">
        <f>IF(_calc!$E$310="","",IF(LEN(INDEX('Inspections'!$C$4:$C$503,_calc!$E$310))=0,"",INDEX('Inspections'!$C$4:$C$503,_calc!$E$310))&amp;" – "&amp;IF(LEN(INDEX('Inspections'!$A$4:$A$503,_calc!$E$310))=0,"",INDEX('Inspections'!$A$4:$A$503,_calc!$E$310)))</f>
        <v/>
      </c>
      <c r="B308" s="55">
        <f>IF(_calc!$E$310="","",IF(ISNUMBER(INDEX('Inspections'!$H$4:$H$503,_calc!$E$310)),TEXT(INDEX('Inspections'!$H$4:$H$503,_calc!$E$310),"yyyy-mm-dd"),""))</f>
        <v/>
      </c>
      <c r="C308" s="55">
        <f>IF(_calc!$E$310="","","Inspection")</f>
        <v/>
      </c>
      <c r="D308" s="55">
        <f>IF(_calc!$E$310="","",IF(ISNUMBER(INDEX('Inspections'!$G$4:$G$503,_calc!$E$310)),TEXT(INDEX('Inspections'!$G$4:$G$503,_calc!$E$310),"yyyy-mm-dd"),""))</f>
        <v/>
      </c>
      <c r="F308" s="55">
        <f>IF(_calc!$E$310="","",TRIM(IF(LEN(IF(LEN(INDEX('Inspections'!$B$4:$B$503,_calc!$E$310))=0,"",INDEX('Inspections'!$B$4:$B$503,_calc!$E$310)))=0,"","System: "&amp;IF(LEN(INDEX('Inspections'!$B$4:$B$503,_calc!$E$310))=0,"",INDEX('Inspections'!$B$4:$B$503,_calc!$E$310))&amp;". ")&amp;IF(LEN(IF(LEN(INDEX('Inspections'!$D$4:$D$503,_calc!$E$310))=0,"",INDEX('Inspections'!$D$4:$D$503,_calc!$E$310)))=0,"","Every: "&amp;IF(LEN(INDEX('Inspections'!$D$4:$D$503,_calc!$E$310))=0,"",INDEX('Inspections'!$D$4:$D$503,_calc!$E$310))&amp;". ")&amp;IF(LEN(IF(LEN(INDEX('Inspections'!$E$4:$E$503,_calc!$E$310))=0,"",INDEX('Inspections'!$E$4:$E$503,_calc!$E$310)))=0,"","Unit: "&amp;IF(LEN(INDEX('Inspections'!$E$4:$E$503,_calc!$E$310))=0,"",INDEX('Inspections'!$E$4:$E$503,_calc!$E$310))&amp;". ")&amp;IF(LEN(IF(LEN(INDEX('Inspections'!$F$4:$F$503,_calc!$E$310))=0,"",INDEX('Inspections'!$F$4:$F$503,_calc!$E$310)))=0,"","Done by: "&amp;IF(LEN(INDEX('Inspections'!$F$4:$F$503,_calc!$E$310))=0,"",INDEX('Inspections'!$F$4:$F$503,_calc!$E$310))&amp;". ")&amp;IF(LEN(IF(LEN(INDEX('Inspections'!$M$4:$M$503,_calc!$E$310))=0,"",INDEX('Inspections'!$M$4:$M$503,_calc!$E$310)))=0,"","Source: "&amp;IF(LEN(INDEX('Inspections'!$M$4:$M$503,_calc!$E$310))=0,"",INDEX('Inspections'!$M$4:$M$503,_calc!$E$310))&amp;". ")&amp;IF(LEN(IF(LEN(INDEX('Inspections'!$N$4:$N$503,_calc!$E$310))=0,"",INDEX('Inspections'!$N$4:$N$503,_calc!$E$310)))=0,"","Owner: "&amp;IF(LEN(INDEX('Inspections'!$N$4:$N$503,_calc!$E$310))=0,"",INDEX('Inspections'!$N$4:$N$503,_calc!$E$310))&amp;". ")&amp;IF(LEN(IF(LEN(INDEX('Inspections'!$O$4:$O$503,_calc!$E$310))=0,"",INDEX('Inspections'!$O$4:$O$503,_calc!$E$310)))=0,"","Backup: "&amp;IF(LEN(INDEX('Inspections'!$O$4:$O$503,_calc!$E$310))=0,"",INDEX('Inspections'!$O$4:$O$503,_calc!$E$310))&amp;". ")&amp;IF(LEN(IF(LEN(INDEX('Inspections'!$R$4:$R$503,_calc!$E$310))=0,"",INDEX('Inspections'!$R$4:$R$503,_calc!$E$310)))=0,"",IF(LEN(INDEX('Inspections'!$R$4:$R$503,_calc!$E$310))=0,"",INDEX('Inspections'!$R$4:$R$503,_calc!$E$310)))))</f>
        <v/>
      </c>
      <c r="G308" s="55">
        <f>IF(_calc!$E$310="","",IF(LEN(INDEX('Inspections'!$Q$4:$Q$503,_calc!$E$310))=0,"",INDEX('Inspections'!$Q$4:$Q$503,_calc!$E$310)))</f>
        <v/>
      </c>
      <c r="K308" s="55">
        <f>IF(_calc!$E$310="","",IF(LEN(INDEX('Inspections'!$P$4:$P$503,_calc!$E$310))=0,"",INDEX('Inspections'!$P$4:$P$503,_calc!$E$310)))</f>
        <v/>
      </c>
    </row>
    <row r="309">
      <c r="A309" s="55">
        <f>IF(_calc!$E$311="","",IF(LEN(INDEX('Inspections'!$C$4:$C$503,_calc!$E$311))=0,"",INDEX('Inspections'!$C$4:$C$503,_calc!$E$311))&amp;" – "&amp;IF(LEN(INDEX('Inspections'!$A$4:$A$503,_calc!$E$311))=0,"",INDEX('Inspections'!$A$4:$A$503,_calc!$E$311)))</f>
        <v/>
      </c>
      <c r="B309" s="55">
        <f>IF(_calc!$E$311="","",IF(ISNUMBER(INDEX('Inspections'!$H$4:$H$503,_calc!$E$311)),TEXT(INDEX('Inspections'!$H$4:$H$503,_calc!$E$311),"yyyy-mm-dd"),""))</f>
        <v/>
      </c>
      <c r="C309" s="55">
        <f>IF(_calc!$E$311="","","Inspection")</f>
        <v/>
      </c>
      <c r="D309" s="55">
        <f>IF(_calc!$E$311="","",IF(ISNUMBER(INDEX('Inspections'!$G$4:$G$503,_calc!$E$311)),TEXT(INDEX('Inspections'!$G$4:$G$503,_calc!$E$311),"yyyy-mm-dd"),""))</f>
        <v/>
      </c>
      <c r="F309" s="55">
        <f>IF(_calc!$E$311="","",TRIM(IF(LEN(IF(LEN(INDEX('Inspections'!$B$4:$B$503,_calc!$E$311))=0,"",INDEX('Inspections'!$B$4:$B$503,_calc!$E$311)))=0,"","System: "&amp;IF(LEN(INDEX('Inspections'!$B$4:$B$503,_calc!$E$311))=0,"",INDEX('Inspections'!$B$4:$B$503,_calc!$E$311))&amp;". ")&amp;IF(LEN(IF(LEN(INDEX('Inspections'!$D$4:$D$503,_calc!$E$311))=0,"",INDEX('Inspections'!$D$4:$D$503,_calc!$E$311)))=0,"","Every: "&amp;IF(LEN(INDEX('Inspections'!$D$4:$D$503,_calc!$E$311))=0,"",INDEX('Inspections'!$D$4:$D$503,_calc!$E$311))&amp;". ")&amp;IF(LEN(IF(LEN(INDEX('Inspections'!$E$4:$E$503,_calc!$E$311))=0,"",INDEX('Inspections'!$E$4:$E$503,_calc!$E$311)))=0,"","Unit: "&amp;IF(LEN(INDEX('Inspections'!$E$4:$E$503,_calc!$E$311))=0,"",INDEX('Inspections'!$E$4:$E$503,_calc!$E$311))&amp;". ")&amp;IF(LEN(IF(LEN(INDEX('Inspections'!$F$4:$F$503,_calc!$E$311))=0,"",INDEX('Inspections'!$F$4:$F$503,_calc!$E$311)))=0,"","Done by: "&amp;IF(LEN(INDEX('Inspections'!$F$4:$F$503,_calc!$E$311))=0,"",INDEX('Inspections'!$F$4:$F$503,_calc!$E$311))&amp;". ")&amp;IF(LEN(IF(LEN(INDEX('Inspections'!$M$4:$M$503,_calc!$E$311))=0,"",INDEX('Inspections'!$M$4:$M$503,_calc!$E$311)))=0,"","Source: "&amp;IF(LEN(INDEX('Inspections'!$M$4:$M$503,_calc!$E$311))=0,"",INDEX('Inspections'!$M$4:$M$503,_calc!$E$311))&amp;". ")&amp;IF(LEN(IF(LEN(INDEX('Inspections'!$N$4:$N$503,_calc!$E$311))=0,"",INDEX('Inspections'!$N$4:$N$503,_calc!$E$311)))=0,"","Owner: "&amp;IF(LEN(INDEX('Inspections'!$N$4:$N$503,_calc!$E$311))=0,"",INDEX('Inspections'!$N$4:$N$503,_calc!$E$311))&amp;". ")&amp;IF(LEN(IF(LEN(INDEX('Inspections'!$O$4:$O$503,_calc!$E$311))=0,"",INDEX('Inspections'!$O$4:$O$503,_calc!$E$311)))=0,"","Backup: "&amp;IF(LEN(INDEX('Inspections'!$O$4:$O$503,_calc!$E$311))=0,"",INDEX('Inspections'!$O$4:$O$503,_calc!$E$311))&amp;". ")&amp;IF(LEN(IF(LEN(INDEX('Inspections'!$R$4:$R$503,_calc!$E$311))=0,"",INDEX('Inspections'!$R$4:$R$503,_calc!$E$311)))=0,"",IF(LEN(INDEX('Inspections'!$R$4:$R$503,_calc!$E$311))=0,"",INDEX('Inspections'!$R$4:$R$503,_calc!$E$311)))))</f>
        <v/>
      </c>
      <c r="G309" s="55">
        <f>IF(_calc!$E$311="","",IF(LEN(INDEX('Inspections'!$Q$4:$Q$503,_calc!$E$311))=0,"",INDEX('Inspections'!$Q$4:$Q$503,_calc!$E$311)))</f>
        <v/>
      </c>
      <c r="K309" s="55">
        <f>IF(_calc!$E$311="","",IF(LEN(INDEX('Inspections'!$P$4:$P$503,_calc!$E$311))=0,"",INDEX('Inspections'!$P$4:$P$503,_calc!$E$311)))</f>
        <v/>
      </c>
    </row>
    <row r="310">
      <c r="A310" s="55">
        <f>IF(_calc!$E$312="","",IF(LEN(INDEX('Inspections'!$C$4:$C$503,_calc!$E$312))=0,"",INDEX('Inspections'!$C$4:$C$503,_calc!$E$312))&amp;" – "&amp;IF(LEN(INDEX('Inspections'!$A$4:$A$503,_calc!$E$312))=0,"",INDEX('Inspections'!$A$4:$A$503,_calc!$E$312)))</f>
        <v/>
      </c>
      <c r="B310" s="55">
        <f>IF(_calc!$E$312="","",IF(ISNUMBER(INDEX('Inspections'!$H$4:$H$503,_calc!$E$312)),TEXT(INDEX('Inspections'!$H$4:$H$503,_calc!$E$312),"yyyy-mm-dd"),""))</f>
        <v/>
      </c>
      <c r="C310" s="55">
        <f>IF(_calc!$E$312="","","Inspection")</f>
        <v/>
      </c>
      <c r="D310" s="55">
        <f>IF(_calc!$E$312="","",IF(ISNUMBER(INDEX('Inspections'!$G$4:$G$503,_calc!$E$312)),TEXT(INDEX('Inspections'!$G$4:$G$503,_calc!$E$312),"yyyy-mm-dd"),""))</f>
        <v/>
      </c>
      <c r="F310" s="55">
        <f>IF(_calc!$E$312="","",TRIM(IF(LEN(IF(LEN(INDEX('Inspections'!$B$4:$B$503,_calc!$E$312))=0,"",INDEX('Inspections'!$B$4:$B$503,_calc!$E$312)))=0,"","System: "&amp;IF(LEN(INDEX('Inspections'!$B$4:$B$503,_calc!$E$312))=0,"",INDEX('Inspections'!$B$4:$B$503,_calc!$E$312))&amp;". ")&amp;IF(LEN(IF(LEN(INDEX('Inspections'!$D$4:$D$503,_calc!$E$312))=0,"",INDEX('Inspections'!$D$4:$D$503,_calc!$E$312)))=0,"","Every: "&amp;IF(LEN(INDEX('Inspections'!$D$4:$D$503,_calc!$E$312))=0,"",INDEX('Inspections'!$D$4:$D$503,_calc!$E$312))&amp;". ")&amp;IF(LEN(IF(LEN(INDEX('Inspections'!$E$4:$E$503,_calc!$E$312))=0,"",INDEX('Inspections'!$E$4:$E$503,_calc!$E$312)))=0,"","Unit: "&amp;IF(LEN(INDEX('Inspections'!$E$4:$E$503,_calc!$E$312))=0,"",INDEX('Inspections'!$E$4:$E$503,_calc!$E$312))&amp;". ")&amp;IF(LEN(IF(LEN(INDEX('Inspections'!$F$4:$F$503,_calc!$E$312))=0,"",INDEX('Inspections'!$F$4:$F$503,_calc!$E$312)))=0,"","Done by: "&amp;IF(LEN(INDEX('Inspections'!$F$4:$F$503,_calc!$E$312))=0,"",INDEX('Inspections'!$F$4:$F$503,_calc!$E$312))&amp;". ")&amp;IF(LEN(IF(LEN(INDEX('Inspections'!$M$4:$M$503,_calc!$E$312))=0,"",INDEX('Inspections'!$M$4:$M$503,_calc!$E$312)))=0,"","Source: "&amp;IF(LEN(INDEX('Inspections'!$M$4:$M$503,_calc!$E$312))=0,"",INDEX('Inspections'!$M$4:$M$503,_calc!$E$312))&amp;". ")&amp;IF(LEN(IF(LEN(INDEX('Inspections'!$N$4:$N$503,_calc!$E$312))=0,"",INDEX('Inspections'!$N$4:$N$503,_calc!$E$312)))=0,"","Owner: "&amp;IF(LEN(INDEX('Inspections'!$N$4:$N$503,_calc!$E$312))=0,"",INDEX('Inspections'!$N$4:$N$503,_calc!$E$312))&amp;". ")&amp;IF(LEN(IF(LEN(INDEX('Inspections'!$O$4:$O$503,_calc!$E$312))=0,"",INDEX('Inspections'!$O$4:$O$503,_calc!$E$312)))=0,"","Backup: "&amp;IF(LEN(INDEX('Inspections'!$O$4:$O$503,_calc!$E$312))=0,"",INDEX('Inspections'!$O$4:$O$503,_calc!$E$312))&amp;". ")&amp;IF(LEN(IF(LEN(INDEX('Inspections'!$R$4:$R$503,_calc!$E$312))=0,"",INDEX('Inspections'!$R$4:$R$503,_calc!$E$312)))=0,"",IF(LEN(INDEX('Inspections'!$R$4:$R$503,_calc!$E$312))=0,"",INDEX('Inspections'!$R$4:$R$503,_calc!$E$312)))))</f>
        <v/>
      </c>
      <c r="G310" s="55">
        <f>IF(_calc!$E$312="","",IF(LEN(INDEX('Inspections'!$Q$4:$Q$503,_calc!$E$312))=0,"",INDEX('Inspections'!$Q$4:$Q$503,_calc!$E$312)))</f>
        <v/>
      </c>
      <c r="K310" s="55">
        <f>IF(_calc!$E$312="","",IF(LEN(INDEX('Inspections'!$P$4:$P$503,_calc!$E$312))=0,"",INDEX('Inspections'!$P$4:$P$503,_calc!$E$312)))</f>
        <v/>
      </c>
    </row>
    <row r="311">
      <c r="A311" s="55">
        <f>IF(_calc!$E$313="","",IF(LEN(INDEX('Inspections'!$C$4:$C$503,_calc!$E$313))=0,"",INDEX('Inspections'!$C$4:$C$503,_calc!$E$313))&amp;" – "&amp;IF(LEN(INDEX('Inspections'!$A$4:$A$503,_calc!$E$313))=0,"",INDEX('Inspections'!$A$4:$A$503,_calc!$E$313)))</f>
        <v/>
      </c>
      <c r="B311" s="55">
        <f>IF(_calc!$E$313="","",IF(ISNUMBER(INDEX('Inspections'!$H$4:$H$503,_calc!$E$313)),TEXT(INDEX('Inspections'!$H$4:$H$503,_calc!$E$313),"yyyy-mm-dd"),""))</f>
        <v/>
      </c>
      <c r="C311" s="55">
        <f>IF(_calc!$E$313="","","Inspection")</f>
        <v/>
      </c>
      <c r="D311" s="55">
        <f>IF(_calc!$E$313="","",IF(ISNUMBER(INDEX('Inspections'!$G$4:$G$503,_calc!$E$313)),TEXT(INDEX('Inspections'!$G$4:$G$503,_calc!$E$313),"yyyy-mm-dd"),""))</f>
        <v/>
      </c>
      <c r="F311" s="55">
        <f>IF(_calc!$E$313="","",TRIM(IF(LEN(IF(LEN(INDEX('Inspections'!$B$4:$B$503,_calc!$E$313))=0,"",INDEX('Inspections'!$B$4:$B$503,_calc!$E$313)))=0,"","System: "&amp;IF(LEN(INDEX('Inspections'!$B$4:$B$503,_calc!$E$313))=0,"",INDEX('Inspections'!$B$4:$B$503,_calc!$E$313))&amp;". ")&amp;IF(LEN(IF(LEN(INDEX('Inspections'!$D$4:$D$503,_calc!$E$313))=0,"",INDEX('Inspections'!$D$4:$D$503,_calc!$E$313)))=0,"","Every: "&amp;IF(LEN(INDEX('Inspections'!$D$4:$D$503,_calc!$E$313))=0,"",INDEX('Inspections'!$D$4:$D$503,_calc!$E$313))&amp;". ")&amp;IF(LEN(IF(LEN(INDEX('Inspections'!$E$4:$E$503,_calc!$E$313))=0,"",INDEX('Inspections'!$E$4:$E$503,_calc!$E$313)))=0,"","Unit: "&amp;IF(LEN(INDEX('Inspections'!$E$4:$E$503,_calc!$E$313))=0,"",INDEX('Inspections'!$E$4:$E$503,_calc!$E$313))&amp;". ")&amp;IF(LEN(IF(LEN(INDEX('Inspections'!$F$4:$F$503,_calc!$E$313))=0,"",INDEX('Inspections'!$F$4:$F$503,_calc!$E$313)))=0,"","Done by: "&amp;IF(LEN(INDEX('Inspections'!$F$4:$F$503,_calc!$E$313))=0,"",INDEX('Inspections'!$F$4:$F$503,_calc!$E$313))&amp;". ")&amp;IF(LEN(IF(LEN(INDEX('Inspections'!$M$4:$M$503,_calc!$E$313))=0,"",INDEX('Inspections'!$M$4:$M$503,_calc!$E$313)))=0,"","Source: "&amp;IF(LEN(INDEX('Inspections'!$M$4:$M$503,_calc!$E$313))=0,"",INDEX('Inspections'!$M$4:$M$503,_calc!$E$313))&amp;". ")&amp;IF(LEN(IF(LEN(INDEX('Inspections'!$N$4:$N$503,_calc!$E$313))=0,"",INDEX('Inspections'!$N$4:$N$503,_calc!$E$313)))=0,"","Owner: "&amp;IF(LEN(INDEX('Inspections'!$N$4:$N$503,_calc!$E$313))=0,"",INDEX('Inspections'!$N$4:$N$503,_calc!$E$313))&amp;". ")&amp;IF(LEN(IF(LEN(INDEX('Inspections'!$O$4:$O$503,_calc!$E$313))=0,"",INDEX('Inspections'!$O$4:$O$503,_calc!$E$313)))=0,"","Backup: "&amp;IF(LEN(INDEX('Inspections'!$O$4:$O$503,_calc!$E$313))=0,"",INDEX('Inspections'!$O$4:$O$503,_calc!$E$313))&amp;". ")&amp;IF(LEN(IF(LEN(INDEX('Inspections'!$R$4:$R$503,_calc!$E$313))=0,"",INDEX('Inspections'!$R$4:$R$503,_calc!$E$313)))=0,"",IF(LEN(INDEX('Inspections'!$R$4:$R$503,_calc!$E$313))=0,"",INDEX('Inspections'!$R$4:$R$503,_calc!$E$313)))))</f>
        <v/>
      </c>
      <c r="G311" s="55">
        <f>IF(_calc!$E$313="","",IF(LEN(INDEX('Inspections'!$Q$4:$Q$503,_calc!$E$313))=0,"",INDEX('Inspections'!$Q$4:$Q$503,_calc!$E$313)))</f>
        <v/>
      </c>
      <c r="K311" s="55">
        <f>IF(_calc!$E$313="","",IF(LEN(INDEX('Inspections'!$P$4:$P$503,_calc!$E$313))=0,"",INDEX('Inspections'!$P$4:$P$503,_calc!$E$313)))</f>
        <v/>
      </c>
    </row>
    <row r="312">
      <c r="A312" s="55">
        <f>IF(_calc!$E$314="","",IF(LEN(INDEX('Inspections'!$C$4:$C$503,_calc!$E$314))=0,"",INDEX('Inspections'!$C$4:$C$503,_calc!$E$314))&amp;" – "&amp;IF(LEN(INDEX('Inspections'!$A$4:$A$503,_calc!$E$314))=0,"",INDEX('Inspections'!$A$4:$A$503,_calc!$E$314)))</f>
        <v/>
      </c>
      <c r="B312" s="55">
        <f>IF(_calc!$E$314="","",IF(ISNUMBER(INDEX('Inspections'!$H$4:$H$503,_calc!$E$314)),TEXT(INDEX('Inspections'!$H$4:$H$503,_calc!$E$314),"yyyy-mm-dd"),""))</f>
        <v/>
      </c>
      <c r="C312" s="55">
        <f>IF(_calc!$E$314="","","Inspection")</f>
        <v/>
      </c>
      <c r="D312" s="55">
        <f>IF(_calc!$E$314="","",IF(ISNUMBER(INDEX('Inspections'!$G$4:$G$503,_calc!$E$314)),TEXT(INDEX('Inspections'!$G$4:$G$503,_calc!$E$314),"yyyy-mm-dd"),""))</f>
        <v/>
      </c>
      <c r="F312" s="55">
        <f>IF(_calc!$E$314="","",TRIM(IF(LEN(IF(LEN(INDEX('Inspections'!$B$4:$B$503,_calc!$E$314))=0,"",INDEX('Inspections'!$B$4:$B$503,_calc!$E$314)))=0,"","System: "&amp;IF(LEN(INDEX('Inspections'!$B$4:$B$503,_calc!$E$314))=0,"",INDEX('Inspections'!$B$4:$B$503,_calc!$E$314))&amp;". ")&amp;IF(LEN(IF(LEN(INDEX('Inspections'!$D$4:$D$503,_calc!$E$314))=0,"",INDEX('Inspections'!$D$4:$D$503,_calc!$E$314)))=0,"","Every: "&amp;IF(LEN(INDEX('Inspections'!$D$4:$D$503,_calc!$E$314))=0,"",INDEX('Inspections'!$D$4:$D$503,_calc!$E$314))&amp;". ")&amp;IF(LEN(IF(LEN(INDEX('Inspections'!$E$4:$E$503,_calc!$E$314))=0,"",INDEX('Inspections'!$E$4:$E$503,_calc!$E$314)))=0,"","Unit: "&amp;IF(LEN(INDEX('Inspections'!$E$4:$E$503,_calc!$E$314))=0,"",INDEX('Inspections'!$E$4:$E$503,_calc!$E$314))&amp;". ")&amp;IF(LEN(IF(LEN(INDEX('Inspections'!$F$4:$F$503,_calc!$E$314))=0,"",INDEX('Inspections'!$F$4:$F$503,_calc!$E$314)))=0,"","Done by: "&amp;IF(LEN(INDEX('Inspections'!$F$4:$F$503,_calc!$E$314))=0,"",INDEX('Inspections'!$F$4:$F$503,_calc!$E$314))&amp;". ")&amp;IF(LEN(IF(LEN(INDEX('Inspections'!$M$4:$M$503,_calc!$E$314))=0,"",INDEX('Inspections'!$M$4:$M$503,_calc!$E$314)))=0,"","Source: "&amp;IF(LEN(INDEX('Inspections'!$M$4:$M$503,_calc!$E$314))=0,"",INDEX('Inspections'!$M$4:$M$503,_calc!$E$314))&amp;". ")&amp;IF(LEN(IF(LEN(INDEX('Inspections'!$N$4:$N$503,_calc!$E$314))=0,"",INDEX('Inspections'!$N$4:$N$503,_calc!$E$314)))=0,"","Owner: "&amp;IF(LEN(INDEX('Inspections'!$N$4:$N$503,_calc!$E$314))=0,"",INDEX('Inspections'!$N$4:$N$503,_calc!$E$314))&amp;". ")&amp;IF(LEN(IF(LEN(INDEX('Inspections'!$O$4:$O$503,_calc!$E$314))=0,"",INDEX('Inspections'!$O$4:$O$503,_calc!$E$314)))=0,"","Backup: "&amp;IF(LEN(INDEX('Inspections'!$O$4:$O$503,_calc!$E$314))=0,"",INDEX('Inspections'!$O$4:$O$503,_calc!$E$314))&amp;". ")&amp;IF(LEN(IF(LEN(INDEX('Inspections'!$R$4:$R$503,_calc!$E$314))=0,"",INDEX('Inspections'!$R$4:$R$503,_calc!$E$314)))=0,"",IF(LEN(INDEX('Inspections'!$R$4:$R$503,_calc!$E$314))=0,"",INDEX('Inspections'!$R$4:$R$503,_calc!$E$314)))))</f>
        <v/>
      </c>
      <c r="G312" s="55">
        <f>IF(_calc!$E$314="","",IF(LEN(INDEX('Inspections'!$Q$4:$Q$503,_calc!$E$314))=0,"",INDEX('Inspections'!$Q$4:$Q$503,_calc!$E$314)))</f>
        <v/>
      </c>
      <c r="K312" s="55">
        <f>IF(_calc!$E$314="","",IF(LEN(INDEX('Inspections'!$P$4:$P$503,_calc!$E$314))=0,"",INDEX('Inspections'!$P$4:$P$503,_calc!$E$314)))</f>
        <v/>
      </c>
    </row>
    <row r="313">
      <c r="A313" s="55">
        <f>IF(_calc!$E$315="","",IF(LEN(INDEX('Inspections'!$C$4:$C$503,_calc!$E$315))=0,"",INDEX('Inspections'!$C$4:$C$503,_calc!$E$315))&amp;" – "&amp;IF(LEN(INDEX('Inspections'!$A$4:$A$503,_calc!$E$315))=0,"",INDEX('Inspections'!$A$4:$A$503,_calc!$E$315)))</f>
        <v/>
      </c>
      <c r="B313" s="55">
        <f>IF(_calc!$E$315="","",IF(ISNUMBER(INDEX('Inspections'!$H$4:$H$503,_calc!$E$315)),TEXT(INDEX('Inspections'!$H$4:$H$503,_calc!$E$315),"yyyy-mm-dd"),""))</f>
        <v/>
      </c>
      <c r="C313" s="55">
        <f>IF(_calc!$E$315="","","Inspection")</f>
        <v/>
      </c>
      <c r="D313" s="55">
        <f>IF(_calc!$E$315="","",IF(ISNUMBER(INDEX('Inspections'!$G$4:$G$503,_calc!$E$315)),TEXT(INDEX('Inspections'!$G$4:$G$503,_calc!$E$315),"yyyy-mm-dd"),""))</f>
        <v/>
      </c>
      <c r="F313" s="55">
        <f>IF(_calc!$E$315="","",TRIM(IF(LEN(IF(LEN(INDEX('Inspections'!$B$4:$B$503,_calc!$E$315))=0,"",INDEX('Inspections'!$B$4:$B$503,_calc!$E$315)))=0,"","System: "&amp;IF(LEN(INDEX('Inspections'!$B$4:$B$503,_calc!$E$315))=0,"",INDEX('Inspections'!$B$4:$B$503,_calc!$E$315))&amp;". ")&amp;IF(LEN(IF(LEN(INDEX('Inspections'!$D$4:$D$503,_calc!$E$315))=0,"",INDEX('Inspections'!$D$4:$D$503,_calc!$E$315)))=0,"","Every: "&amp;IF(LEN(INDEX('Inspections'!$D$4:$D$503,_calc!$E$315))=0,"",INDEX('Inspections'!$D$4:$D$503,_calc!$E$315))&amp;". ")&amp;IF(LEN(IF(LEN(INDEX('Inspections'!$E$4:$E$503,_calc!$E$315))=0,"",INDEX('Inspections'!$E$4:$E$503,_calc!$E$315)))=0,"","Unit: "&amp;IF(LEN(INDEX('Inspections'!$E$4:$E$503,_calc!$E$315))=0,"",INDEX('Inspections'!$E$4:$E$503,_calc!$E$315))&amp;". ")&amp;IF(LEN(IF(LEN(INDEX('Inspections'!$F$4:$F$503,_calc!$E$315))=0,"",INDEX('Inspections'!$F$4:$F$503,_calc!$E$315)))=0,"","Done by: "&amp;IF(LEN(INDEX('Inspections'!$F$4:$F$503,_calc!$E$315))=0,"",INDEX('Inspections'!$F$4:$F$503,_calc!$E$315))&amp;". ")&amp;IF(LEN(IF(LEN(INDEX('Inspections'!$M$4:$M$503,_calc!$E$315))=0,"",INDEX('Inspections'!$M$4:$M$503,_calc!$E$315)))=0,"","Source: "&amp;IF(LEN(INDEX('Inspections'!$M$4:$M$503,_calc!$E$315))=0,"",INDEX('Inspections'!$M$4:$M$503,_calc!$E$315))&amp;". ")&amp;IF(LEN(IF(LEN(INDEX('Inspections'!$N$4:$N$503,_calc!$E$315))=0,"",INDEX('Inspections'!$N$4:$N$503,_calc!$E$315)))=0,"","Owner: "&amp;IF(LEN(INDEX('Inspections'!$N$4:$N$503,_calc!$E$315))=0,"",INDEX('Inspections'!$N$4:$N$503,_calc!$E$315))&amp;". ")&amp;IF(LEN(IF(LEN(INDEX('Inspections'!$O$4:$O$503,_calc!$E$315))=0,"",INDEX('Inspections'!$O$4:$O$503,_calc!$E$315)))=0,"","Backup: "&amp;IF(LEN(INDEX('Inspections'!$O$4:$O$503,_calc!$E$315))=0,"",INDEX('Inspections'!$O$4:$O$503,_calc!$E$315))&amp;". ")&amp;IF(LEN(IF(LEN(INDEX('Inspections'!$R$4:$R$503,_calc!$E$315))=0,"",INDEX('Inspections'!$R$4:$R$503,_calc!$E$315)))=0,"",IF(LEN(INDEX('Inspections'!$R$4:$R$503,_calc!$E$315))=0,"",INDEX('Inspections'!$R$4:$R$503,_calc!$E$315)))))</f>
        <v/>
      </c>
      <c r="G313" s="55">
        <f>IF(_calc!$E$315="","",IF(LEN(INDEX('Inspections'!$Q$4:$Q$503,_calc!$E$315))=0,"",INDEX('Inspections'!$Q$4:$Q$503,_calc!$E$315)))</f>
        <v/>
      </c>
      <c r="K313" s="55">
        <f>IF(_calc!$E$315="","",IF(LEN(INDEX('Inspections'!$P$4:$P$503,_calc!$E$315))=0,"",INDEX('Inspections'!$P$4:$P$503,_calc!$E$315)))</f>
        <v/>
      </c>
    </row>
    <row r="314">
      <c r="A314" s="55">
        <f>IF(_calc!$E$316="","",IF(LEN(INDEX('Inspections'!$C$4:$C$503,_calc!$E$316))=0,"",INDEX('Inspections'!$C$4:$C$503,_calc!$E$316))&amp;" – "&amp;IF(LEN(INDEX('Inspections'!$A$4:$A$503,_calc!$E$316))=0,"",INDEX('Inspections'!$A$4:$A$503,_calc!$E$316)))</f>
        <v/>
      </c>
      <c r="B314" s="55">
        <f>IF(_calc!$E$316="","",IF(ISNUMBER(INDEX('Inspections'!$H$4:$H$503,_calc!$E$316)),TEXT(INDEX('Inspections'!$H$4:$H$503,_calc!$E$316),"yyyy-mm-dd"),""))</f>
        <v/>
      </c>
      <c r="C314" s="55">
        <f>IF(_calc!$E$316="","","Inspection")</f>
        <v/>
      </c>
      <c r="D314" s="55">
        <f>IF(_calc!$E$316="","",IF(ISNUMBER(INDEX('Inspections'!$G$4:$G$503,_calc!$E$316)),TEXT(INDEX('Inspections'!$G$4:$G$503,_calc!$E$316),"yyyy-mm-dd"),""))</f>
        <v/>
      </c>
      <c r="F314" s="55">
        <f>IF(_calc!$E$316="","",TRIM(IF(LEN(IF(LEN(INDEX('Inspections'!$B$4:$B$503,_calc!$E$316))=0,"",INDEX('Inspections'!$B$4:$B$503,_calc!$E$316)))=0,"","System: "&amp;IF(LEN(INDEX('Inspections'!$B$4:$B$503,_calc!$E$316))=0,"",INDEX('Inspections'!$B$4:$B$503,_calc!$E$316))&amp;". ")&amp;IF(LEN(IF(LEN(INDEX('Inspections'!$D$4:$D$503,_calc!$E$316))=0,"",INDEX('Inspections'!$D$4:$D$503,_calc!$E$316)))=0,"","Every: "&amp;IF(LEN(INDEX('Inspections'!$D$4:$D$503,_calc!$E$316))=0,"",INDEX('Inspections'!$D$4:$D$503,_calc!$E$316))&amp;". ")&amp;IF(LEN(IF(LEN(INDEX('Inspections'!$E$4:$E$503,_calc!$E$316))=0,"",INDEX('Inspections'!$E$4:$E$503,_calc!$E$316)))=0,"","Unit: "&amp;IF(LEN(INDEX('Inspections'!$E$4:$E$503,_calc!$E$316))=0,"",INDEX('Inspections'!$E$4:$E$503,_calc!$E$316))&amp;". ")&amp;IF(LEN(IF(LEN(INDEX('Inspections'!$F$4:$F$503,_calc!$E$316))=0,"",INDEX('Inspections'!$F$4:$F$503,_calc!$E$316)))=0,"","Done by: "&amp;IF(LEN(INDEX('Inspections'!$F$4:$F$503,_calc!$E$316))=0,"",INDEX('Inspections'!$F$4:$F$503,_calc!$E$316))&amp;". ")&amp;IF(LEN(IF(LEN(INDEX('Inspections'!$M$4:$M$503,_calc!$E$316))=0,"",INDEX('Inspections'!$M$4:$M$503,_calc!$E$316)))=0,"","Source: "&amp;IF(LEN(INDEX('Inspections'!$M$4:$M$503,_calc!$E$316))=0,"",INDEX('Inspections'!$M$4:$M$503,_calc!$E$316))&amp;". ")&amp;IF(LEN(IF(LEN(INDEX('Inspections'!$N$4:$N$503,_calc!$E$316))=0,"",INDEX('Inspections'!$N$4:$N$503,_calc!$E$316)))=0,"","Owner: "&amp;IF(LEN(INDEX('Inspections'!$N$4:$N$503,_calc!$E$316))=0,"",INDEX('Inspections'!$N$4:$N$503,_calc!$E$316))&amp;". ")&amp;IF(LEN(IF(LEN(INDEX('Inspections'!$O$4:$O$503,_calc!$E$316))=0,"",INDEX('Inspections'!$O$4:$O$503,_calc!$E$316)))=0,"","Backup: "&amp;IF(LEN(INDEX('Inspections'!$O$4:$O$503,_calc!$E$316))=0,"",INDEX('Inspections'!$O$4:$O$503,_calc!$E$316))&amp;". ")&amp;IF(LEN(IF(LEN(INDEX('Inspections'!$R$4:$R$503,_calc!$E$316))=0,"",INDEX('Inspections'!$R$4:$R$503,_calc!$E$316)))=0,"",IF(LEN(INDEX('Inspections'!$R$4:$R$503,_calc!$E$316))=0,"",INDEX('Inspections'!$R$4:$R$503,_calc!$E$316)))))</f>
        <v/>
      </c>
      <c r="G314" s="55">
        <f>IF(_calc!$E$316="","",IF(LEN(INDEX('Inspections'!$Q$4:$Q$503,_calc!$E$316))=0,"",INDEX('Inspections'!$Q$4:$Q$503,_calc!$E$316)))</f>
        <v/>
      </c>
      <c r="K314" s="55">
        <f>IF(_calc!$E$316="","",IF(LEN(INDEX('Inspections'!$P$4:$P$503,_calc!$E$316))=0,"",INDEX('Inspections'!$P$4:$P$503,_calc!$E$316)))</f>
        <v/>
      </c>
    </row>
    <row r="315">
      <c r="A315" s="55">
        <f>IF(_calc!$E$317="","",IF(LEN(INDEX('Inspections'!$C$4:$C$503,_calc!$E$317))=0,"",INDEX('Inspections'!$C$4:$C$503,_calc!$E$317))&amp;" – "&amp;IF(LEN(INDEX('Inspections'!$A$4:$A$503,_calc!$E$317))=0,"",INDEX('Inspections'!$A$4:$A$503,_calc!$E$317)))</f>
        <v/>
      </c>
      <c r="B315" s="55">
        <f>IF(_calc!$E$317="","",IF(ISNUMBER(INDEX('Inspections'!$H$4:$H$503,_calc!$E$317)),TEXT(INDEX('Inspections'!$H$4:$H$503,_calc!$E$317),"yyyy-mm-dd"),""))</f>
        <v/>
      </c>
      <c r="C315" s="55">
        <f>IF(_calc!$E$317="","","Inspection")</f>
        <v/>
      </c>
      <c r="D315" s="55">
        <f>IF(_calc!$E$317="","",IF(ISNUMBER(INDEX('Inspections'!$G$4:$G$503,_calc!$E$317)),TEXT(INDEX('Inspections'!$G$4:$G$503,_calc!$E$317),"yyyy-mm-dd"),""))</f>
        <v/>
      </c>
      <c r="F315" s="55">
        <f>IF(_calc!$E$317="","",TRIM(IF(LEN(IF(LEN(INDEX('Inspections'!$B$4:$B$503,_calc!$E$317))=0,"",INDEX('Inspections'!$B$4:$B$503,_calc!$E$317)))=0,"","System: "&amp;IF(LEN(INDEX('Inspections'!$B$4:$B$503,_calc!$E$317))=0,"",INDEX('Inspections'!$B$4:$B$503,_calc!$E$317))&amp;". ")&amp;IF(LEN(IF(LEN(INDEX('Inspections'!$D$4:$D$503,_calc!$E$317))=0,"",INDEX('Inspections'!$D$4:$D$503,_calc!$E$317)))=0,"","Every: "&amp;IF(LEN(INDEX('Inspections'!$D$4:$D$503,_calc!$E$317))=0,"",INDEX('Inspections'!$D$4:$D$503,_calc!$E$317))&amp;". ")&amp;IF(LEN(IF(LEN(INDEX('Inspections'!$E$4:$E$503,_calc!$E$317))=0,"",INDEX('Inspections'!$E$4:$E$503,_calc!$E$317)))=0,"","Unit: "&amp;IF(LEN(INDEX('Inspections'!$E$4:$E$503,_calc!$E$317))=0,"",INDEX('Inspections'!$E$4:$E$503,_calc!$E$317))&amp;". ")&amp;IF(LEN(IF(LEN(INDEX('Inspections'!$F$4:$F$503,_calc!$E$317))=0,"",INDEX('Inspections'!$F$4:$F$503,_calc!$E$317)))=0,"","Done by: "&amp;IF(LEN(INDEX('Inspections'!$F$4:$F$503,_calc!$E$317))=0,"",INDEX('Inspections'!$F$4:$F$503,_calc!$E$317))&amp;". ")&amp;IF(LEN(IF(LEN(INDEX('Inspections'!$M$4:$M$503,_calc!$E$317))=0,"",INDEX('Inspections'!$M$4:$M$503,_calc!$E$317)))=0,"","Source: "&amp;IF(LEN(INDEX('Inspections'!$M$4:$M$503,_calc!$E$317))=0,"",INDEX('Inspections'!$M$4:$M$503,_calc!$E$317))&amp;". ")&amp;IF(LEN(IF(LEN(INDEX('Inspections'!$N$4:$N$503,_calc!$E$317))=0,"",INDEX('Inspections'!$N$4:$N$503,_calc!$E$317)))=0,"","Owner: "&amp;IF(LEN(INDEX('Inspections'!$N$4:$N$503,_calc!$E$317))=0,"",INDEX('Inspections'!$N$4:$N$503,_calc!$E$317))&amp;". ")&amp;IF(LEN(IF(LEN(INDEX('Inspections'!$O$4:$O$503,_calc!$E$317))=0,"",INDEX('Inspections'!$O$4:$O$503,_calc!$E$317)))=0,"","Backup: "&amp;IF(LEN(INDEX('Inspections'!$O$4:$O$503,_calc!$E$317))=0,"",INDEX('Inspections'!$O$4:$O$503,_calc!$E$317))&amp;". ")&amp;IF(LEN(IF(LEN(INDEX('Inspections'!$R$4:$R$503,_calc!$E$317))=0,"",INDEX('Inspections'!$R$4:$R$503,_calc!$E$317)))=0,"",IF(LEN(INDEX('Inspections'!$R$4:$R$503,_calc!$E$317))=0,"",INDEX('Inspections'!$R$4:$R$503,_calc!$E$317)))))</f>
        <v/>
      </c>
      <c r="G315" s="55">
        <f>IF(_calc!$E$317="","",IF(LEN(INDEX('Inspections'!$Q$4:$Q$503,_calc!$E$317))=0,"",INDEX('Inspections'!$Q$4:$Q$503,_calc!$E$317)))</f>
        <v/>
      </c>
      <c r="K315" s="55">
        <f>IF(_calc!$E$317="","",IF(LEN(INDEX('Inspections'!$P$4:$P$503,_calc!$E$317))=0,"",INDEX('Inspections'!$P$4:$P$503,_calc!$E$317)))</f>
        <v/>
      </c>
    </row>
    <row r="316">
      <c r="A316" s="55">
        <f>IF(_calc!$E$318="","",IF(LEN(INDEX('Inspections'!$C$4:$C$503,_calc!$E$318))=0,"",INDEX('Inspections'!$C$4:$C$503,_calc!$E$318))&amp;" – "&amp;IF(LEN(INDEX('Inspections'!$A$4:$A$503,_calc!$E$318))=0,"",INDEX('Inspections'!$A$4:$A$503,_calc!$E$318)))</f>
        <v/>
      </c>
      <c r="B316" s="55">
        <f>IF(_calc!$E$318="","",IF(ISNUMBER(INDEX('Inspections'!$H$4:$H$503,_calc!$E$318)),TEXT(INDEX('Inspections'!$H$4:$H$503,_calc!$E$318),"yyyy-mm-dd"),""))</f>
        <v/>
      </c>
      <c r="C316" s="55">
        <f>IF(_calc!$E$318="","","Inspection")</f>
        <v/>
      </c>
      <c r="D316" s="55">
        <f>IF(_calc!$E$318="","",IF(ISNUMBER(INDEX('Inspections'!$G$4:$G$503,_calc!$E$318)),TEXT(INDEX('Inspections'!$G$4:$G$503,_calc!$E$318),"yyyy-mm-dd"),""))</f>
        <v/>
      </c>
      <c r="F316" s="55">
        <f>IF(_calc!$E$318="","",TRIM(IF(LEN(IF(LEN(INDEX('Inspections'!$B$4:$B$503,_calc!$E$318))=0,"",INDEX('Inspections'!$B$4:$B$503,_calc!$E$318)))=0,"","System: "&amp;IF(LEN(INDEX('Inspections'!$B$4:$B$503,_calc!$E$318))=0,"",INDEX('Inspections'!$B$4:$B$503,_calc!$E$318))&amp;". ")&amp;IF(LEN(IF(LEN(INDEX('Inspections'!$D$4:$D$503,_calc!$E$318))=0,"",INDEX('Inspections'!$D$4:$D$503,_calc!$E$318)))=0,"","Every: "&amp;IF(LEN(INDEX('Inspections'!$D$4:$D$503,_calc!$E$318))=0,"",INDEX('Inspections'!$D$4:$D$503,_calc!$E$318))&amp;". ")&amp;IF(LEN(IF(LEN(INDEX('Inspections'!$E$4:$E$503,_calc!$E$318))=0,"",INDEX('Inspections'!$E$4:$E$503,_calc!$E$318)))=0,"","Unit: "&amp;IF(LEN(INDEX('Inspections'!$E$4:$E$503,_calc!$E$318))=0,"",INDEX('Inspections'!$E$4:$E$503,_calc!$E$318))&amp;". ")&amp;IF(LEN(IF(LEN(INDEX('Inspections'!$F$4:$F$503,_calc!$E$318))=0,"",INDEX('Inspections'!$F$4:$F$503,_calc!$E$318)))=0,"","Done by: "&amp;IF(LEN(INDEX('Inspections'!$F$4:$F$503,_calc!$E$318))=0,"",INDEX('Inspections'!$F$4:$F$503,_calc!$E$318))&amp;". ")&amp;IF(LEN(IF(LEN(INDEX('Inspections'!$M$4:$M$503,_calc!$E$318))=0,"",INDEX('Inspections'!$M$4:$M$503,_calc!$E$318)))=0,"","Source: "&amp;IF(LEN(INDEX('Inspections'!$M$4:$M$503,_calc!$E$318))=0,"",INDEX('Inspections'!$M$4:$M$503,_calc!$E$318))&amp;". ")&amp;IF(LEN(IF(LEN(INDEX('Inspections'!$N$4:$N$503,_calc!$E$318))=0,"",INDEX('Inspections'!$N$4:$N$503,_calc!$E$318)))=0,"","Owner: "&amp;IF(LEN(INDEX('Inspections'!$N$4:$N$503,_calc!$E$318))=0,"",INDEX('Inspections'!$N$4:$N$503,_calc!$E$318))&amp;". ")&amp;IF(LEN(IF(LEN(INDEX('Inspections'!$O$4:$O$503,_calc!$E$318))=0,"",INDEX('Inspections'!$O$4:$O$503,_calc!$E$318)))=0,"","Backup: "&amp;IF(LEN(INDEX('Inspections'!$O$4:$O$503,_calc!$E$318))=0,"",INDEX('Inspections'!$O$4:$O$503,_calc!$E$318))&amp;". ")&amp;IF(LEN(IF(LEN(INDEX('Inspections'!$R$4:$R$503,_calc!$E$318))=0,"",INDEX('Inspections'!$R$4:$R$503,_calc!$E$318)))=0,"",IF(LEN(INDEX('Inspections'!$R$4:$R$503,_calc!$E$318))=0,"",INDEX('Inspections'!$R$4:$R$503,_calc!$E$318)))))</f>
        <v/>
      </c>
      <c r="G316" s="55">
        <f>IF(_calc!$E$318="","",IF(LEN(INDEX('Inspections'!$Q$4:$Q$503,_calc!$E$318))=0,"",INDEX('Inspections'!$Q$4:$Q$503,_calc!$E$318)))</f>
        <v/>
      </c>
      <c r="K316" s="55">
        <f>IF(_calc!$E$318="","",IF(LEN(INDEX('Inspections'!$P$4:$P$503,_calc!$E$318))=0,"",INDEX('Inspections'!$P$4:$P$503,_calc!$E$318)))</f>
        <v/>
      </c>
    </row>
    <row r="317">
      <c r="A317" s="55">
        <f>IF(_calc!$E$319="","",IF(LEN(INDEX('Inspections'!$C$4:$C$503,_calc!$E$319))=0,"",INDEX('Inspections'!$C$4:$C$503,_calc!$E$319))&amp;" – "&amp;IF(LEN(INDEX('Inspections'!$A$4:$A$503,_calc!$E$319))=0,"",INDEX('Inspections'!$A$4:$A$503,_calc!$E$319)))</f>
        <v/>
      </c>
      <c r="B317" s="55">
        <f>IF(_calc!$E$319="","",IF(ISNUMBER(INDEX('Inspections'!$H$4:$H$503,_calc!$E$319)),TEXT(INDEX('Inspections'!$H$4:$H$503,_calc!$E$319),"yyyy-mm-dd"),""))</f>
        <v/>
      </c>
      <c r="C317" s="55">
        <f>IF(_calc!$E$319="","","Inspection")</f>
        <v/>
      </c>
      <c r="D317" s="55">
        <f>IF(_calc!$E$319="","",IF(ISNUMBER(INDEX('Inspections'!$G$4:$G$503,_calc!$E$319)),TEXT(INDEX('Inspections'!$G$4:$G$503,_calc!$E$319),"yyyy-mm-dd"),""))</f>
        <v/>
      </c>
      <c r="F317" s="55">
        <f>IF(_calc!$E$319="","",TRIM(IF(LEN(IF(LEN(INDEX('Inspections'!$B$4:$B$503,_calc!$E$319))=0,"",INDEX('Inspections'!$B$4:$B$503,_calc!$E$319)))=0,"","System: "&amp;IF(LEN(INDEX('Inspections'!$B$4:$B$503,_calc!$E$319))=0,"",INDEX('Inspections'!$B$4:$B$503,_calc!$E$319))&amp;". ")&amp;IF(LEN(IF(LEN(INDEX('Inspections'!$D$4:$D$503,_calc!$E$319))=0,"",INDEX('Inspections'!$D$4:$D$503,_calc!$E$319)))=0,"","Every: "&amp;IF(LEN(INDEX('Inspections'!$D$4:$D$503,_calc!$E$319))=0,"",INDEX('Inspections'!$D$4:$D$503,_calc!$E$319))&amp;". ")&amp;IF(LEN(IF(LEN(INDEX('Inspections'!$E$4:$E$503,_calc!$E$319))=0,"",INDEX('Inspections'!$E$4:$E$503,_calc!$E$319)))=0,"","Unit: "&amp;IF(LEN(INDEX('Inspections'!$E$4:$E$503,_calc!$E$319))=0,"",INDEX('Inspections'!$E$4:$E$503,_calc!$E$319))&amp;". ")&amp;IF(LEN(IF(LEN(INDEX('Inspections'!$F$4:$F$503,_calc!$E$319))=0,"",INDEX('Inspections'!$F$4:$F$503,_calc!$E$319)))=0,"","Done by: "&amp;IF(LEN(INDEX('Inspections'!$F$4:$F$503,_calc!$E$319))=0,"",INDEX('Inspections'!$F$4:$F$503,_calc!$E$319))&amp;". ")&amp;IF(LEN(IF(LEN(INDEX('Inspections'!$M$4:$M$503,_calc!$E$319))=0,"",INDEX('Inspections'!$M$4:$M$503,_calc!$E$319)))=0,"","Source: "&amp;IF(LEN(INDEX('Inspections'!$M$4:$M$503,_calc!$E$319))=0,"",INDEX('Inspections'!$M$4:$M$503,_calc!$E$319))&amp;". ")&amp;IF(LEN(IF(LEN(INDEX('Inspections'!$N$4:$N$503,_calc!$E$319))=0,"",INDEX('Inspections'!$N$4:$N$503,_calc!$E$319)))=0,"","Owner: "&amp;IF(LEN(INDEX('Inspections'!$N$4:$N$503,_calc!$E$319))=0,"",INDEX('Inspections'!$N$4:$N$503,_calc!$E$319))&amp;". ")&amp;IF(LEN(IF(LEN(INDEX('Inspections'!$O$4:$O$503,_calc!$E$319))=0,"",INDEX('Inspections'!$O$4:$O$503,_calc!$E$319)))=0,"","Backup: "&amp;IF(LEN(INDEX('Inspections'!$O$4:$O$503,_calc!$E$319))=0,"",INDEX('Inspections'!$O$4:$O$503,_calc!$E$319))&amp;". ")&amp;IF(LEN(IF(LEN(INDEX('Inspections'!$R$4:$R$503,_calc!$E$319))=0,"",INDEX('Inspections'!$R$4:$R$503,_calc!$E$319)))=0,"",IF(LEN(INDEX('Inspections'!$R$4:$R$503,_calc!$E$319))=0,"",INDEX('Inspections'!$R$4:$R$503,_calc!$E$319)))))</f>
        <v/>
      </c>
      <c r="G317" s="55">
        <f>IF(_calc!$E$319="","",IF(LEN(INDEX('Inspections'!$Q$4:$Q$503,_calc!$E$319))=0,"",INDEX('Inspections'!$Q$4:$Q$503,_calc!$E$319)))</f>
        <v/>
      </c>
      <c r="K317" s="55">
        <f>IF(_calc!$E$319="","",IF(LEN(INDEX('Inspections'!$P$4:$P$503,_calc!$E$319))=0,"",INDEX('Inspections'!$P$4:$P$503,_calc!$E$319)))</f>
        <v/>
      </c>
    </row>
    <row r="318">
      <c r="A318" s="55">
        <f>IF(_calc!$E$320="","",IF(LEN(INDEX('Inspections'!$C$4:$C$503,_calc!$E$320))=0,"",INDEX('Inspections'!$C$4:$C$503,_calc!$E$320))&amp;" – "&amp;IF(LEN(INDEX('Inspections'!$A$4:$A$503,_calc!$E$320))=0,"",INDEX('Inspections'!$A$4:$A$503,_calc!$E$320)))</f>
        <v/>
      </c>
      <c r="B318" s="55">
        <f>IF(_calc!$E$320="","",IF(ISNUMBER(INDEX('Inspections'!$H$4:$H$503,_calc!$E$320)),TEXT(INDEX('Inspections'!$H$4:$H$503,_calc!$E$320),"yyyy-mm-dd"),""))</f>
        <v/>
      </c>
      <c r="C318" s="55">
        <f>IF(_calc!$E$320="","","Inspection")</f>
        <v/>
      </c>
      <c r="D318" s="55">
        <f>IF(_calc!$E$320="","",IF(ISNUMBER(INDEX('Inspections'!$G$4:$G$503,_calc!$E$320)),TEXT(INDEX('Inspections'!$G$4:$G$503,_calc!$E$320),"yyyy-mm-dd"),""))</f>
        <v/>
      </c>
      <c r="F318" s="55">
        <f>IF(_calc!$E$320="","",TRIM(IF(LEN(IF(LEN(INDEX('Inspections'!$B$4:$B$503,_calc!$E$320))=0,"",INDEX('Inspections'!$B$4:$B$503,_calc!$E$320)))=0,"","System: "&amp;IF(LEN(INDEX('Inspections'!$B$4:$B$503,_calc!$E$320))=0,"",INDEX('Inspections'!$B$4:$B$503,_calc!$E$320))&amp;". ")&amp;IF(LEN(IF(LEN(INDEX('Inspections'!$D$4:$D$503,_calc!$E$320))=0,"",INDEX('Inspections'!$D$4:$D$503,_calc!$E$320)))=0,"","Every: "&amp;IF(LEN(INDEX('Inspections'!$D$4:$D$503,_calc!$E$320))=0,"",INDEX('Inspections'!$D$4:$D$503,_calc!$E$320))&amp;". ")&amp;IF(LEN(IF(LEN(INDEX('Inspections'!$E$4:$E$503,_calc!$E$320))=0,"",INDEX('Inspections'!$E$4:$E$503,_calc!$E$320)))=0,"","Unit: "&amp;IF(LEN(INDEX('Inspections'!$E$4:$E$503,_calc!$E$320))=0,"",INDEX('Inspections'!$E$4:$E$503,_calc!$E$320))&amp;". ")&amp;IF(LEN(IF(LEN(INDEX('Inspections'!$F$4:$F$503,_calc!$E$320))=0,"",INDEX('Inspections'!$F$4:$F$503,_calc!$E$320)))=0,"","Done by: "&amp;IF(LEN(INDEX('Inspections'!$F$4:$F$503,_calc!$E$320))=0,"",INDEX('Inspections'!$F$4:$F$503,_calc!$E$320))&amp;". ")&amp;IF(LEN(IF(LEN(INDEX('Inspections'!$M$4:$M$503,_calc!$E$320))=0,"",INDEX('Inspections'!$M$4:$M$503,_calc!$E$320)))=0,"","Source: "&amp;IF(LEN(INDEX('Inspections'!$M$4:$M$503,_calc!$E$320))=0,"",INDEX('Inspections'!$M$4:$M$503,_calc!$E$320))&amp;". ")&amp;IF(LEN(IF(LEN(INDEX('Inspections'!$N$4:$N$503,_calc!$E$320))=0,"",INDEX('Inspections'!$N$4:$N$503,_calc!$E$320)))=0,"","Owner: "&amp;IF(LEN(INDEX('Inspections'!$N$4:$N$503,_calc!$E$320))=0,"",INDEX('Inspections'!$N$4:$N$503,_calc!$E$320))&amp;". ")&amp;IF(LEN(IF(LEN(INDEX('Inspections'!$O$4:$O$503,_calc!$E$320))=0,"",INDEX('Inspections'!$O$4:$O$503,_calc!$E$320)))=0,"","Backup: "&amp;IF(LEN(INDEX('Inspections'!$O$4:$O$503,_calc!$E$320))=0,"",INDEX('Inspections'!$O$4:$O$503,_calc!$E$320))&amp;". ")&amp;IF(LEN(IF(LEN(INDEX('Inspections'!$R$4:$R$503,_calc!$E$320))=0,"",INDEX('Inspections'!$R$4:$R$503,_calc!$E$320)))=0,"",IF(LEN(INDEX('Inspections'!$R$4:$R$503,_calc!$E$320))=0,"",INDEX('Inspections'!$R$4:$R$503,_calc!$E$320)))))</f>
        <v/>
      </c>
      <c r="G318" s="55">
        <f>IF(_calc!$E$320="","",IF(LEN(INDEX('Inspections'!$Q$4:$Q$503,_calc!$E$320))=0,"",INDEX('Inspections'!$Q$4:$Q$503,_calc!$E$320)))</f>
        <v/>
      </c>
      <c r="K318" s="55">
        <f>IF(_calc!$E$320="","",IF(LEN(INDEX('Inspections'!$P$4:$P$503,_calc!$E$320))=0,"",INDEX('Inspections'!$P$4:$P$503,_calc!$E$320)))</f>
        <v/>
      </c>
    </row>
    <row r="319">
      <c r="A319" s="55">
        <f>IF(_calc!$E$321="","",IF(LEN(INDEX('Inspections'!$C$4:$C$503,_calc!$E$321))=0,"",INDEX('Inspections'!$C$4:$C$503,_calc!$E$321))&amp;" – "&amp;IF(LEN(INDEX('Inspections'!$A$4:$A$503,_calc!$E$321))=0,"",INDEX('Inspections'!$A$4:$A$503,_calc!$E$321)))</f>
        <v/>
      </c>
      <c r="B319" s="55">
        <f>IF(_calc!$E$321="","",IF(ISNUMBER(INDEX('Inspections'!$H$4:$H$503,_calc!$E$321)),TEXT(INDEX('Inspections'!$H$4:$H$503,_calc!$E$321),"yyyy-mm-dd"),""))</f>
        <v/>
      </c>
      <c r="C319" s="55">
        <f>IF(_calc!$E$321="","","Inspection")</f>
        <v/>
      </c>
      <c r="D319" s="55">
        <f>IF(_calc!$E$321="","",IF(ISNUMBER(INDEX('Inspections'!$G$4:$G$503,_calc!$E$321)),TEXT(INDEX('Inspections'!$G$4:$G$503,_calc!$E$321),"yyyy-mm-dd"),""))</f>
        <v/>
      </c>
      <c r="F319" s="55">
        <f>IF(_calc!$E$321="","",TRIM(IF(LEN(IF(LEN(INDEX('Inspections'!$B$4:$B$503,_calc!$E$321))=0,"",INDEX('Inspections'!$B$4:$B$503,_calc!$E$321)))=0,"","System: "&amp;IF(LEN(INDEX('Inspections'!$B$4:$B$503,_calc!$E$321))=0,"",INDEX('Inspections'!$B$4:$B$503,_calc!$E$321))&amp;". ")&amp;IF(LEN(IF(LEN(INDEX('Inspections'!$D$4:$D$503,_calc!$E$321))=0,"",INDEX('Inspections'!$D$4:$D$503,_calc!$E$321)))=0,"","Every: "&amp;IF(LEN(INDEX('Inspections'!$D$4:$D$503,_calc!$E$321))=0,"",INDEX('Inspections'!$D$4:$D$503,_calc!$E$321))&amp;". ")&amp;IF(LEN(IF(LEN(INDEX('Inspections'!$E$4:$E$503,_calc!$E$321))=0,"",INDEX('Inspections'!$E$4:$E$503,_calc!$E$321)))=0,"","Unit: "&amp;IF(LEN(INDEX('Inspections'!$E$4:$E$503,_calc!$E$321))=0,"",INDEX('Inspections'!$E$4:$E$503,_calc!$E$321))&amp;". ")&amp;IF(LEN(IF(LEN(INDEX('Inspections'!$F$4:$F$503,_calc!$E$321))=0,"",INDEX('Inspections'!$F$4:$F$503,_calc!$E$321)))=0,"","Done by: "&amp;IF(LEN(INDEX('Inspections'!$F$4:$F$503,_calc!$E$321))=0,"",INDEX('Inspections'!$F$4:$F$503,_calc!$E$321))&amp;". ")&amp;IF(LEN(IF(LEN(INDEX('Inspections'!$M$4:$M$503,_calc!$E$321))=0,"",INDEX('Inspections'!$M$4:$M$503,_calc!$E$321)))=0,"","Source: "&amp;IF(LEN(INDEX('Inspections'!$M$4:$M$503,_calc!$E$321))=0,"",INDEX('Inspections'!$M$4:$M$503,_calc!$E$321))&amp;". ")&amp;IF(LEN(IF(LEN(INDEX('Inspections'!$N$4:$N$503,_calc!$E$321))=0,"",INDEX('Inspections'!$N$4:$N$503,_calc!$E$321)))=0,"","Owner: "&amp;IF(LEN(INDEX('Inspections'!$N$4:$N$503,_calc!$E$321))=0,"",INDEX('Inspections'!$N$4:$N$503,_calc!$E$321))&amp;". ")&amp;IF(LEN(IF(LEN(INDEX('Inspections'!$O$4:$O$503,_calc!$E$321))=0,"",INDEX('Inspections'!$O$4:$O$503,_calc!$E$321)))=0,"","Backup: "&amp;IF(LEN(INDEX('Inspections'!$O$4:$O$503,_calc!$E$321))=0,"",INDEX('Inspections'!$O$4:$O$503,_calc!$E$321))&amp;". ")&amp;IF(LEN(IF(LEN(INDEX('Inspections'!$R$4:$R$503,_calc!$E$321))=0,"",INDEX('Inspections'!$R$4:$R$503,_calc!$E$321)))=0,"",IF(LEN(INDEX('Inspections'!$R$4:$R$503,_calc!$E$321))=0,"",INDEX('Inspections'!$R$4:$R$503,_calc!$E$321)))))</f>
        <v/>
      </c>
      <c r="G319" s="55">
        <f>IF(_calc!$E$321="","",IF(LEN(INDEX('Inspections'!$Q$4:$Q$503,_calc!$E$321))=0,"",INDEX('Inspections'!$Q$4:$Q$503,_calc!$E$321)))</f>
        <v/>
      </c>
      <c r="K319" s="55">
        <f>IF(_calc!$E$321="","",IF(LEN(INDEX('Inspections'!$P$4:$P$503,_calc!$E$321))=0,"",INDEX('Inspections'!$P$4:$P$503,_calc!$E$321)))</f>
        <v/>
      </c>
    </row>
    <row r="320">
      <c r="A320" s="55">
        <f>IF(_calc!$E$322="","",IF(LEN(INDEX('Inspections'!$C$4:$C$503,_calc!$E$322))=0,"",INDEX('Inspections'!$C$4:$C$503,_calc!$E$322))&amp;" – "&amp;IF(LEN(INDEX('Inspections'!$A$4:$A$503,_calc!$E$322))=0,"",INDEX('Inspections'!$A$4:$A$503,_calc!$E$322)))</f>
        <v/>
      </c>
      <c r="B320" s="55">
        <f>IF(_calc!$E$322="","",IF(ISNUMBER(INDEX('Inspections'!$H$4:$H$503,_calc!$E$322)),TEXT(INDEX('Inspections'!$H$4:$H$503,_calc!$E$322),"yyyy-mm-dd"),""))</f>
        <v/>
      </c>
      <c r="C320" s="55">
        <f>IF(_calc!$E$322="","","Inspection")</f>
        <v/>
      </c>
      <c r="D320" s="55">
        <f>IF(_calc!$E$322="","",IF(ISNUMBER(INDEX('Inspections'!$G$4:$G$503,_calc!$E$322)),TEXT(INDEX('Inspections'!$G$4:$G$503,_calc!$E$322),"yyyy-mm-dd"),""))</f>
        <v/>
      </c>
      <c r="F320" s="55">
        <f>IF(_calc!$E$322="","",TRIM(IF(LEN(IF(LEN(INDEX('Inspections'!$B$4:$B$503,_calc!$E$322))=0,"",INDEX('Inspections'!$B$4:$B$503,_calc!$E$322)))=0,"","System: "&amp;IF(LEN(INDEX('Inspections'!$B$4:$B$503,_calc!$E$322))=0,"",INDEX('Inspections'!$B$4:$B$503,_calc!$E$322))&amp;". ")&amp;IF(LEN(IF(LEN(INDEX('Inspections'!$D$4:$D$503,_calc!$E$322))=0,"",INDEX('Inspections'!$D$4:$D$503,_calc!$E$322)))=0,"","Every: "&amp;IF(LEN(INDEX('Inspections'!$D$4:$D$503,_calc!$E$322))=0,"",INDEX('Inspections'!$D$4:$D$503,_calc!$E$322))&amp;". ")&amp;IF(LEN(IF(LEN(INDEX('Inspections'!$E$4:$E$503,_calc!$E$322))=0,"",INDEX('Inspections'!$E$4:$E$503,_calc!$E$322)))=0,"","Unit: "&amp;IF(LEN(INDEX('Inspections'!$E$4:$E$503,_calc!$E$322))=0,"",INDEX('Inspections'!$E$4:$E$503,_calc!$E$322))&amp;". ")&amp;IF(LEN(IF(LEN(INDEX('Inspections'!$F$4:$F$503,_calc!$E$322))=0,"",INDEX('Inspections'!$F$4:$F$503,_calc!$E$322)))=0,"","Done by: "&amp;IF(LEN(INDEX('Inspections'!$F$4:$F$503,_calc!$E$322))=0,"",INDEX('Inspections'!$F$4:$F$503,_calc!$E$322))&amp;". ")&amp;IF(LEN(IF(LEN(INDEX('Inspections'!$M$4:$M$503,_calc!$E$322))=0,"",INDEX('Inspections'!$M$4:$M$503,_calc!$E$322)))=0,"","Source: "&amp;IF(LEN(INDEX('Inspections'!$M$4:$M$503,_calc!$E$322))=0,"",INDEX('Inspections'!$M$4:$M$503,_calc!$E$322))&amp;". ")&amp;IF(LEN(IF(LEN(INDEX('Inspections'!$N$4:$N$503,_calc!$E$322))=0,"",INDEX('Inspections'!$N$4:$N$503,_calc!$E$322)))=0,"","Owner: "&amp;IF(LEN(INDEX('Inspections'!$N$4:$N$503,_calc!$E$322))=0,"",INDEX('Inspections'!$N$4:$N$503,_calc!$E$322))&amp;". ")&amp;IF(LEN(IF(LEN(INDEX('Inspections'!$O$4:$O$503,_calc!$E$322))=0,"",INDEX('Inspections'!$O$4:$O$503,_calc!$E$322)))=0,"","Backup: "&amp;IF(LEN(INDEX('Inspections'!$O$4:$O$503,_calc!$E$322))=0,"",INDEX('Inspections'!$O$4:$O$503,_calc!$E$322))&amp;". ")&amp;IF(LEN(IF(LEN(INDEX('Inspections'!$R$4:$R$503,_calc!$E$322))=0,"",INDEX('Inspections'!$R$4:$R$503,_calc!$E$322)))=0,"",IF(LEN(INDEX('Inspections'!$R$4:$R$503,_calc!$E$322))=0,"",INDEX('Inspections'!$R$4:$R$503,_calc!$E$322)))))</f>
        <v/>
      </c>
      <c r="G320" s="55">
        <f>IF(_calc!$E$322="","",IF(LEN(INDEX('Inspections'!$Q$4:$Q$503,_calc!$E$322))=0,"",INDEX('Inspections'!$Q$4:$Q$503,_calc!$E$322)))</f>
        <v/>
      </c>
      <c r="K320" s="55">
        <f>IF(_calc!$E$322="","",IF(LEN(INDEX('Inspections'!$P$4:$P$503,_calc!$E$322))=0,"",INDEX('Inspections'!$P$4:$P$503,_calc!$E$322)))</f>
        <v/>
      </c>
    </row>
    <row r="321">
      <c r="A321" s="55">
        <f>IF(_calc!$E$323="","",IF(LEN(INDEX('Inspections'!$C$4:$C$503,_calc!$E$323))=0,"",INDEX('Inspections'!$C$4:$C$503,_calc!$E$323))&amp;" – "&amp;IF(LEN(INDEX('Inspections'!$A$4:$A$503,_calc!$E$323))=0,"",INDEX('Inspections'!$A$4:$A$503,_calc!$E$323)))</f>
        <v/>
      </c>
      <c r="B321" s="55">
        <f>IF(_calc!$E$323="","",IF(ISNUMBER(INDEX('Inspections'!$H$4:$H$503,_calc!$E$323)),TEXT(INDEX('Inspections'!$H$4:$H$503,_calc!$E$323),"yyyy-mm-dd"),""))</f>
        <v/>
      </c>
      <c r="C321" s="55">
        <f>IF(_calc!$E$323="","","Inspection")</f>
        <v/>
      </c>
      <c r="D321" s="55">
        <f>IF(_calc!$E$323="","",IF(ISNUMBER(INDEX('Inspections'!$G$4:$G$503,_calc!$E$323)),TEXT(INDEX('Inspections'!$G$4:$G$503,_calc!$E$323),"yyyy-mm-dd"),""))</f>
        <v/>
      </c>
      <c r="F321" s="55">
        <f>IF(_calc!$E$323="","",TRIM(IF(LEN(IF(LEN(INDEX('Inspections'!$B$4:$B$503,_calc!$E$323))=0,"",INDEX('Inspections'!$B$4:$B$503,_calc!$E$323)))=0,"","System: "&amp;IF(LEN(INDEX('Inspections'!$B$4:$B$503,_calc!$E$323))=0,"",INDEX('Inspections'!$B$4:$B$503,_calc!$E$323))&amp;". ")&amp;IF(LEN(IF(LEN(INDEX('Inspections'!$D$4:$D$503,_calc!$E$323))=0,"",INDEX('Inspections'!$D$4:$D$503,_calc!$E$323)))=0,"","Every: "&amp;IF(LEN(INDEX('Inspections'!$D$4:$D$503,_calc!$E$323))=0,"",INDEX('Inspections'!$D$4:$D$503,_calc!$E$323))&amp;". ")&amp;IF(LEN(IF(LEN(INDEX('Inspections'!$E$4:$E$503,_calc!$E$323))=0,"",INDEX('Inspections'!$E$4:$E$503,_calc!$E$323)))=0,"","Unit: "&amp;IF(LEN(INDEX('Inspections'!$E$4:$E$503,_calc!$E$323))=0,"",INDEX('Inspections'!$E$4:$E$503,_calc!$E$323))&amp;". ")&amp;IF(LEN(IF(LEN(INDEX('Inspections'!$F$4:$F$503,_calc!$E$323))=0,"",INDEX('Inspections'!$F$4:$F$503,_calc!$E$323)))=0,"","Done by: "&amp;IF(LEN(INDEX('Inspections'!$F$4:$F$503,_calc!$E$323))=0,"",INDEX('Inspections'!$F$4:$F$503,_calc!$E$323))&amp;". ")&amp;IF(LEN(IF(LEN(INDEX('Inspections'!$M$4:$M$503,_calc!$E$323))=0,"",INDEX('Inspections'!$M$4:$M$503,_calc!$E$323)))=0,"","Source: "&amp;IF(LEN(INDEX('Inspections'!$M$4:$M$503,_calc!$E$323))=0,"",INDEX('Inspections'!$M$4:$M$503,_calc!$E$323))&amp;". ")&amp;IF(LEN(IF(LEN(INDEX('Inspections'!$N$4:$N$503,_calc!$E$323))=0,"",INDEX('Inspections'!$N$4:$N$503,_calc!$E$323)))=0,"","Owner: "&amp;IF(LEN(INDEX('Inspections'!$N$4:$N$503,_calc!$E$323))=0,"",INDEX('Inspections'!$N$4:$N$503,_calc!$E$323))&amp;". ")&amp;IF(LEN(IF(LEN(INDEX('Inspections'!$O$4:$O$503,_calc!$E$323))=0,"",INDEX('Inspections'!$O$4:$O$503,_calc!$E$323)))=0,"","Backup: "&amp;IF(LEN(INDEX('Inspections'!$O$4:$O$503,_calc!$E$323))=0,"",INDEX('Inspections'!$O$4:$O$503,_calc!$E$323))&amp;". ")&amp;IF(LEN(IF(LEN(INDEX('Inspections'!$R$4:$R$503,_calc!$E$323))=0,"",INDEX('Inspections'!$R$4:$R$503,_calc!$E$323)))=0,"",IF(LEN(INDEX('Inspections'!$R$4:$R$503,_calc!$E$323))=0,"",INDEX('Inspections'!$R$4:$R$503,_calc!$E$323)))))</f>
        <v/>
      </c>
      <c r="G321" s="55">
        <f>IF(_calc!$E$323="","",IF(LEN(INDEX('Inspections'!$Q$4:$Q$503,_calc!$E$323))=0,"",INDEX('Inspections'!$Q$4:$Q$503,_calc!$E$323)))</f>
        <v/>
      </c>
      <c r="K321" s="55">
        <f>IF(_calc!$E$323="","",IF(LEN(INDEX('Inspections'!$P$4:$P$503,_calc!$E$323))=0,"",INDEX('Inspections'!$P$4:$P$503,_calc!$E$323)))</f>
        <v/>
      </c>
    </row>
    <row r="322">
      <c r="A322" s="55">
        <f>IF(_calc!$E$324="","",IF(LEN(INDEX('Inspections'!$C$4:$C$503,_calc!$E$324))=0,"",INDEX('Inspections'!$C$4:$C$503,_calc!$E$324))&amp;" – "&amp;IF(LEN(INDEX('Inspections'!$A$4:$A$503,_calc!$E$324))=0,"",INDEX('Inspections'!$A$4:$A$503,_calc!$E$324)))</f>
        <v/>
      </c>
      <c r="B322" s="55">
        <f>IF(_calc!$E$324="","",IF(ISNUMBER(INDEX('Inspections'!$H$4:$H$503,_calc!$E$324)),TEXT(INDEX('Inspections'!$H$4:$H$503,_calc!$E$324),"yyyy-mm-dd"),""))</f>
        <v/>
      </c>
      <c r="C322" s="55">
        <f>IF(_calc!$E$324="","","Inspection")</f>
        <v/>
      </c>
      <c r="D322" s="55">
        <f>IF(_calc!$E$324="","",IF(ISNUMBER(INDEX('Inspections'!$G$4:$G$503,_calc!$E$324)),TEXT(INDEX('Inspections'!$G$4:$G$503,_calc!$E$324),"yyyy-mm-dd"),""))</f>
        <v/>
      </c>
      <c r="F322" s="55">
        <f>IF(_calc!$E$324="","",TRIM(IF(LEN(IF(LEN(INDEX('Inspections'!$B$4:$B$503,_calc!$E$324))=0,"",INDEX('Inspections'!$B$4:$B$503,_calc!$E$324)))=0,"","System: "&amp;IF(LEN(INDEX('Inspections'!$B$4:$B$503,_calc!$E$324))=0,"",INDEX('Inspections'!$B$4:$B$503,_calc!$E$324))&amp;". ")&amp;IF(LEN(IF(LEN(INDEX('Inspections'!$D$4:$D$503,_calc!$E$324))=0,"",INDEX('Inspections'!$D$4:$D$503,_calc!$E$324)))=0,"","Every: "&amp;IF(LEN(INDEX('Inspections'!$D$4:$D$503,_calc!$E$324))=0,"",INDEX('Inspections'!$D$4:$D$503,_calc!$E$324))&amp;". ")&amp;IF(LEN(IF(LEN(INDEX('Inspections'!$E$4:$E$503,_calc!$E$324))=0,"",INDEX('Inspections'!$E$4:$E$503,_calc!$E$324)))=0,"","Unit: "&amp;IF(LEN(INDEX('Inspections'!$E$4:$E$503,_calc!$E$324))=0,"",INDEX('Inspections'!$E$4:$E$503,_calc!$E$324))&amp;". ")&amp;IF(LEN(IF(LEN(INDEX('Inspections'!$F$4:$F$503,_calc!$E$324))=0,"",INDEX('Inspections'!$F$4:$F$503,_calc!$E$324)))=0,"","Done by: "&amp;IF(LEN(INDEX('Inspections'!$F$4:$F$503,_calc!$E$324))=0,"",INDEX('Inspections'!$F$4:$F$503,_calc!$E$324))&amp;". ")&amp;IF(LEN(IF(LEN(INDEX('Inspections'!$M$4:$M$503,_calc!$E$324))=0,"",INDEX('Inspections'!$M$4:$M$503,_calc!$E$324)))=0,"","Source: "&amp;IF(LEN(INDEX('Inspections'!$M$4:$M$503,_calc!$E$324))=0,"",INDEX('Inspections'!$M$4:$M$503,_calc!$E$324))&amp;". ")&amp;IF(LEN(IF(LEN(INDEX('Inspections'!$N$4:$N$503,_calc!$E$324))=0,"",INDEX('Inspections'!$N$4:$N$503,_calc!$E$324)))=0,"","Owner: "&amp;IF(LEN(INDEX('Inspections'!$N$4:$N$503,_calc!$E$324))=0,"",INDEX('Inspections'!$N$4:$N$503,_calc!$E$324))&amp;". ")&amp;IF(LEN(IF(LEN(INDEX('Inspections'!$O$4:$O$503,_calc!$E$324))=0,"",INDEX('Inspections'!$O$4:$O$503,_calc!$E$324)))=0,"","Backup: "&amp;IF(LEN(INDEX('Inspections'!$O$4:$O$503,_calc!$E$324))=0,"",INDEX('Inspections'!$O$4:$O$503,_calc!$E$324))&amp;". ")&amp;IF(LEN(IF(LEN(INDEX('Inspections'!$R$4:$R$503,_calc!$E$324))=0,"",INDEX('Inspections'!$R$4:$R$503,_calc!$E$324)))=0,"",IF(LEN(INDEX('Inspections'!$R$4:$R$503,_calc!$E$324))=0,"",INDEX('Inspections'!$R$4:$R$503,_calc!$E$324)))))</f>
        <v/>
      </c>
      <c r="G322" s="55">
        <f>IF(_calc!$E$324="","",IF(LEN(INDEX('Inspections'!$Q$4:$Q$503,_calc!$E$324))=0,"",INDEX('Inspections'!$Q$4:$Q$503,_calc!$E$324)))</f>
        <v/>
      </c>
      <c r="K322" s="55">
        <f>IF(_calc!$E$324="","",IF(LEN(INDEX('Inspections'!$P$4:$P$503,_calc!$E$324))=0,"",INDEX('Inspections'!$P$4:$P$503,_calc!$E$324)))</f>
        <v/>
      </c>
    </row>
    <row r="323">
      <c r="A323" s="55">
        <f>IF(_calc!$E$325="","",IF(LEN(INDEX('Inspections'!$C$4:$C$503,_calc!$E$325))=0,"",INDEX('Inspections'!$C$4:$C$503,_calc!$E$325))&amp;" – "&amp;IF(LEN(INDEX('Inspections'!$A$4:$A$503,_calc!$E$325))=0,"",INDEX('Inspections'!$A$4:$A$503,_calc!$E$325)))</f>
        <v/>
      </c>
      <c r="B323" s="55">
        <f>IF(_calc!$E$325="","",IF(ISNUMBER(INDEX('Inspections'!$H$4:$H$503,_calc!$E$325)),TEXT(INDEX('Inspections'!$H$4:$H$503,_calc!$E$325),"yyyy-mm-dd"),""))</f>
        <v/>
      </c>
      <c r="C323" s="55">
        <f>IF(_calc!$E$325="","","Inspection")</f>
        <v/>
      </c>
      <c r="D323" s="55">
        <f>IF(_calc!$E$325="","",IF(ISNUMBER(INDEX('Inspections'!$G$4:$G$503,_calc!$E$325)),TEXT(INDEX('Inspections'!$G$4:$G$503,_calc!$E$325),"yyyy-mm-dd"),""))</f>
        <v/>
      </c>
      <c r="F323" s="55">
        <f>IF(_calc!$E$325="","",TRIM(IF(LEN(IF(LEN(INDEX('Inspections'!$B$4:$B$503,_calc!$E$325))=0,"",INDEX('Inspections'!$B$4:$B$503,_calc!$E$325)))=0,"","System: "&amp;IF(LEN(INDEX('Inspections'!$B$4:$B$503,_calc!$E$325))=0,"",INDEX('Inspections'!$B$4:$B$503,_calc!$E$325))&amp;". ")&amp;IF(LEN(IF(LEN(INDEX('Inspections'!$D$4:$D$503,_calc!$E$325))=0,"",INDEX('Inspections'!$D$4:$D$503,_calc!$E$325)))=0,"","Every: "&amp;IF(LEN(INDEX('Inspections'!$D$4:$D$503,_calc!$E$325))=0,"",INDEX('Inspections'!$D$4:$D$503,_calc!$E$325))&amp;". ")&amp;IF(LEN(IF(LEN(INDEX('Inspections'!$E$4:$E$503,_calc!$E$325))=0,"",INDEX('Inspections'!$E$4:$E$503,_calc!$E$325)))=0,"","Unit: "&amp;IF(LEN(INDEX('Inspections'!$E$4:$E$503,_calc!$E$325))=0,"",INDEX('Inspections'!$E$4:$E$503,_calc!$E$325))&amp;". ")&amp;IF(LEN(IF(LEN(INDEX('Inspections'!$F$4:$F$503,_calc!$E$325))=0,"",INDEX('Inspections'!$F$4:$F$503,_calc!$E$325)))=0,"","Done by: "&amp;IF(LEN(INDEX('Inspections'!$F$4:$F$503,_calc!$E$325))=0,"",INDEX('Inspections'!$F$4:$F$503,_calc!$E$325))&amp;". ")&amp;IF(LEN(IF(LEN(INDEX('Inspections'!$M$4:$M$503,_calc!$E$325))=0,"",INDEX('Inspections'!$M$4:$M$503,_calc!$E$325)))=0,"","Source: "&amp;IF(LEN(INDEX('Inspections'!$M$4:$M$503,_calc!$E$325))=0,"",INDEX('Inspections'!$M$4:$M$503,_calc!$E$325))&amp;". ")&amp;IF(LEN(IF(LEN(INDEX('Inspections'!$N$4:$N$503,_calc!$E$325))=0,"",INDEX('Inspections'!$N$4:$N$503,_calc!$E$325)))=0,"","Owner: "&amp;IF(LEN(INDEX('Inspections'!$N$4:$N$503,_calc!$E$325))=0,"",INDEX('Inspections'!$N$4:$N$503,_calc!$E$325))&amp;". ")&amp;IF(LEN(IF(LEN(INDEX('Inspections'!$O$4:$O$503,_calc!$E$325))=0,"",INDEX('Inspections'!$O$4:$O$503,_calc!$E$325)))=0,"","Backup: "&amp;IF(LEN(INDEX('Inspections'!$O$4:$O$503,_calc!$E$325))=0,"",INDEX('Inspections'!$O$4:$O$503,_calc!$E$325))&amp;". ")&amp;IF(LEN(IF(LEN(INDEX('Inspections'!$R$4:$R$503,_calc!$E$325))=0,"",INDEX('Inspections'!$R$4:$R$503,_calc!$E$325)))=0,"",IF(LEN(INDEX('Inspections'!$R$4:$R$503,_calc!$E$325))=0,"",INDEX('Inspections'!$R$4:$R$503,_calc!$E$325)))))</f>
        <v/>
      </c>
      <c r="G323" s="55">
        <f>IF(_calc!$E$325="","",IF(LEN(INDEX('Inspections'!$Q$4:$Q$503,_calc!$E$325))=0,"",INDEX('Inspections'!$Q$4:$Q$503,_calc!$E$325)))</f>
        <v/>
      </c>
      <c r="K323" s="55">
        <f>IF(_calc!$E$325="","",IF(LEN(INDEX('Inspections'!$P$4:$P$503,_calc!$E$325))=0,"",INDEX('Inspections'!$P$4:$P$503,_calc!$E$325)))</f>
        <v/>
      </c>
    </row>
    <row r="324">
      <c r="A324" s="55">
        <f>IF(_calc!$E$326="","",IF(LEN(INDEX('Inspections'!$C$4:$C$503,_calc!$E$326))=0,"",INDEX('Inspections'!$C$4:$C$503,_calc!$E$326))&amp;" – "&amp;IF(LEN(INDEX('Inspections'!$A$4:$A$503,_calc!$E$326))=0,"",INDEX('Inspections'!$A$4:$A$503,_calc!$E$326)))</f>
        <v/>
      </c>
      <c r="B324" s="55">
        <f>IF(_calc!$E$326="","",IF(ISNUMBER(INDEX('Inspections'!$H$4:$H$503,_calc!$E$326)),TEXT(INDEX('Inspections'!$H$4:$H$503,_calc!$E$326),"yyyy-mm-dd"),""))</f>
        <v/>
      </c>
      <c r="C324" s="55">
        <f>IF(_calc!$E$326="","","Inspection")</f>
        <v/>
      </c>
      <c r="D324" s="55">
        <f>IF(_calc!$E$326="","",IF(ISNUMBER(INDEX('Inspections'!$G$4:$G$503,_calc!$E$326)),TEXT(INDEX('Inspections'!$G$4:$G$503,_calc!$E$326),"yyyy-mm-dd"),""))</f>
        <v/>
      </c>
      <c r="F324" s="55">
        <f>IF(_calc!$E$326="","",TRIM(IF(LEN(IF(LEN(INDEX('Inspections'!$B$4:$B$503,_calc!$E$326))=0,"",INDEX('Inspections'!$B$4:$B$503,_calc!$E$326)))=0,"","System: "&amp;IF(LEN(INDEX('Inspections'!$B$4:$B$503,_calc!$E$326))=0,"",INDEX('Inspections'!$B$4:$B$503,_calc!$E$326))&amp;". ")&amp;IF(LEN(IF(LEN(INDEX('Inspections'!$D$4:$D$503,_calc!$E$326))=0,"",INDEX('Inspections'!$D$4:$D$503,_calc!$E$326)))=0,"","Every: "&amp;IF(LEN(INDEX('Inspections'!$D$4:$D$503,_calc!$E$326))=0,"",INDEX('Inspections'!$D$4:$D$503,_calc!$E$326))&amp;". ")&amp;IF(LEN(IF(LEN(INDEX('Inspections'!$E$4:$E$503,_calc!$E$326))=0,"",INDEX('Inspections'!$E$4:$E$503,_calc!$E$326)))=0,"","Unit: "&amp;IF(LEN(INDEX('Inspections'!$E$4:$E$503,_calc!$E$326))=0,"",INDEX('Inspections'!$E$4:$E$503,_calc!$E$326))&amp;". ")&amp;IF(LEN(IF(LEN(INDEX('Inspections'!$F$4:$F$503,_calc!$E$326))=0,"",INDEX('Inspections'!$F$4:$F$503,_calc!$E$326)))=0,"","Done by: "&amp;IF(LEN(INDEX('Inspections'!$F$4:$F$503,_calc!$E$326))=0,"",INDEX('Inspections'!$F$4:$F$503,_calc!$E$326))&amp;". ")&amp;IF(LEN(IF(LEN(INDEX('Inspections'!$M$4:$M$503,_calc!$E$326))=0,"",INDEX('Inspections'!$M$4:$M$503,_calc!$E$326)))=0,"","Source: "&amp;IF(LEN(INDEX('Inspections'!$M$4:$M$503,_calc!$E$326))=0,"",INDEX('Inspections'!$M$4:$M$503,_calc!$E$326))&amp;". ")&amp;IF(LEN(IF(LEN(INDEX('Inspections'!$N$4:$N$503,_calc!$E$326))=0,"",INDEX('Inspections'!$N$4:$N$503,_calc!$E$326)))=0,"","Owner: "&amp;IF(LEN(INDEX('Inspections'!$N$4:$N$503,_calc!$E$326))=0,"",INDEX('Inspections'!$N$4:$N$503,_calc!$E$326))&amp;". ")&amp;IF(LEN(IF(LEN(INDEX('Inspections'!$O$4:$O$503,_calc!$E$326))=0,"",INDEX('Inspections'!$O$4:$O$503,_calc!$E$326)))=0,"","Backup: "&amp;IF(LEN(INDEX('Inspections'!$O$4:$O$503,_calc!$E$326))=0,"",INDEX('Inspections'!$O$4:$O$503,_calc!$E$326))&amp;". ")&amp;IF(LEN(IF(LEN(INDEX('Inspections'!$R$4:$R$503,_calc!$E$326))=0,"",INDEX('Inspections'!$R$4:$R$503,_calc!$E$326)))=0,"",IF(LEN(INDEX('Inspections'!$R$4:$R$503,_calc!$E$326))=0,"",INDEX('Inspections'!$R$4:$R$503,_calc!$E$326)))))</f>
        <v/>
      </c>
      <c r="G324" s="55">
        <f>IF(_calc!$E$326="","",IF(LEN(INDEX('Inspections'!$Q$4:$Q$503,_calc!$E$326))=0,"",INDEX('Inspections'!$Q$4:$Q$503,_calc!$E$326)))</f>
        <v/>
      </c>
      <c r="K324" s="55">
        <f>IF(_calc!$E$326="","",IF(LEN(INDEX('Inspections'!$P$4:$P$503,_calc!$E$326))=0,"",INDEX('Inspections'!$P$4:$P$503,_calc!$E$326)))</f>
        <v/>
      </c>
    </row>
    <row r="325">
      <c r="A325" s="55">
        <f>IF(_calc!$E$327="","",IF(LEN(INDEX('Inspections'!$C$4:$C$503,_calc!$E$327))=0,"",INDEX('Inspections'!$C$4:$C$503,_calc!$E$327))&amp;" – "&amp;IF(LEN(INDEX('Inspections'!$A$4:$A$503,_calc!$E$327))=0,"",INDEX('Inspections'!$A$4:$A$503,_calc!$E$327)))</f>
        <v/>
      </c>
      <c r="B325" s="55">
        <f>IF(_calc!$E$327="","",IF(ISNUMBER(INDEX('Inspections'!$H$4:$H$503,_calc!$E$327)),TEXT(INDEX('Inspections'!$H$4:$H$503,_calc!$E$327),"yyyy-mm-dd"),""))</f>
        <v/>
      </c>
      <c r="C325" s="55">
        <f>IF(_calc!$E$327="","","Inspection")</f>
        <v/>
      </c>
      <c r="D325" s="55">
        <f>IF(_calc!$E$327="","",IF(ISNUMBER(INDEX('Inspections'!$G$4:$G$503,_calc!$E$327)),TEXT(INDEX('Inspections'!$G$4:$G$503,_calc!$E$327),"yyyy-mm-dd"),""))</f>
        <v/>
      </c>
      <c r="F325" s="55">
        <f>IF(_calc!$E$327="","",TRIM(IF(LEN(IF(LEN(INDEX('Inspections'!$B$4:$B$503,_calc!$E$327))=0,"",INDEX('Inspections'!$B$4:$B$503,_calc!$E$327)))=0,"","System: "&amp;IF(LEN(INDEX('Inspections'!$B$4:$B$503,_calc!$E$327))=0,"",INDEX('Inspections'!$B$4:$B$503,_calc!$E$327))&amp;". ")&amp;IF(LEN(IF(LEN(INDEX('Inspections'!$D$4:$D$503,_calc!$E$327))=0,"",INDEX('Inspections'!$D$4:$D$503,_calc!$E$327)))=0,"","Every: "&amp;IF(LEN(INDEX('Inspections'!$D$4:$D$503,_calc!$E$327))=0,"",INDEX('Inspections'!$D$4:$D$503,_calc!$E$327))&amp;". ")&amp;IF(LEN(IF(LEN(INDEX('Inspections'!$E$4:$E$503,_calc!$E$327))=0,"",INDEX('Inspections'!$E$4:$E$503,_calc!$E$327)))=0,"","Unit: "&amp;IF(LEN(INDEX('Inspections'!$E$4:$E$503,_calc!$E$327))=0,"",INDEX('Inspections'!$E$4:$E$503,_calc!$E$327))&amp;". ")&amp;IF(LEN(IF(LEN(INDEX('Inspections'!$F$4:$F$503,_calc!$E$327))=0,"",INDEX('Inspections'!$F$4:$F$503,_calc!$E$327)))=0,"","Done by: "&amp;IF(LEN(INDEX('Inspections'!$F$4:$F$503,_calc!$E$327))=0,"",INDEX('Inspections'!$F$4:$F$503,_calc!$E$327))&amp;". ")&amp;IF(LEN(IF(LEN(INDEX('Inspections'!$M$4:$M$503,_calc!$E$327))=0,"",INDEX('Inspections'!$M$4:$M$503,_calc!$E$327)))=0,"","Source: "&amp;IF(LEN(INDEX('Inspections'!$M$4:$M$503,_calc!$E$327))=0,"",INDEX('Inspections'!$M$4:$M$503,_calc!$E$327))&amp;". ")&amp;IF(LEN(IF(LEN(INDEX('Inspections'!$N$4:$N$503,_calc!$E$327))=0,"",INDEX('Inspections'!$N$4:$N$503,_calc!$E$327)))=0,"","Owner: "&amp;IF(LEN(INDEX('Inspections'!$N$4:$N$503,_calc!$E$327))=0,"",INDEX('Inspections'!$N$4:$N$503,_calc!$E$327))&amp;". ")&amp;IF(LEN(IF(LEN(INDEX('Inspections'!$O$4:$O$503,_calc!$E$327))=0,"",INDEX('Inspections'!$O$4:$O$503,_calc!$E$327)))=0,"","Backup: "&amp;IF(LEN(INDEX('Inspections'!$O$4:$O$503,_calc!$E$327))=0,"",INDEX('Inspections'!$O$4:$O$503,_calc!$E$327))&amp;". ")&amp;IF(LEN(IF(LEN(INDEX('Inspections'!$R$4:$R$503,_calc!$E$327))=0,"",INDEX('Inspections'!$R$4:$R$503,_calc!$E$327)))=0,"",IF(LEN(INDEX('Inspections'!$R$4:$R$503,_calc!$E$327))=0,"",INDEX('Inspections'!$R$4:$R$503,_calc!$E$327)))))</f>
        <v/>
      </c>
      <c r="G325" s="55">
        <f>IF(_calc!$E$327="","",IF(LEN(INDEX('Inspections'!$Q$4:$Q$503,_calc!$E$327))=0,"",INDEX('Inspections'!$Q$4:$Q$503,_calc!$E$327)))</f>
        <v/>
      </c>
      <c r="K325" s="55">
        <f>IF(_calc!$E$327="","",IF(LEN(INDEX('Inspections'!$P$4:$P$503,_calc!$E$327))=0,"",INDEX('Inspections'!$P$4:$P$503,_calc!$E$327)))</f>
        <v/>
      </c>
    </row>
    <row r="326">
      <c r="A326" s="55">
        <f>IF(_calc!$E$328="","",IF(LEN(INDEX('Inspections'!$C$4:$C$503,_calc!$E$328))=0,"",INDEX('Inspections'!$C$4:$C$503,_calc!$E$328))&amp;" – "&amp;IF(LEN(INDEX('Inspections'!$A$4:$A$503,_calc!$E$328))=0,"",INDEX('Inspections'!$A$4:$A$503,_calc!$E$328)))</f>
        <v/>
      </c>
      <c r="B326" s="55">
        <f>IF(_calc!$E$328="","",IF(ISNUMBER(INDEX('Inspections'!$H$4:$H$503,_calc!$E$328)),TEXT(INDEX('Inspections'!$H$4:$H$503,_calc!$E$328),"yyyy-mm-dd"),""))</f>
        <v/>
      </c>
      <c r="C326" s="55">
        <f>IF(_calc!$E$328="","","Inspection")</f>
        <v/>
      </c>
      <c r="D326" s="55">
        <f>IF(_calc!$E$328="","",IF(ISNUMBER(INDEX('Inspections'!$G$4:$G$503,_calc!$E$328)),TEXT(INDEX('Inspections'!$G$4:$G$503,_calc!$E$328),"yyyy-mm-dd"),""))</f>
        <v/>
      </c>
      <c r="F326" s="55">
        <f>IF(_calc!$E$328="","",TRIM(IF(LEN(IF(LEN(INDEX('Inspections'!$B$4:$B$503,_calc!$E$328))=0,"",INDEX('Inspections'!$B$4:$B$503,_calc!$E$328)))=0,"","System: "&amp;IF(LEN(INDEX('Inspections'!$B$4:$B$503,_calc!$E$328))=0,"",INDEX('Inspections'!$B$4:$B$503,_calc!$E$328))&amp;". ")&amp;IF(LEN(IF(LEN(INDEX('Inspections'!$D$4:$D$503,_calc!$E$328))=0,"",INDEX('Inspections'!$D$4:$D$503,_calc!$E$328)))=0,"","Every: "&amp;IF(LEN(INDEX('Inspections'!$D$4:$D$503,_calc!$E$328))=0,"",INDEX('Inspections'!$D$4:$D$503,_calc!$E$328))&amp;". ")&amp;IF(LEN(IF(LEN(INDEX('Inspections'!$E$4:$E$503,_calc!$E$328))=0,"",INDEX('Inspections'!$E$4:$E$503,_calc!$E$328)))=0,"","Unit: "&amp;IF(LEN(INDEX('Inspections'!$E$4:$E$503,_calc!$E$328))=0,"",INDEX('Inspections'!$E$4:$E$503,_calc!$E$328))&amp;". ")&amp;IF(LEN(IF(LEN(INDEX('Inspections'!$F$4:$F$503,_calc!$E$328))=0,"",INDEX('Inspections'!$F$4:$F$503,_calc!$E$328)))=0,"","Done by: "&amp;IF(LEN(INDEX('Inspections'!$F$4:$F$503,_calc!$E$328))=0,"",INDEX('Inspections'!$F$4:$F$503,_calc!$E$328))&amp;". ")&amp;IF(LEN(IF(LEN(INDEX('Inspections'!$M$4:$M$503,_calc!$E$328))=0,"",INDEX('Inspections'!$M$4:$M$503,_calc!$E$328)))=0,"","Source: "&amp;IF(LEN(INDEX('Inspections'!$M$4:$M$503,_calc!$E$328))=0,"",INDEX('Inspections'!$M$4:$M$503,_calc!$E$328))&amp;". ")&amp;IF(LEN(IF(LEN(INDEX('Inspections'!$N$4:$N$503,_calc!$E$328))=0,"",INDEX('Inspections'!$N$4:$N$503,_calc!$E$328)))=0,"","Owner: "&amp;IF(LEN(INDEX('Inspections'!$N$4:$N$503,_calc!$E$328))=0,"",INDEX('Inspections'!$N$4:$N$503,_calc!$E$328))&amp;". ")&amp;IF(LEN(IF(LEN(INDEX('Inspections'!$O$4:$O$503,_calc!$E$328))=0,"",INDEX('Inspections'!$O$4:$O$503,_calc!$E$328)))=0,"","Backup: "&amp;IF(LEN(INDEX('Inspections'!$O$4:$O$503,_calc!$E$328))=0,"",INDEX('Inspections'!$O$4:$O$503,_calc!$E$328))&amp;". ")&amp;IF(LEN(IF(LEN(INDEX('Inspections'!$R$4:$R$503,_calc!$E$328))=0,"",INDEX('Inspections'!$R$4:$R$503,_calc!$E$328)))=0,"",IF(LEN(INDEX('Inspections'!$R$4:$R$503,_calc!$E$328))=0,"",INDEX('Inspections'!$R$4:$R$503,_calc!$E$328)))))</f>
        <v/>
      </c>
      <c r="G326" s="55">
        <f>IF(_calc!$E$328="","",IF(LEN(INDEX('Inspections'!$Q$4:$Q$503,_calc!$E$328))=0,"",INDEX('Inspections'!$Q$4:$Q$503,_calc!$E$328)))</f>
        <v/>
      </c>
      <c r="K326" s="55">
        <f>IF(_calc!$E$328="","",IF(LEN(INDEX('Inspections'!$P$4:$P$503,_calc!$E$328))=0,"",INDEX('Inspections'!$P$4:$P$503,_calc!$E$328)))</f>
        <v/>
      </c>
    </row>
    <row r="327">
      <c r="A327" s="55">
        <f>IF(_calc!$E$329="","",IF(LEN(INDEX('Inspections'!$C$4:$C$503,_calc!$E$329))=0,"",INDEX('Inspections'!$C$4:$C$503,_calc!$E$329))&amp;" – "&amp;IF(LEN(INDEX('Inspections'!$A$4:$A$503,_calc!$E$329))=0,"",INDEX('Inspections'!$A$4:$A$503,_calc!$E$329)))</f>
        <v/>
      </c>
      <c r="B327" s="55">
        <f>IF(_calc!$E$329="","",IF(ISNUMBER(INDEX('Inspections'!$H$4:$H$503,_calc!$E$329)),TEXT(INDEX('Inspections'!$H$4:$H$503,_calc!$E$329),"yyyy-mm-dd"),""))</f>
        <v/>
      </c>
      <c r="C327" s="55">
        <f>IF(_calc!$E$329="","","Inspection")</f>
        <v/>
      </c>
      <c r="D327" s="55">
        <f>IF(_calc!$E$329="","",IF(ISNUMBER(INDEX('Inspections'!$G$4:$G$503,_calc!$E$329)),TEXT(INDEX('Inspections'!$G$4:$G$503,_calc!$E$329),"yyyy-mm-dd"),""))</f>
        <v/>
      </c>
      <c r="F327" s="55">
        <f>IF(_calc!$E$329="","",TRIM(IF(LEN(IF(LEN(INDEX('Inspections'!$B$4:$B$503,_calc!$E$329))=0,"",INDEX('Inspections'!$B$4:$B$503,_calc!$E$329)))=0,"","System: "&amp;IF(LEN(INDEX('Inspections'!$B$4:$B$503,_calc!$E$329))=0,"",INDEX('Inspections'!$B$4:$B$503,_calc!$E$329))&amp;". ")&amp;IF(LEN(IF(LEN(INDEX('Inspections'!$D$4:$D$503,_calc!$E$329))=0,"",INDEX('Inspections'!$D$4:$D$503,_calc!$E$329)))=0,"","Every: "&amp;IF(LEN(INDEX('Inspections'!$D$4:$D$503,_calc!$E$329))=0,"",INDEX('Inspections'!$D$4:$D$503,_calc!$E$329))&amp;". ")&amp;IF(LEN(IF(LEN(INDEX('Inspections'!$E$4:$E$503,_calc!$E$329))=0,"",INDEX('Inspections'!$E$4:$E$503,_calc!$E$329)))=0,"","Unit: "&amp;IF(LEN(INDEX('Inspections'!$E$4:$E$503,_calc!$E$329))=0,"",INDEX('Inspections'!$E$4:$E$503,_calc!$E$329))&amp;". ")&amp;IF(LEN(IF(LEN(INDEX('Inspections'!$F$4:$F$503,_calc!$E$329))=0,"",INDEX('Inspections'!$F$4:$F$503,_calc!$E$329)))=0,"","Done by: "&amp;IF(LEN(INDEX('Inspections'!$F$4:$F$503,_calc!$E$329))=0,"",INDEX('Inspections'!$F$4:$F$503,_calc!$E$329))&amp;". ")&amp;IF(LEN(IF(LEN(INDEX('Inspections'!$M$4:$M$503,_calc!$E$329))=0,"",INDEX('Inspections'!$M$4:$M$503,_calc!$E$329)))=0,"","Source: "&amp;IF(LEN(INDEX('Inspections'!$M$4:$M$503,_calc!$E$329))=0,"",INDEX('Inspections'!$M$4:$M$503,_calc!$E$329))&amp;". ")&amp;IF(LEN(IF(LEN(INDEX('Inspections'!$N$4:$N$503,_calc!$E$329))=0,"",INDEX('Inspections'!$N$4:$N$503,_calc!$E$329)))=0,"","Owner: "&amp;IF(LEN(INDEX('Inspections'!$N$4:$N$503,_calc!$E$329))=0,"",INDEX('Inspections'!$N$4:$N$503,_calc!$E$329))&amp;". ")&amp;IF(LEN(IF(LEN(INDEX('Inspections'!$O$4:$O$503,_calc!$E$329))=0,"",INDEX('Inspections'!$O$4:$O$503,_calc!$E$329)))=0,"","Backup: "&amp;IF(LEN(INDEX('Inspections'!$O$4:$O$503,_calc!$E$329))=0,"",INDEX('Inspections'!$O$4:$O$503,_calc!$E$329))&amp;". ")&amp;IF(LEN(IF(LEN(INDEX('Inspections'!$R$4:$R$503,_calc!$E$329))=0,"",INDEX('Inspections'!$R$4:$R$503,_calc!$E$329)))=0,"",IF(LEN(INDEX('Inspections'!$R$4:$R$503,_calc!$E$329))=0,"",INDEX('Inspections'!$R$4:$R$503,_calc!$E$329)))))</f>
        <v/>
      </c>
      <c r="G327" s="55">
        <f>IF(_calc!$E$329="","",IF(LEN(INDEX('Inspections'!$Q$4:$Q$503,_calc!$E$329))=0,"",INDEX('Inspections'!$Q$4:$Q$503,_calc!$E$329)))</f>
        <v/>
      </c>
      <c r="K327" s="55">
        <f>IF(_calc!$E$329="","",IF(LEN(INDEX('Inspections'!$P$4:$P$503,_calc!$E$329))=0,"",INDEX('Inspections'!$P$4:$P$503,_calc!$E$329)))</f>
        <v/>
      </c>
    </row>
    <row r="328">
      <c r="A328" s="55">
        <f>IF(_calc!$E$330="","",IF(LEN(INDEX('Inspections'!$C$4:$C$503,_calc!$E$330))=0,"",INDEX('Inspections'!$C$4:$C$503,_calc!$E$330))&amp;" – "&amp;IF(LEN(INDEX('Inspections'!$A$4:$A$503,_calc!$E$330))=0,"",INDEX('Inspections'!$A$4:$A$503,_calc!$E$330)))</f>
        <v/>
      </c>
      <c r="B328" s="55">
        <f>IF(_calc!$E$330="","",IF(ISNUMBER(INDEX('Inspections'!$H$4:$H$503,_calc!$E$330)),TEXT(INDEX('Inspections'!$H$4:$H$503,_calc!$E$330),"yyyy-mm-dd"),""))</f>
        <v/>
      </c>
      <c r="C328" s="55">
        <f>IF(_calc!$E$330="","","Inspection")</f>
        <v/>
      </c>
      <c r="D328" s="55">
        <f>IF(_calc!$E$330="","",IF(ISNUMBER(INDEX('Inspections'!$G$4:$G$503,_calc!$E$330)),TEXT(INDEX('Inspections'!$G$4:$G$503,_calc!$E$330),"yyyy-mm-dd"),""))</f>
        <v/>
      </c>
      <c r="F328" s="55">
        <f>IF(_calc!$E$330="","",TRIM(IF(LEN(IF(LEN(INDEX('Inspections'!$B$4:$B$503,_calc!$E$330))=0,"",INDEX('Inspections'!$B$4:$B$503,_calc!$E$330)))=0,"","System: "&amp;IF(LEN(INDEX('Inspections'!$B$4:$B$503,_calc!$E$330))=0,"",INDEX('Inspections'!$B$4:$B$503,_calc!$E$330))&amp;". ")&amp;IF(LEN(IF(LEN(INDEX('Inspections'!$D$4:$D$503,_calc!$E$330))=0,"",INDEX('Inspections'!$D$4:$D$503,_calc!$E$330)))=0,"","Every: "&amp;IF(LEN(INDEX('Inspections'!$D$4:$D$503,_calc!$E$330))=0,"",INDEX('Inspections'!$D$4:$D$503,_calc!$E$330))&amp;". ")&amp;IF(LEN(IF(LEN(INDEX('Inspections'!$E$4:$E$503,_calc!$E$330))=0,"",INDEX('Inspections'!$E$4:$E$503,_calc!$E$330)))=0,"","Unit: "&amp;IF(LEN(INDEX('Inspections'!$E$4:$E$503,_calc!$E$330))=0,"",INDEX('Inspections'!$E$4:$E$503,_calc!$E$330))&amp;". ")&amp;IF(LEN(IF(LEN(INDEX('Inspections'!$F$4:$F$503,_calc!$E$330))=0,"",INDEX('Inspections'!$F$4:$F$503,_calc!$E$330)))=0,"","Done by: "&amp;IF(LEN(INDEX('Inspections'!$F$4:$F$503,_calc!$E$330))=0,"",INDEX('Inspections'!$F$4:$F$503,_calc!$E$330))&amp;". ")&amp;IF(LEN(IF(LEN(INDEX('Inspections'!$M$4:$M$503,_calc!$E$330))=0,"",INDEX('Inspections'!$M$4:$M$503,_calc!$E$330)))=0,"","Source: "&amp;IF(LEN(INDEX('Inspections'!$M$4:$M$503,_calc!$E$330))=0,"",INDEX('Inspections'!$M$4:$M$503,_calc!$E$330))&amp;". ")&amp;IF(LEN(IF(LEN(INDEX('Inspections'!$N$4:$N$503,_calc!$E$330))=0,"",INDEX('Inspections'!$N$4:$N$503,_calc!$E$330)))=0,"","Owner: "&amp;IF(LEN(INDEX('Inspections'!$N$4:$N$503,_calc!$E$330))=0,"",INDEX('Inspections'!$N$4:$N$503,_calc!$E$330))&amp;". ")&amp;IF(LEN(IF(LEN(INDEX('Inspections'!$O$4:$O$503,_calc!$E$330))=0,"",INDEX('Inspections'!$O$4:$O$503,_calc!$E$330)))=0,"","Backup: "&amp;IF(LEN(INDEX('Inspections'!$O$4:$O$503,_calc!$E$330))=0,"",INDEX('Inspections'!$O$4:$O$503,_calc!$E$330))&amp;". ")&amp;IF(LEN(IF(LEN(INDEX('Inspections'!$R$4:$R$503,_calc!$E$330))=0,"",INDEX('Inspections'!$R$4:$R$503,_calc!$E$330)))=0,"",IF(LEN(INDEX('Inspections'!$R$4:$R$503,_calc!$E$330))=0,"",INDEX('Inspections'!$R$4:$R$503,_calc!$E$330)))))</f>
        <v/>
      </c>
      <c r="G328" s="55">
        <f>IF(_calc!$E$330="","",IF(LEN(INDEX('Inspections'!$Q$4:$Q$503,_calc!$E$330))=0,"",INDEX('Inspections'!$Q$4:$Q$503,_calc!$E$330)))</f>
        <v/>
      </c>
      <c r="K328" s="55">
        <f>IF(_calc!$E$330="","",IF(LEN(INDEX('Inspections'!$P$4:$P$503,_calc!$E$330))=0,"",INDEX('Inspections'!$P$4:$P$503,_calc!$E$330)))</f>
        <v/>
      </c>
    </row>
    <row r="329">
      <c r="A329" s="55">
        <f>IF(_calc!$E$331="","",IF(LEN(INDEX('Inspections'!$C$4:$C$503,_calc!$E$331))=0,"",INDEX('Inspections'!$C$4:$C$503,_calc!$E$331))&amp;" – "&amp;IF(LEN(INDEX('Inspections'!$A$4:$A$503,_calc!$E$331))=0,"",INDEX('Inspections'!$A$4:$A$503,_calc!$E$331)))</f>
        <v/>
      </c>
      <c r="B329" s="55">
        <f>IF(_calc!$E$331="","",IF(ISNUMBER(INDEX('Inspections'!$H$4:$H$503,_calc!$E$331)),TEXT(INDEX('Inspections'!$H$4:$H$503,_calc!$E$331),"yyyy-mm-dd"),""))</f>
        <v/>
      </c>
      <c r="C329" s="55">
        <f>IF(_calc!$E$331="","","Inspection")</f>
        <v/>
      </c>
      <c r="D329" s="55">
        <f>IF(_calc!$E$331="","",IF(ISNUMBER(INDEX('Inspections'!$G$4:$G$503,_calc!$E$331)),TEXT(INDEX('Inspections'!$G$4:$G$503,_calc!$E$331),"yyyy-mm-dd"),""))</f>
        <v/>
      </c>
      <c r="F329" s="55">
        <f>IF(_calc!$E$331="","",TRIM(IF(LEN(IF(LEN(INDEX('Inspections'!$B$4:$B$503,_calc!$E$331))=0,"",INDEX('Inspections'!$B$4:$B$503,_calc!$E$331)))=0,"","System: "&amp;IF(LEN(INDEX('Inspections'!$B$4:$B$503,_calc!$E$331))=0,"",INDEX('Inspections'!$B$4:$B$503,_calc!$E$331))&amp;". ")&amp;IF(LEN(IF(LEN(INDEX('Inspections'!$D$4:$D$503,_calc!$E$331))=0,"",INDEX('Inspections'!$D$4:$D$503,_calc!$E$331)))=0,"","Every: "&amp;IF(LEN(INDEX('Inspections'!$D$4:$D$503,_calc!$E$331))=0,"",INDEX('Inspections'!$D$4:$D$503,_calc!$E$331))&amp;". ")&amp;IF(LEN(IF(LEN(INDEX('Inspections'!$E$4:$E$503,_calc!$E$331))=0,"",INDEX('Inspections'!$E$4:$E$503,_calc!$E$331)))=0,"","Unit: "&amp;IF(LEN(INDEX('Inspections'!$E$4:$E$503,_calc!$E$331))=0,"",INDEX('Inspections'!$E$4:$E$503,_calc!$E$331))&amp;". ")&amp;IF(LEN(IF(LEN(INDEX('Inspections'!$F$4:$F$503,_calc!$E$331))=0,"",INDEX('Inspections'!$F$4:$F$503,_calc!$E$331)))=0,"","Done by: "&amp;IF(LEN(INDEX('Inspections'!$F$4:$F$503,_calc!$E$331))=0,"",INDEX('Inspections'!$F$4:$F$503,_calc!$E$331))&amp;". ")&amp;IF(LEN(IF(LEN(INDEX('Inspections'!$M$4:$M$503,_calc!$E$331))=0,"",INDEX('Inspections'!$M$4:$M$503,_calc!$E$331)))=0,"","Source: "&amp;IF(LEN(INDEX('Inspections'!$M$4:$M$503,_calc!$E$331))=0,"",INDEX('Inspections'!$M$4:$M$503,_calc!$E$331))&amp;". ")&amp;IF(LEN(IF(LEN(INDEX('Inspections'!$N$4:$N$503,_calc!$E$331))=0,"",INDEX('Inspections'!$N$4:$N$503,_calc!$E$331)))=0,"","Owner: "&amp;IF(LEN(INDEX('Inspections'!$N$4:$N$503,_calc!$E$331))=0,"",INDEX('Inspections'!$N$4:$N$503,_calc!$E$331))&amp;". ")&amp;IF(LEN(IF(LEN(INDEX('Inspections'!$O$4:$O$503,_calc!$E$331))=0,"",INDEX('Inspections'!$O$4:$O$503,_calc!$E$331)))=0,"","Backup: "&amp;IF(LEN(INDEX('Inspections'!$O$4:$O$503,_calc!$E$331))=0,"",INDEX('Inspections'!$O$4:$O$503,_calc!$E$331))&amp;". ")&amp;IF(LEN(IF(LEN(INDEX('Inspections'!$R$4:$R$503,_calc!$E$331))=0,"",INDEX('Inspections'!$R$4:$R$503,_calc!$E$331)))=0,"",IF(LEN(INDEX('Inspections'!$R$4:$R$503,_calc!$E$331))=0,"",INDEX('Inspections'!$R$4:$R$503,_calc!$E$331)))))</f>
        <v/>
      </c>
      <c r="G329" s="55">
        <f>IF(_calc!$E$331="","",IF(LEN(INDEX('Inspections'!$Q$4:$Q$503,_calc!$E$331))=0,"",INDEX('Inspections'!$Q$4:$Q$503,_calc!$E$331)))</f>
        <v/>
      </c>
      <c r="K329" s="55">
        <f>IF(_calc!$E$331="","",IF(LEN(INDEX('Inspections'!$P$4:$P$503,_calc!$E$331))=0,"",INDEX('Inspections'!$P$4:$P$503,_calc!$E$331)))</f>
        <v/>
      </c>
    </row>
    <row r="330">
      <c r="A330" s="55">
        <f>IF(_calc!$E$332="","",IF(LEN(INDEX('Inspections'!$C$4:$C$503,_calc!$E$332))=0,"",INDEX('Inspections'!$C$4:$C$503,_calc!$E$332))&amp;" – "&amp;IF(LEN(INDEX('Inspections'!$A$4:$A$503,_calc!$E$332))=0,"",INDEX('Inspections'!$A$4:$A$503,_calc!$E$332)))</f>
        <v/>
      </c>
      <c r="B330" s="55">
        <f>IF(_calc!$E$332="","",IF(ISNUMBER(INDEX('Inspections'!$H$4:$H$503,_calc!$E$332)),TEXT(INDEX('Inspections'!$H$4:$H$503,_calc!$E$332),"yyyy-mm-dd"),""))</f>
        <v/>
      </c>
      <c r="C330" s="55">
        <f>IF(_calc!$E$332="","","Inspection")</f>
        <v/>
      </c>
      <c r="D330" s="55">
        <f>IF(_calc!$E$332="","",IF(ISNUMBER(INDEX('Inspections'!$G$4:$G$503,_calc!$E$332)),TEXT(INDEX('Inspections'!$G$4:$G$503,_calc!$E$332),"yyyy-mm-dd"),""))</f>
        <v/>
      </c>
      <c r="F330" s="55">
        <f>IF(_calc!$E$332="","",TRIM(IF(LEN(IF(LEN(INDEX('Inspections'!$B$4:$B$503,_calc!$E$332))=0,"",INDEX('Inspections'!$B$4:$B$503,_calc!$E$332)))=0,"","System: "&amp;IF(LEN(INDEX('Inspections'!$B$4:$B$503,_calc!$E$332))=0,"",INDEX('Inspections'!$B$4:$B$503,_calc!$E$332))&amp;". ")&amp;IF(LEN(IF(LEN(INDEX('Inspections'!$D$4:$D$503,_calc!$E$332))=0,"",INDEX('Inspections'!$D$4:$D$503,_calc!$E$332)))=0,"","Every: "&amp;IF(LEN(INDEX('Inspections'!$D$4:$D$503,_calc!$E$332))=0,"",INDEX('Inspections'!$D$4:$D$503,_calc!$E$332))&amp;". ")&amp;IF(LEN(IF(LEN(INDEX('Inspections'!$E$4:$E$503,_calc!$E$332))=0,"",INDEX('Inspections'!$E$4:$E$503,_calc!$E$332)))=0,"","Unit: "&amp;IF(LEN(INDEX('Inspections'!$E$4:$E$503,_calc!$E$332))=0,"",INDEX('Inspections'!$E$4:$E$503,_calc!$E$332))&amp;". ")&amp;IF(LEN(IF(LEN(INDEX('Inspections'!$F$4:$F$503,_calc!$E$332))=0,"",INDEX('Inspections'!$F$4:$F$503,_calc!$E$332)))=0,"","Done by: "&amp;IF(LEN(INDEX('Inspections'!$F$4:$F$503,_calc!$E$332))=0,"",INDEX('Inspections'!$F$4:$F$503,_calc!$E$332))&amp;". ")&amp;IF(LEN(IF(LEN(INDEX('Inspections'!$M$4:$M$503,_calc!$E$332))=0,"",INDEX('Inspections'!$M$4:$M$503,_calc!$E$332)))=0,"","Source: "&amp;IF(LEN(INDEX('Inspections'!$M$4:$M$503,_calc!$E$332))=0,"",INDEX('Inspections'!$M$4:$M$503,_calc!$E$332))&amp;". ")&amp;IF(LEN(IF(LEN(INDEX('Inspections'!$N$4:$N$503,_calc!$E$332))=0,"",INDEX('Inspections'!$N$4:$N$503,_calc!$E$332)))=0,"","Owner: "&amp;IF(LEN(INDEX('Inspections'!$N$4:$N$503,_calc!$E$332))=0,"",INDEX('Inspections'!$N$4:$N$503,_calc!$E$332))&amp;". ")&amp;IF(LEN(IF(LEN(INDEX('Inspections'!$O$4:$O$503,_calc!$E$332))=0,"",INDEX('Inspections'!$O$4:$O$503,_calc!$E$332)))=0,"","Backup: "&amp;IF(LEN(INDEX('Inspections'!$O$4:$O$503,_calc!$E$332))=0,"",INDEX('Inspections'!$O$4:$O$503,_calc!$E$332))&amp;". ")&amp;IF(LEN(IF(LEN(INDEX('Inspections'!$R$4:$R$503,_calc!$E$332))=0,"",INDEX('Inspections'!$R$4:$R$503,_calc!$E$332)))=0,"",IF(LEN(INDEX('Inspections'!$R$4:$R$503,_calc!$E$332))=0,"",INDEX('Inspections'!$R$4:$R$503,_calc!$E$332)))))</f>
        <v/>
      </c>
      <c r="G330" s="55">
        <f>IF(_calc!$E$332="","",IF(LEN(INDEX('Inspections'!$Q$4:$Q$503,_calc!$E$332))=0,"",INDEX('Inspections'!$Q$4:$Q$503,_calc!$E$332)))</f>
        <v/>
      </c>
      <c r="K330" s="55">
        <f>IF(_calc!$E$332="","",IF(LEN(INDEX('Inspections'!$P$4:$P$503,_calc!$E$332))=0,"",INDEX('Inspections'!$P$4:$P$503,_calc!$E$332)))</f>
        <v/>
      </c>
    </row>
    <row r="331">
      <c r="A331" s="55">
        <f>IF(_calc!$E$333="","",IF(LEN(INDEX('Inspections'!$C$4:$C$503,_calc!$E$333))=0,"",INDEX('Inspections'!$C$4:$C$503,_calc!$E$333))&amp;" – "&amp;IF(LEN(INDEX('Inspections'!$A$4:$A$503,_calc!$E$333))=0,"",INDEX('Inspections'!$A$4:$A$503,_calc!$E$333)))</f>
        <v/>
      </c>
      <c r="B331" s="55">
        <f>IF(_calc!$E$333="","",IF(ISNUMBER(INDEX('Inspections'!$H$4:$H$503,_calc!$E$333)),TEXT(INDEX('Inspections'!$H$4:$H$503,_calc!$E$333),"yyyy-mm-dd"),""))</f>
        <v/>
      </c>
      <c r="C331" s="55">
        <f>IF(_calc!$E$333="","","Inspection")</f>
        <v/>
      </c>
      <c r="D331" s="55">
        <f>IF(_calc!$E$333="","",IF(ISNUMBER(INDEX('Inspections'!$G$4:$G$503,_calc!$E$333)),TEXT(INDEX('Inspections'!$G$4:$G$503,_calc!$E$333),"yyyy-mm-dd"),""))</f>
        <v/>
      </c>
      <c r="F331" s="55">
        <f>IF(_calc!$E$333="","",TRIM(IF(LEN(IF(LEN(INDEX('Inspections'!$B$4:$B$503,_calc!$E$333))=0,"",INDEX('Inspections'!$B$4:$B$503,_calc!$E$333)))=0,"","System: "&amp;IF(LEN(INDEX('Inspections'!$B$4:$B$503,_calc!$E$333))=0,"",INDEX('Inspections'!$B$4:$B$503,_calc!$E$333))&amp;". ")&amp;IF(LEN(IF(LEN(INDEX('Inspections'!$D$4:$D$503,_calc!$E$333))=0,"",INDEX('Inspections'!$D$4:$D$503,_calc!$E$333)))=0,"","Every: "&amp;IF(LEN(INDEX('Inspections'!$D$4:$D$503,_calc!$E$333))=0,"",INDEX('Inspections'!$D$4:$D$503,_calc!$E$333))&amp;". ")&amp;IF(LEN(IF(LEN(INDEX('Inspections'!$E$4:$E$503,_calc!$E$333))=0,"",INDEX('Inspections'!$E$4:$E$503,_calc!$E$333)))=0,"","Unit: "&amp;IF(LEN(INDEX('Inspections'!$E$4:$E$503,_calc!$E$333))=0,"",INDEX('Inspections'!$E$4:$E$503,_calc!$E$333))&amp;". ")&amp;IF(LEN(IF(LEN(INDEX('Inspections'!$F$4:$F$503,_calc!$E$333))=0,"",INDEX('Inspections'!$F$4:$F$503,_calc!$E$333)))=0,"","Done by: "&amp;IF(LEN(INDEX('Inspections'!$F$4:$F$503,_calc!$E$333))=0,"",INDEX('Inspections'!$F$4:$F$503,_calc!$E$333))&amp;". ")&amp;IF(LEN(IF(LEN(INDEX('Inspections'!$M$4:$M$503,_calc!$E$333))=0,"",INDEX('Inspections'!$M$4:$M$503,_calc!$E$333)))=0,"","Source: "&amp;IF(LEN(INDEX('Inspections'!$M$4:$M$503,_calc!$E$333))=0,"",INDEX('Inspections'!$M$4:$M$503,_calc!$E$333))&amp;". ")&amp;IF(LEN(IF(LEN(INDEX('Inspections'!$N$4:$N$503,_calc!$E$333))=0,"",INDEX('Inspections'!$N$4:$N$503,_calc!$E$333)))=0,"","Owner: "&amp;IF(LEN(INDEX('Inspections'!$N$4:$N$503,_calc!$E$333))=0,"",INDEX('Inspections'!$N$4:$N$503,_calc!$E$333))&amp;". ")&amp;IF(LEN(IF(LEN(INDEX('Inspections'!$O$4:$O$503,_calc!$E$333))=0,"",INDEX('Inspections'!$O$4:$O$503,_calc!$E$333)))=0,"","Backup: "&amp;IF(LEN(INDEX('Inspections'!$O$4:$O$503,_calc!$E$333))=0,"",INDEX('Inspections'!$O$4:$O$503,_calc!$E$333))&amp;". ")&amp;IF(LEN(IF(LEN(INDEX('Inspections'!$R$4:$R$503,_calc!$E$333))=0,"",INDEX('Inspections'!$R$4:$R$503,_calc!$E$333)))=0,"",IF(LEN(INDEX('Inspections'!$R$4:$R$503,_calc!$E$333))=0,"",INDEX('Inspections'!$R$4:$R$503,_calc!$E$333)))))</f>
        <v/>
      </c>
      <c r="G331" s="55">
        <f>IF(_calc!$E$333="","",IF(LEN(INDEX('Inspections'!$Q$4:$Q$503,_calc!$E$333))=0,"",INDEX('Inspections'!$Q$4:$Q$503,_calc!$E$333)))</f>
        <v/>
      </c>
      <c r="K331" s="55">
        <f>IF(_calc!$E$333="","",IF(LEN(INDEX('Inspections'!$P$4:$P$503,_calc!$E$333))=0,"",INDEX('Inspections'!$P$4:$P$503,_calc!$E$333)))</f>
        <v/>
      </c>
    </row>
    <row r="332">
      <c r="A332" s="55">
        <f>IF(_calc!$E$334="","",IF(LEN(INDEX('Inspections'!$C$4:$C$503,_calc!$E$334))=0,"",INDEX('Inspections'!$C$4:$C$503,_calc!$E$334))&amp;" – "&amp;IF(LEN(INDEX('Inspections'!$A$4:$A$503,_calc!$E$334))=0,"",INDEX('Inspections'!$A$4:$A$503,_calc!$E$334)))</f>
        <v/>
      </c>
      <c r="B332" s="55">
        <f>IF(_calc!$E$334="","",IF(ISNUMBER(INDEX('Inspections'!$H$4:$H$503,_calc!$E$334)),TEXT(INDEX('Inspections'!$H$4:$H$503,_calc!$E$334),"yyyy-mm-dd"),""))</f>
        <v/>
      </c>
      <c r="C332" s="55">
        <f>IF(_calc!$E$334="","","Inspection")</f>
        <v/>
      </c>
      <c r="D332" s="55">
        <f>IF(_calc!$E$334="","",IF(ISNUMBER(INDEX('Inspections'!$G$4:$G$503,_calc!$E$334)),TEXT(INDEX('Inspections'!$G$4:$G$503,_calc!$E$334),"yyyy-mm-dd"),""))</f>
        <v/>
      </c>
      <c r="F332" s="55">
        <f>IF(_calc!$E$334="","",TRIM(IF(LEN(IF(LEN(INDEX('Inspections'!$B$4:$B$503,_calc!$E$334))=0,"",INDEX('Inspections'!$B$4:$B$503,_calc!$E$334)))=0,"","System: "&amp;IF(LEN(INDEX('Inspections'!$B$4:$B$503,_calc!$E$334))=0,"",INDEX('Inspections'!$B$4:$B$503,_calc!$E$334))&amp;". ")&amp;IF(LEN(IF(LEN(INDEX('Inspections'!$D$4:$D$503,_calc!$E$334))=0,"",INDEX('Inspections'!$D$4:$D$503,_calc!$E$334)))=0,"","Every: "&amp;IF(LEN(INDEX('Inspections'!$D$4:$D$503,_calc!$E$334))=0,"",INDEX('Inspections'!$D$4:$D$503,_calc!$E$334))&amp;". ")&amp;IF(LEN(IF(LEN(INDEX('Inspections'!$E$4:$E$503,_calc!$E$334))=0,"",INDEX('Inspections'!$E$4:$E$503,_calc!$E$334)))=0,"","Unit: "&amp;IF(LEN(INDEX('Inspections'!$E$4:$E$503,_calc!$E$334))=0,"",INDEX('Inspections'!$E$4:$E$503,_calc!$E$334))&amp;". ")&amp;IF(LEN(IF(LEN(INDEX('Inspections'!$F$4:$F$503,_calc!$E$334))=0,"",INDEX('Inspections'!$F$4:$F$503,_calc!$E$334)))=0,"","Done by: "&amp;IF(LEN(INDEX('Inspections'!$F$4:$F$503,_calc!$E$334))=0,"",INDEX('Inspections'!$F$4:$F$503,_calc!$E$334))&amp;". ")&amp;IF(LEN(IF(LEN(INDEX('Inspections'!$M$4:$M$503,_calc!$E$334))=0,"",INDEX('Inspections'!$M$4:$M$503,_calc!$E$334)))=0,"","Source: "&amp;IF(LEN(INDEX('Inspections'!$M$4:$M$503,_calc!$E$334))=0,"",INDEX('Inspections'!$M$4:$M$503,_calc!$E$334))&amp;". ")&amp;IF(LEN(IF(LEN(INDEX('Inspections'!$N$4:$N$503,_calc!$E$334))=0,"",INDEX('Inspections'!$N$4:$N$503,_calc!$E$334)))=0,"","Owner: "&amp;IF(LEN(INDEX('Inspections'!$N$4:$N$503,_calc!$E$334))=0,"",INDEX('Inspections'!$N$4:$N$503,_calc!$E$334))&amp;". ")&amp;IF(LEN(IF(LEN(INDEX('Inspections'!$O$4:$O$503,_calc!$E$334))=0,"",INDEX('Inspections'!$O$4:$O$503,_calc!$E$334)))=0,"","Backup: "&amp;IF(LEN(INDEX('Inspections'!$O$4:$O$503,_calc!$E$334))=0,"",INDEX('Inspections'!$O$4:$O$503,_calc!$E$334))&amp;". ")&amp;IF(LEN(IF(LEN(INDEX('Inspections'!$R$4:$R$503,_calc!$E$334))=0,"",INDEX('Inspections'!$R$4:$R$503,_calc!$E$334)))=0,"",IF(LEN(INDEX('Inspections'!$R$4:$R$503,_calc!$E$334))=0,"",INDEX('Inspections'!$R$4:$R$503,_calc!$E$334)))))</f>
        <v/>
      </c>
      <c r="G332" s="55">
        <f>IF(_calc!$E$334="","",IF(LEN(INDEX('Inspections'!$Q$4:$Q$503,_calc!$E$334))=0,"",INDEX('Inspections'!$Q$4:$Q$503,_calc!$E$334)))</f>
        <v/>
      </c>
      <c r="K332" s="55">
        <f>IF(_calc!$E$334="","",IF(LEN(INDEX('Inspections'!$P$4:$P$503,_calc!$E$334))=0,"",INDEX('Inspections'!$P$4:$P$503,_calc!$E$334)))</f>
        <v/>
      </c>
    </row>
    <row r="333">
      <c r="A333" s="55">
        <f>IF(_calc!$E$335="","",IF(LEN(INDEX('Inspections'!$C$4:$C$503,_calc!$E$335))=0,"",INDEX('Inspections'!$C$4:$C$503,_calc!$E$335))&amp;" – "&amp;IF(LEN(INDEX('Inspections'!$A$4:$A$503,_calc!$E$335))=0,"",INDEX('Inspections'!$A$4:$A$503,_calc!$E$335)))</f>
        <v/>
      </c>
      <c r="B333" s="55">
        <f>IF(_calc!$E$335="","",IF(ISNUMBER(INDEX('Inspections'!$H$4:$H$503,_calc!$E$335)),TEXT(INDEX('Inspections'!$H$4:$H$503,_calc!$E$335),"yyyy-mm-dd"),""))</f>
        <v/>
      </c>
      <c r="C333" s="55">
        <f>IF(_calc!$E$335="","","Inspection")</f>
        <v/>
      </c>
      <c r="D333" s="55">
        <f>IF(_calc!$E$335="","",IF(ISNUMBER(INDEX('Inspections'!$G$4:$G$503,_calc!$E$335)),TEXT(INDEX('Inspections'!$G$4:$G$503,_calc!$E$335),"yyyy-mm-dd"),""))</f>
        <v/>
      </c>
      <c r="F333" s="55">
        <f>IF(_calc!$E$335="","",TRIM(IF(LEN(IF(LEN(INDEX('Inspections'!$B$4:$B$503,_calc!$E$335))=0,"",INDEX('Inspections'!$B$4:$B$503,_calc!$E$335)))=0,"","System: "&amp;IF(LEN(INDEX('Inspections'!$B$4:$B$503,_calc!$E$335))=0,"",INDEX('Inspections'!$B$4:$B$503,_calc!$E$335))&amp;". ")&amp;IF(LEN(IF(LEN(INDEX('Inspections'!$D$4:$D$503,_calc!$E$335))=0,"",INDEX('Inspections'!$D$4:$D$503,_calc!$E$335)))=0,"","Every: "&amp;IF(LEN(INDEX('Inspections'!$D$4:$D$503,_calc!$E$335))=0,"",INDEX('Inspections'!$D$4:$D$503,_calc!$E$335))&amp;". ")&amp;IF(LEN(IF(LEN(INDEX('Inspections'!$E$4:$E$503,_calc!$E$335))=0,"",INDEX('Inspections'!$E$4:$E$503,_calc!$E$335)))=0,"","Unit: "&amp;IF(LEN(INDEX('Inspections'!$E$4:$E$503,_calc!$E$335))=0,"",INDEX('Inspections'!$E$4:$E$503,_calc!$E$335))&amp;". ")&amp;IF(LEN(IF(LEN(INDEX('Inspections'!$F$4:$F$503,_calc!$E$335))=0,"",INDEX('Inspections'!$F$4:$F$503,_calc!$E$335)))=0,"","Done by: "&amp;IF(LEN(INDEX('Inspections'!$F$4:$F$503,_calc!$E$335))=0,"",INDEX('Inspections'!$F$4:$F$503,_calc!$E$335))&amp;". ")&amp;IF(LEN(IF(LEN(INDEX('Inspections'!$M$4:$M$503,_calc!$E$335))=0,"",INDEX('Inspections'!$M$4:$M$503,_calc!$E$335)))=0,"","Source: "&amp;IF(LEN(INDEX('Inspections'!$M$4:$M$503,_calc!$E$335))=0,"",INDEX('Inspections'!$M$4:$M$503,_calc!$E$335))&amp;". ")&amp;IF(LEN(IF(LEN(INDEX('Inspections'!$N$4:$N$503,_calc!$E$335))=0,"",INDEX('Inspections'!$N$4:$N$503,_calc!$E$335)))=0,"","Owner: "&amp;IF(LEN(INDEX('Inspections'!$N$4:$N$503,_calc!$E$335))=0,"",INDEX('Inspections'!$N$4:$N$503,_calc!$E$335))&amp;". ")&amp;IF(LEN(IF(LEN(INDEX('Inspections'!$O$4:$O$503,_calc!$E$335))=0,"",INDEX('Inspections'!$O$4:$O$503,_calc!$E$335)))=0,"","Backup: "&amp;IF(LEN(INDEX('Inspections'!$O$4:$O$503,_calc!$E$335))=0,"",INDEX('Inspections'!$O$4:$O$503,_calc!$E$335))&amp;". ")&amp;IF(LEN(IF(LEN(INDEX('Inspections'!$R$4:$R$503,_calc!$E$335))=0,"",INDEX('Inspections'!$R$4:$R$503,_calc!$E$335)))=0,"",IF(LEN(INDEX('Inspections'!$R$4:$R$503,_calc!$E$335))=0,"",INDEX('Inspections'!$R$4:$R$503,_calc!$E$335)))))</f>
        <v/>
      </c>
      <c r="G333" s="55">
        <f>IF(_calc!$E$335="","",IF(LEN(INDEX('Inspections'!$Q$4:$Q$503,_calc!$E$335))=0,"",INDEX('Inspections'!$Q$4:$Q$503,_calc!$E$335)))</f>
        <v/>
      </c>
      <c r="K333" s="55">
        <f>IF(_calc!$E$335="","",IF(LEN(INDEX('Inspections'!$P$4:$P$503,_calc!$E$335))=0,"",INDEX('Inspections'!$P$4:$P$503,_calc!$E$335)))</f>
        <v/>
      </c>
    </row>
    <row r="334">
      <c r="A334" s="55">
        <f>IF(_calc!$E$336="","",IF(LEN(INDEX('Inspections'!$C$4:$C$503,_calc!$E$336))=0,"",INDEX('Inspections'!$C$4:$C$503,_calc!$E$336))&amp;" – "&amp;IF(LEN(INDEX('Inspections'!$A$4:$A$503,_calc!$E$336))=0,"",INDEX('Inspections'!$A$4:$A$503,_calc!$E$336)))</f>
        <v/>
      </c>
      <c r="B334" s="55">
        <f>IF(_calc!$E$336="","",IF(ISNUMBER(INDEX('Inspections'!$H$4:$H$503,_calc!$E$336)),TEXT(INDEX('Inspections'!$H$4:$H$503,_calc!$E$336),"yyyy-mm-dd"),""))</f>
        <v/>
      </c>
      <c r="C334" s="55">
        <f>IF(_calc!$E$336="","","Inspection")</f>
        <v/>
      </c>
      <c r="D334" s="55">
        <f>IF(_calc!$E$336="","",IF(ISNUMBER(INDEX('Inspections'!$G$4:$G$503,_calc!$E$336)),TEXT(INDEX('Inspections'!$G$4:$G$503,_calc!$E$336),"yyyy-mm-dd"),""))</f>
        <v/>
      </c>
      <c r="F334" s="55">
        <f>IF(_calc!$E$336="","",TRIM(IF(LEN(IF(LEN(INDEX('Inspections'!$B$4:$B$503,_calc!$E$336))=0,"",INDEX('Inspections'!$B$4:$B$503,_calc!$E$336)))=0,"","System: "&amp;IF(LEN(INDEX('Inspections'!$B$4:$B$503,_calc!$E$336))=0,"",INDEX('Inspections'!$B$4:$B$503,_calc!$E$336))&amp;". ")&amp;IF(LEN(IF(LEN(INDEX('Inspections'!$D$4:$D$503,_calc!$E$336))=0,"",INDEX('Inspections'!$D$4:$D$503,_calc!$E$336)))=0,"","Every: "&amp;IF(LEN(INDEX('Inspections'!$D$4:$D$503,_calc!$E$336))=0,"",INDEX('Inspections'!$D$4:$D$503,_calc!$E$336))&amp;". ")&amp;IF(LEN(IF(LEN(INDEX('Inspections'!$E$4:$E$503,_calc!$E$336))=0,"",INDEX('Inspections'!$E$4:$E$503,_calc!$E$336)))=0,"","Unit: "&amp;IF(LEN(INDEX('Inspections'!$E$4:$E$503,_calc!$E$336))=0,"",INDEX('Inspections'!$E$4:$E$503,_calc!$E$336))&amp;". ")&amp;IF(LEN(IF(LEN(INDEX('Inspections'!$F$4:$F$503,_calc!$E$336))=0,"",INDEX('Inspections'!$F$4:$F$503,_calc!$E$336)))=0,"","Done by: "&amp;IF(LEN(INDEX('Inspections'!$F$4:$F$503,_calc!$E$336))=0,"",INDEX('Inspections'!$F$4:$F$503,_calc!$E$336))&amp;". ")&amp;IF(LEN(IF(LEN(INDEX('Inspections'!$M$4:$M$503,_calc!$E$336))=0,"",INDEX('Inspections'!$M$4:$M$503,_calc!$E$336)))=0,"","Source: "&amp;IF(LEN(INDEX('Inspections'!$M$4:$M$503,_calc!$E$336))=0,"",INDEX('Inspections'!$M$4:$M$503,_calc!$E$336))&amp;". ")&amp;IF(LEN(IF(LEN(INDEX('Inspections'!$N$4:$N$503,_calc!$E$336))=0,"",INDEX('Inspections'!$N$4:$N$503,_calc!$E$336)))=0,"","Owner: "&amp;IF(LEN(INDEX('Inspections'!$N$4:$N$503,_calc!$E$336))=0,"",INDEX('Inspections'!$N$4:$N$503,_calc!$E$336))&amp;". ")&amp;IF(LEN(IF(LEN(INDEX('Inspections'!$O$4:$O$503,_calc!$E$336))=0,"",INDEX('Inspections'!$O$4:$O$503,_calc!$E$336)))=0,"","Backup: "&amp;IF(LEN(INDEX('Inspections'!$O$4:$O$503,_calc!$E$336))=0,"",INDEX('Inspections'!$O$4:$O$503,_calc!$E$336))&amp;". ")&amp;IF(LEN(IF(LEN(INDEX('Inspections'!$R$4:$R$503,_calc!$E$336))=0,"",INDEX('Inspections'!$R$4:$R$503,_calc!$E$336)))=0,"",IF(LEN(INDEX('Inspections'!$R$4:$R$503,_calc!$E$336))=0,"",INDEX('Inspections'!$R$4:$R$503,_calc!$E$336)))))</f>
        <v/>
      </c>
      <c r="G334" s="55">
        <f>IF(_calc!$E$336="","",IF(LEN(INDEX('Inspections'!$Q$4:$Q$503,_calc!$E$336))=0,"",INDEX('Inspections'!$Q$4:$Q$503,_calc!$E$336)))</f>
        <v/>
      </c>
      <c r="K334" s="55">
        <f>IF(_calc!$E$336="","",IF(LEN(INDEX('Inspections'!$P$4:$P$503,_calc!$E$336))=0,"",INDEX('Inspections'!$P$4:$P$503,_calc!$E$336)))</f>
        <v/>
      </c>
    </row>
    <row r="335">
      <c r="A335" s="55">
        <f>IF(_calc!$E$337="","",IF(LEN(INDEX('Inspections'!$C$4:$C$503,_calc!$E$337))=0,"",INDEX('Inspections'!$C$4:$C$503,_calc!$E$337))&amp;" – "&amp;IF(LEN(INDEX('Inspections'!$A$4:$A$503,_calc!$E$337))=0,"",INDEX('Inspections'!$A$4:$A$503,_calc!$E$337)))</f>
        <v/>
      </c>
      <c r="B335" s="55">
        <f>IF(_calc!$E$337="","",IF(ISNUMBER(INDEX('Inspections'!$H$4:$H$503,_calc!$E$337)),TEXT(INDEX('Inspections'!$H$4:$H$503,_calc!$E$337),"yyyy-mm-dd"),""))</f>
        <v/>
      </c>
      <c r="C335" s="55">
        <f>IF(_calc!$E$337="","","Inspection")</f>
        <v/>
      </c>
      <c r="D335" s="55">
        <f>IF(_calc!$E$337="","",IF(ISNUMBER(INDEX('Inspections'!$G$4:$G$503,_calc!$E$337)),TEXT(INDEX('Inspections'!$G$4:$G$503,_calc!$E$337),"yyyy-mm-dd"),""))</f>
        <v/>
      </c>
      <c r="F335" s="55">
        <f>IF(_calc!$E$337="","",TRIM(IF(LEN(IF(LEN(INDEX('Inspections'!$B$4:$B$503,_calc!$E$337))=0,"",INDEX('Inspections'!$B$4:$B$503,_calc!$E$337)))=0,"","System: "&amp;IF(LEN(INDEX('Inspections'!$B$4:$B$503,_calc!$E$337))=0,"",INDEX('Inspections'!$B$4:$B$503,_calc!$E$337))&amp;". ")&amp;IF(LEN(IF(LEN(INDEX('Inspections'!$D$4:$D$503,_calc!$E$337))=0,"",INDEX('Inspections'!$D$4:$D$503,_calc!$E$337)))=0,"","Every: "&amp;IF(LEN(INDEX('Inspections'!$D$4:$D$503,_calc!$E$337))=0,"",INDEX('Inspections'!$D$4:$D$503,_calc!$E$337))&amp;". ")&amp;IF(LEN(IF(LEN(INDEX('Inspections'!$E$4:$E$503,_calc!$E$337))=0,"",INDEX('Inspections'!$E$4:$E$503,_calc!$E$337)))=0,"","Unit: "&amp;IF(LEN(INDEX('Inspections'!$E$4:$E$503,_calc!$E$337))=0,"",INDEX('Inspections'!$E$4:$E$503,_calc!$E$337))&amp;". ")&amp;IF(LEN(IF(LEN(INDEX('Inspections'!$F$4:$F$503,_calc!$E$337))=0,"",INDEX('Inspections'!$F$4:$F$503,_calc!$E$337)))=0,"","Done by: "&amp;IF(LEN(INDEX('Inspections'!$F$4:$F$503,_calc!$E$337))=0,"",INDEX('Inspections'!$F$4:$F$503,_calc!$E$337))&amp;". ")&amp;IF(LEN(IF(LEN(INDEX('Inspections'!$M$4:$M$503,_calc!$E$337))=0,"",INDEX('Inspections'!$M$4:$M$503,_calc!$E$337)))=0,"","Source: "&amp;IF(LEN(INDEX('Inspections'!$M$4:$M$503,_calc!$E$337))=0,"",INDEX('Inspections'!$M$4:$M$503,_calc!$E$337))&amp;". ")&amp;IF(LEN(IF(LEN(INDEX('Inspections'!$N$4:$N$503,_calc!$E$337))=0,"",INDEX('Inspections'!$N$4:$N$503,_calc!$E$337)))=0,"","Owner: "&amp;IF(LEN(INDEX('Inspections'!$N$4:$N$503,_calc!$E$337))=0,"",INDEX('Inspections'!$N$4:$N$503,_calc!$E$337))&amp;". ")&amp;IF(LEN(IF(LEN(INDEX('Inspections'!$O$4:$O$503,_calc!$E$337))=0,"",INDEX('Inspections'!$O$4:$O$503,_calc!$E$337)))=0,"","Backup: "&amp;IF(LEN(INDEX('Inspections'!$O$4:$O$503,_calc!$E$337))=0,"",INDEX('Inspections'!$O$4:$O$503,_calc!$E$337))&amp;". ")&amp;IF(LEN(IF(LEN(INDEX('Inspections'!$R$4:$R$503,_calc!$E$337))=0,"",INDEX('Inspections'!$R$4:$R$503,_calc!$E$337)))=0,"",IF(LEN(INDEX('Inspections'!$R$4:$R$503,_calc!$E$337))=0,"",INDEX('Inspections'!$R$4:$R$503,_calc!$E$337)))))</f>
        <v/>
      </c>
      <c r="G335" s="55">
        <f>IF(_calc!$E$337="","",IF(LEN(INDEX('Inspections'!$Q$4:$Q$503,_calc!$E$337))=0,"",INDEX('Inspections'!$Q$4:$Q$503,_calc!$E$337)))</f>
        <v/>
      </c>
      <c r="K335" s="55">
        <f>IF(_calc!$E$337="","",IF(LEN(INDEX('Inspections'!$P$4:$P$503,_calc!$E$337))=0,"",INDEX('Inspections'!$P$4:$P$503,_calc!$E$337)))</f>
        <v/>
      </c>
    </row>
    <row r="336">
      <c r="A336" s="55">
        <f>IF(_calc!$E$338="","",IF(LEN(INDEX('Inspections'!$C$4:$C$503,_calc!$E$338))=0,"",INDEX('Inspections'!$C$4:$C$503,_calc!$E$338))&amp;" – "&amp;IF(LEN(INDEX('Inspections'!$A$4:$A$503,_calc!$E$338))=0,"",INDEX('Inspections'!$A$4:$A$503,_calc!$E$338)))</f>
        <v/>
      </c>
      <c r="B336" s="55">
        <f>IF(_calc!$E$338="","",IF(ISNUMBER(INDEX('Inspections'!$H$4:$H$503,_calc!$E$338)),TEXT(INDEX('Inspections'!$H$4:$H$503,_calc!$E$338),"yyyy-mm-dd"),""))</f>
        <v/>
      </c>
      <c r="C336" s="55">
        <f>IF(_calc!$E$338="","","Inspection")</f>
        <v/>
      </c>
      <c r="D336" s="55">
        <f>IF(_calc!$E$338="","",IF(ISNUMBER(INDEX('Inspections'!$G$4:$G$503,_calc!$E$338)),TEXT(INDEX('Inspections'!$G$4:$G$503,_calc!$E$338),"yyyy-mm-dd"),""))</f>
        <v/>
      </c>
      <c r="F336" s="55">
        <f>IF(_calc!$E$338="","",TRIM(IF(LEN(IF(LEN(INDEX('Inspections'!$B$4:$B$503,_calc!$E$338))=0,"",INDEX('Inspections'!$B$4:$B$503,_calc!$E$338)))=0,"","System: "&amp;IF(LEN(INDEX('Inspections'!$B$4:$B$503,_calc!$E$338))=0,"",INDEX('Inspections'!$B$4:$B$503,_calc!$E$338))&amp;". ")&amp;IF(LEN(IF(LEN(INDEX('Inspections'!$D$4:$D$503,_calc!$E$338))=0,"",INDEX('Inspections'!$D$4:$D$503,_calc!$E$338)))=0,"","Every: "&amp;IF(LEN(INDEX('Inspections'!$D$4:$D$503,_calc!$E$338))=0,"",INDEX('Inspections'!$D$4:$D$503,_calc!$E$338))&amp;". ")&amp;IF(LEN(IF(LEN(INDEX('Inspections'!$E$4:$E$503,_calc!$E$338))=0,"",INDEX('Inspections'!$E$4:$E$503,_calc!$E$338)))=0,"","Unit: "&amp;IF(LEN(INDEX('Inspections'!$E$4:$E$503,_calc!$E$338))=0,"",INDEX('Inspections'!$E$4:$E$503,_calc!$E$338))&amp;". ")&amp;IF(LEN(IF(LEN(INDEX('Inspections'!$F$4:$F$503,_calc!$E$338))=0,"",INDEX('Inspections'!$F$4:$F$503,_calc!$E$338)))=0,"","Done by: "&amp;IF(LEN(INDEX('Inspections'!$F$4:$F$503,_calc!$E$338))=0,"",INDEX('Inspections'!$F$4:$F$503,_calc!$E$338))&amp;". ")&amp;IF(LEN(IF(LEN(INDEX('Inspections'!$M$4:$M$503,_calc!$E$338))=0,"",INDEX('Inspections'!$M$4:$M$503,_calc!$E$338)))=0,"","Source: "&amp;IF(LEN(INDEX('Inspections'!$M$4:$M$503,_calc!$E$338))=0,"",INDEX('Inspections'!$M$4:$M$503,_calc!$E$338))&amp;". ")&amp;IF(LEN(IF(LEN(INDEX('Inspections'!$N$4:$N$503,_calc!$E$338))=0,"",INDEX('Inspections'!$N$4:$N$503,_calc!$E$338)))=0,"","Owner: "&amp;IF(LEN(INDEX('Inspections'!$N$4:$N$503,_calc!$E$338))=0,"",INDEX('Inspections'!$N$4:$N$503,_calc!$E$338))&amp;". ")&amp;IF(LEN(IF(LEN(INDEX('Inspections'!$O$4:$O$503,_calc!$E$338))=0,"",INDEX('Inspections'!$O$4:$O$503,_calc!$E$338)))=0,"","Backup: "&amp;IF(LEN(INDEX('Inspections'!$O$4:$O$503,_calc!$E$338))=0,"",INDEX('Inspections'!$O$4:$O$503,_calc!$E$338))&amp;". ")&amp;IF(LEN(IF(LEN(INDEX('Inspections'!$R$4:$R$503,_calc!$E$338))=0,"",INDEX('Inspections'!$R$4:$R$503,_calc!$E$338)))=0,"",IF(LEN(INDEX('Inspections'!$R$4:$R$503,_calc!$E$338))=0,"",INDEX('Inspections'!$R$4:$R$503,_calc!$E$338)))))</f>
        <v/>
      </c>
      <c r="G336" s="55">
        <f>IF(_calc!$E$338="","",IF(LEN(INDEX('Inspections'!$Q$4:$Q$503,_calc!$E$338))=0,"",INDEX('Inspections'!$Q$4:$Q$503,_calc!$E$338)))</f>
        <v/>
      </c>
      <c r="K336" s="55">
        <f>IF(_calc!$E$338="","",IF(LEN(INDEX('Inspections'!$P$4:$P$503,_calc!$E$338))=0,"",INDEX('Inspections'!$P$4:$P$503,_calc!$E$338)))</f>
        <v/>
      </c>
    </row>
    <row r="337">
      <c r="A337" s="55">
        <f>IF(_calc!$E$339="","",IF(LEN(INDEX('Inspections'!$C$4:$C$503,_calc!$E$339))=0,"",INDEX('Inspections'!$C$4:$C$503,_calc!$E$339))&amp;" – "&amp;IF(LEN(INDEX('Inspections'!$A$4:$A$503,_calc!$E$339))=0,"",INDEX('Inspections'!$A$4:$A$503,_calc!$E$339)))</f>
        <v/>
      </c>
      <c r="B337" s="55">
        <f>IF(_calc!$E$339="","",IF(ISNUMBER(INDEX('Inspections'!$H$4:$H$503,_calc!$E$339)),TEXT(INDEX('Inspections'!$H$4:$H$503,_calc!$E$339),"yyyy-mm-dd"),""))</f>
        <v/>
      </c>
      <c r="C337" s="55">
        <f>IF(_calc!$E$339="","","Inspection")</f>
        <v/>
      </c>
      <c r="D337" s="55">
        <f>IF(_calc!$E$339="","",IF(ISNUMBER(INDEX('Inspections'!$G$4:$G$503,_calc!$E$339)),TEXT(INDEX('Inspections'!$G$4:$G$503,_calc!$E$339),"yyyy-mm-dd"),""))</f>
        <v/>
      </c>
      <c r="F337" s="55">
        <f>IF(_calc!$E$339="","",TRIM(IF(LEN(IF(LEN(INDEX('Inspections'!$B$4:$B$503,_calc!$E$339))=0,"",INDEX('Inspections'!$B$4:$B$503,_calc!$E$339)))=0,"","System: "&amp;IF(LEN(INDEX('Inspections'!$B$4:$B$503,_calc!$E$339))=0,"",INDEX('Inspections'!$B$4:$B$503,_calc!$E$339))&amp;". ")&amp;IF(LEN(IF(LEN(INDEX('Inspections'!$D$4:$D$503,_calc!$E$339))=0,"",INDEX('Inspections'!$D$4:$D$503,_calc!$E$339)))=0,"","Every: "&amp;IF(LEN(INDEX('Inspections'!$D$4:$D$503,_calc!$E$339))=0,"",INDEX('Inspections'!$D$4:$D$503,_calc!$E$339))&amp;". ")&amp;IF(LEN(IF(LEN(INDEX('Inspections'!$E$4:$E$503,_calc!$E$339))=0,"",INDEX('Inspections'!$E$4:$E$503,_calc!$E$339)))=0,"","Unit: "&amp;IF(LEN(INDEX('Inspections'!$E$4:$E$503,_calc!$E$339))=0,"",INDEX('Inspections'!$E$4:$E$503,_calc!$E$339))&amp;". ")&amp;IF(LEN(IF(LEN(INDEX('Inspections'!$F$4:$F$503,_calc!$E$339))=0,"",INDEX('Inspections'!$F$4:$F$503,_calc!$E$339)))=0,"","Done by: "&amp;IF(LEN(INDEX('Inspections'!$F$4:$F$503,_calc!$E$339))=0,"",INDEX('Inspections'!$F$4:$F$503,_calc!$E$339))&amp;". ")&amp;IF(LEN(IF(LEN(INDEX('Inspections'!$M$4:$M$503,_calc!$E$339))=0,"",INDEX('Inspections'!$M$4:$M$503,_calc!$E$339)))=0,"","Source: "&amp;IF(LEN(INDEX('Inspections'!$M$4:$M$503,_calc!$E$339))=0,"",INDEX('Inspections'!$M$4:$M$503,_calc!$E$339))&amp;". ")&amp;IF(LEN(IF(LEN(INDEX('Inspections'!$N$4:$N$503,_calc!$E$339))=0,"",INDEX('Inspections'!$N$4:$N$503,_calc!$E$339)))=0,"","Owner: "&amp;IF(LEN(INDEX('Inspections'!$N$4:$N$503,_calc!$E$339))=0,"",INDEX('Inspections'!$N$4:$N$503,_calc!$E$339))&amp;". ")&amp;IF(LEN(IF(LEN(INDEX('Inspections'!$O$4:$O$503,_calc!$E$339))=0,"",INDEX('Inspections'!$O$4:$O$503,_calc!$E$339)))=0,"","Backup: "&amp;IF(LEN(INDEX('Inspections'!$O$4:$O$503,_calc!$E$339))=0,"",INDEX('Inspections'!$O$4:$O$503,_calc!$E$339))&amp;". ")&amp;IF(LEN(IF(LEN(INDEX('Inspections'!$R$4:$R$503,_calc!$E$339))=0,"",INDEX('Inspections'!$R$4:$R$503,_calc!$E$339)))=0,"",IF(LEN(INDEX('Inspections'!$R$4:$R$503,_calc!$E$339))=0,"",INDEX('Inspections'!$R$4:$R$503,_calc!$E$339)))))</f>
        <v/>
      </c>
      <c r="G337" s="55">
        <f>IF(_calc!$E$339="","",IF(LEN(INDEX('Inspections'!$Q$4:$Q$503,_calc!$E$339))=0,"",INDEX('Inspections'!$Q$4:$Q$503,_calc!$E$339)))</f>
        <v/>
      </c>
      <c r="K337" s="55">
        <f>IF(_calc!$E$339="","",IF(LEN(INDEX('Inspections'!$P$4:$P$503,_calc!$E$339))=0,"",INDEX('Inspections'!$P$4:$P$503,_calc!$E$339)))</f>
        <v/>
      </c>
    </row>
    <row r="338">
      <c r="A338" s="55">
        <f>IF(_calc!$E$340="","",IF(LEN(INDEX('Inspections'!$C$4:$C$503,_calc!$E$340))=0,"",INDEX('Inspections'!$C$4:$C$503,_calc!$E$340))&amp;" – "&amp;IF(LEN(INDEX('Inspections'!$A$4:$A$503,_calc!$E$340))=0,"",INDEX('Inspections'!$A$4:$A$503,_calc!$E$340)))</f>
        <v/>
      </c>
      <c r="B338" s="55">
        <f>IF(_calc!$E$340="","",IF(ISNUMBER(INDEX('Inspections'!$H$4:$H$503,_calc!$E$340)),TEXT(INDEX('Inspections'!$H$4:$H$503,_calc!$E$340),"yyyy-mm-dd"),""))</f>
        <v/>
      </c>
      <c r="C338" s="55">
        <f>IF(_calc!$E$340="","","Inspection")</f>
        <v/>
      </c>
      <c r="D338" s="55">
        <f>IF(_calc!$E$340="","",IF(ISNUMBER(INDEX('Inspections'!$G$4:$G$503,_calc!$E$340)),TEXT(INDEX('Inspections'!$G$4:$G$503,_calc!$E$340),"yyyy-mm-dd"),""))</f>
        <v/>
      </c>
      <c r="F338" s="55">
        <f>IF(_calc!$E$340="","",TRIM(IF(LEN(IF(LEN(INDEX('Inspections'!$B$4:$B$503,_calc!$E$340))=0,"",INDEX('Inspections'!$B$4:$B$503,_calc!$E$340)))=0,"","System: "&amp;IF(LEN(INDEX('Inspections'!$B$4:$B$503,_calc!$E$340))=0,"",INDEX('Inspections'!$B$4:$B$503,_calc!$E$340))&amp;". ")&amp;IF(LEN(IF(LEN(INDEX('Inspections'!$D$4:$D$503,_calc!$E$340))=0,"",INDEX('Inspections'!$D$4:$D$503,_calc!$E$340)))=0,"","Every: "&amp;IF(LEN(INDEX('Inspections'!$D$4:$D$503,_calc!$E$340))=0,"",INDEX('Inspections'!$D$4:$D$503,_calc!$E$340))&amp;". ")&amp;IF(LEN(IF(LEN(INDEX('Inspections'!$E$4:$E$503,_calc!$E$340))=0,"",INDEX('Inspections'!$E$4:$E$503,_calc!$E$340)))=0,"","Unit: "&amp;IF(LEN(INDEX('Inspections'!$E$4:$E$503,_calc!$E$340))=0,"",INDEX('Inspections'!$E$4:$E$503,_calc!$E$340))&amp;". ")&amp;IF(LEN(IF(LEN(INDEX('Inspections'!$F$4:$F$503,_calc!$E$340))=0,"",INDEX('Inspections'!$F$4:$F$503,_calc!$E$340)))=0,"","Done by: "&amp;IF(LEN(INDEX('Inspections'!$F$4:$F$503,_calc!$E$340))=0,"",INDEX('Inspections'!$F$4:$F$503,_calc!$E$340))&amp;". ")&amp;IF(LEN(IF(LEN(INDEX('Inspections'!$M$4:$M$503,_calc!$E$340))=0,"",INDEX('Inspections'!$M$4:$M$503,_calc!$E$340)))=0,"","Source: "&amp;IF(LEN(INDEX('Inspections'!$M$4:$M$503,_calc!$E$340))=0,"",INDEX('Inspections'!$M$4:$M$503,_calc!$E$340))&amp;". ")&amp;IF(LEN(IF(LEN(INDEX('Inspections'!$N$4:$N$503,_calc!$E$340))=0,"",INDEX('Inspections'!$N$4:$N$503,_calc!$E$340)))=0,"","Owner: "&amp;IF(LEN(INDEX('Inspections'!$N$4:$N$503,_calc!$E$340))=0,"",INDEX('Inspections'!$N$4:$N$503,_calc!$E$340))&amp;". ")&amp;IF(LEN(IF(LEN(INDEX('Inspections'!$O$4:$O$503,_calc!$E$340))=0,"",INDEX('Inspections'!$O$4:$O$503,_calc!$E$340)))=0,"","Backup: "&amp;IF(LEN(INDEX('Inspections'!$O$4:$O$503,_calc!$E$340))=0,"",INDEX('Inspections'!$O$4:$O$503,_calc!$E$340))&amp;". ")&amp;IF(LEN(IF(LEN(INDEX('Inspections'!$R$4:$R$503,_calc!$E$340))=0,"",INDEX('Inspections'!$R$4:$R$503,_calc!$E$340)))=0,"",IF(LEN(INDEX('Inspections'!$R$4:$R$503,_calc!$E$340))=0,"",INDEX('Inspections'!$R$4:$R$503,_calc!$E$340)))))</f>
        <v/>
      </c>
      <c r="G338" s="55">
        <f>IF(_calc!$E$340="","",IF(LEN(INDEX('Inspections'!$Q$4:$Q$503,_calc!$E$340))=0,"",INDEX('Inspections'!$Q$4:$Q$503,_calc!$E$340)))</f>
        <v/>
      </c>
      <c r="K338" s="55">
        <f>IF(_calc!$E$340="","",IF(LEN(INDEX('Inspections'!$P$4:$P$503,_calc!$E$340))=0,"",INDEX('Inspections'!$P$4:$P$503,_calc!$E$340)))</f>
        <v/>
      </c>
    </row>
    <row r="339">
      <c r="A339" s="55">
        <f>IF(_calc!$E$341="","",IF(LEN(INDEX('Inspections'!$C$4:$C$503,_calc!$E$341))=0,"",INDEX('Inspections'!$C$4:$C$503,_calc!$E$341))&amp;" – "&amp;IF(LEN(INDEX('Inspections'!$A$4:$A$503,_calc!$E$341))=0,"",INDEX('Inspections'!$A$4:$A$503,_calc!$E$341)))</f>
        <v/>
      </c>
      <c r="B339" s="55">
        <f>IF(_calc!$E$341="","",IF(ISNUMBER(INDEX('Inspections'!$H$4:$H$503,_calc!$E$341)),TEXT(INDEX('Inspections'!$H$4:$H$503,_calc!$E$341),"yyyy-mm-dd"),""))</f>
        <v/>
      </c>
      <c r="C339" s="55">
        <f>IF(_calc!$E$341="","","Inspection")</f>
        <v/>
      </c>
      <c r="D339" s="55">
        <f>IF(_calc!$E$341="","",IF(ISNUMBER(INDEX('Inspections'!$G$4:$G$503,_calc!$E$341)),TEXT(INDEX('Inspections'!$G$4:$G$503,_calc!$E$341),"yyyy-mm-dd"),""))</f>
        <v/>
      </c>
      <c r="F339" s="55">
        <f>IF(_calc!$E$341="","",TRIM(IF(LEN(IF(LEN(INDEX('Inspections'!$B$4:$B$503,_calc!$E$341))=0,"",INDEX('Inspections'!$B$4:$B$503,_calc!$E$341)))=0,"","System: "&amp;IF(LEN(INDEX('Inspections'!$B$4:$B$503,_calc!$E$341))=0,"",INDEX('Inspections'!$B$4:$B$503,_calc!$E$341))&amp;". ")&amp;IF(LEN(IF(LEN(INDEX('Inspections'!$D$4:$D$503,_calc!$E$341))=0,"",INDEX('Inspections'!$D$4:$D$503,_calc!$E$341)))=0,"","Every: "&amp;IF(LEN(INDEX('Inspections'!$D$4:$D$503,_calc!$E$341))=0,"",INDEX('Inspections'!$D$4:$D$503,_calc!$E$341))&amp;". ")&amp;IF(LEN(IF(LEN(INDEX('Inspections'!$E$4:$E$503,_calc!$E$341))=0,"",INDEX('Inspections'!$E$4:$E$503,_calc!$E$341)))=0,"","Unit: "&amp;IF(LEN(INDEX('Inspections'!$E$4:$E$503,_calc!$E$341))=0,"",INDEX('Inspections'!$E$4:$E$503,_calc!$E$341))&amp;". ")&amp;IF(LEN(IF(LEN(INDEX('Inspections'!$F$4:$F$503,_calc!$E$341))=0,"",INDEX('Inspections'!$F$4:$F$503,_calc!$E$341)))=0,"","Done by: "&amp;IF(LEN(INDEX('Inspections'!$F$4:$F$503,_calc!$E$341))=0,"",INDEX('Inspections'!$F$4:$F$503,_calc!$E$341))&amp;". ")&amp;IF(LEN(IF(LEN(INDEX('Inspections'!$M$4:$M$503,_calc!$E$341))=0,"",INDEX('Inspections'!$M$4:$M$503,_calc!$E$341)))=0,"","Source: "&amp;IF(LEN(INDEX('Inspections'!$M$4:$M$503,_calc!$E$341))=0,"",INDEX('Inspections'!$M$4:$M$503,_calc!$E$341))&amp;". ")&amp;IF(LEN(IF(LEN(INDEX('Inspections'!$N$4:$N$503,_calc!$E$341))=0,"",INDEX('Inspections'!$N$4:$N$503,_calc!$E$341)))=0,"","Owner: "&amp;IF(LEN(INDEX('Inspections'!$N$4:$N$503,_calc!$E$341))=0,"",INDEX('Inspections'!$N$4:$N$503,_calc!$E$341))&amp;". ")&amp;IF(LEN(IF(LEN(INDEX('Inspections'!$O$4:$O$503,_calc!$E$341))=0,"",INDEX('Inspections'!$O$4:$O$503,_calc!$E$341)))=0,"","Backup: "&amp;IF(LEN(INDEX('Inspections'!$O$4:$O$503,_calc!$E$341))=0,"",INDEX('Inspections'!$O$4:$O$503,_calc!$E$341))&amp;". ")&amp;IF(LEN(IF(LEN(INDEX('Inspections'!$R$4:$R$503,_calc!$E$341))=0,"",INDEX('Inspections'!$R$4:$R$503,_calc!$E$341)))=0,"",IF(LEN(INDEX('Inspections'!$R$4:$R$503,_calc!$E$341))=0,"",INDEX('Inspections'!$R$4:$R$503,_calc!$E$341)))))</f>
        <v/>
      </c>
      <c r="G339" s="55">
        <f>IF(_calc!$E$341="","",IF(LEN(INDEX('Inspections'!$Q$4:$Q$503,_calc!$E$341))=0,"",INDEX('Inspections'!$Q$4:$Q$503,_calc!$E$341)))</f>
        <v/>
      </c>
      <c r="K339" s="55">
        <f>IF(_calc!$E$341="","",IF(LEN(INDEX('Inspections'!$P$4:$P$503,_calc!$E$341))=0,"",INDEX('Inspections'!$P$4:$P$503,_calc!$E$341)))</f>
        <v/>
      </c>
    </row>
    <row r="340">
      <c r="A340" s="55">
        <f>IF(_calc!$E$342="","",IF(LEN(INDEX('Inspections'!$C$4:$C$503,_calc!$E$342))=0,"",INDEX('Inspections'!$C$4:$C$503,_calc!$E$342))&amp;" – "&amp;IF(LEN(INDEX('Inspections'!$A$4:$A$503,_calc!$E$342))=0,"",INDEX('Inspections'!$A$4:$A$503,_calc!$E$342)))</f>
        <v/>
      </c>
      <c r="B340" s="55">
        <f>IF(_calc!$E$342="","",IF(ISNUMBER(INDEX('Inspections'!$H$4:$H$503,_calc!$E$342)),TEXT(INDEX('Inspections'!$H$4:$H$503,_calc!$E$342),"yyyy-mm-dd"),""))</f>
        <v/>
      </c>
      <c r="C340" s="55">
        <f>IF(_calc!$E$342="","","Inspection")</f>
        <v/>
      </c>
      <c r="D340" s="55">
        <f>IF(_calc!$E$342="","",IF(ISNUMBER(INDEX('Inspections'!$G$4:$G$503,_calc!$E$342)),TEXT(INDEX('Inspections'!$G$4:$G$503,_calc!$E$342),"yyyy-mm-dd"),""))</f>
        <v/>
      </c>
      <c r="F340" s="55">
        <f>IF(_calc!$E$342="","",TRIM(IF(LEN(IF(LEN(INDEX('Inspections'!$B$4:$B$503,_calc!$E$342))=0,"",INDEX('Inspections'!$B$4:$B$503,_calc!$E$342)))=0,"","System: "&amp;IF(LEN(INDEX('Inspections'!$B$4:$B$503,_calc!$E$342))=0,"",INDEX('Inspections'!$B$4:$B$503,_calc!$E$342))&amp;". ")&amp;IF(LEN(IF(LEN(INDEX('Inspections'!$D$4:$D$503,_calc!$E$342))=0,"",INDEX('Inspections'!$D$4:$D$503,_calc!$E$342)))=0,"","Every: "&amp;IF(LEN(INDEX('Inspections'!$D$4:$D$503,_calc!$E$342))=0,"",INDEX('Inspections'!$D$4:$D$503,_calc!$E$342))&amp;". ")&amp;IF(LEN(IF(LEN(INDEX('Inspections'!$E$4:$E$503,_calc!$E$342))=0,"",INDEX('Inspections'!$E$4:$E$503,_calc!$E$342)))=0,"","Unit: "&amp;IF(LEN(INDEX('Inspections'!$E$4:$E$503,_calc!$E$342))=0,"",INDEX('Inspections'!$E$4:$E$503,_calc!$E$342))&amp;". ")&amp;IF(LEN(IF(LEN(INDEX('Inspections'!$F$4:$F$503,_calc!$E$342))=0,"",INDEX('Inspections'!$F$4:$F$503,_calc!$E$342)))=0,"","Done by: "&amp;IF(LEN(INDEX('Inspections'!$F$4:$F$503,_calc!$E$342))=0,"",INDEX('Inspections'!$F$4:$F$503,_calc!$E$342))&amp;". ")&amp;IF(LEN(IF(LEN(INDEX('Inspections'!$M$4:$M$503,_calc!$E$342))=0,"",INDEX('Inspections'!$M$4:$M$503,_calc!$E$342)))=0,"","Source: "&amp;IF(LEN(INDEX('Inspections'!$M$4:$M$503,_calc!$E$342))=0,"",INDEX('Inspections'!$M$4:$M$503,_calc!$E$342))&amp;". ")&amp;IF(LEN(IF(LEN(INDEX('Inspections'!$N$4:$N$503,_calc!$E$342))=0,"",INDEX('Inspections'!$N$4:$N$503,_calc!$E$342)))=0,"","Owner: "&amp;IF(LEN(INDEX('Inspections'!$N$4:$N$503,_calc!$E$342))=0,"",INDEX('Inspections'!$N$4:$N$503,_calc!$E$342))&amp;". ")&amp;IF(LEN(IF(LEN(INDEX('Inspections'!$O$4:$O$503,_calc!$E$342))=0,"",INDEX('Inspections'!$O$4:$O$503,_calc!$E$342)))=0,"","Backup: "&amp;IF(LEN(INDEX('Inspections'!$O$4:$O$503,_calc!$E$342))=0,"",INDEX('Inspections'!$O$4:$O$503,_calc!$E$342))&amp;". ")&amp;IF(LEN(IF(LEN(INDEX('Inspections'!$R$4:$R$503,_calc!$E$342))=0,"",INDEX('Inspections'!$R$4:$R$503,_calc!$E$342)))=0,"",IF(LEN(INDEX('Inspections'!$R$4:$R$503,_calc!$E$342))=0,"",INDEX('Inspections'!$R$4:$R$503,_calc!$E$342)))))</f>
        <v/>
      </c>
      <c r="G340" s="55">
        <f>IF(_calc!$E$342="","",IF(LEN(INDEX('Inspections'!$Q$4:$Q$503,_calc!$E$342))=0,"",INDEX('Inspections'!$Q$4:$Q$503,_calc!$E$342)))</f>
        <v/>
      </c>
      <c r="K340" s="55">
        <f>IF(_calc!$E$342="","",IF(LEN(INDEX('Inspections'!$P$4:$P$503,_calc!$E$342))=0,"",INDEX('Inspections'!$P$4:$P$503,_calc!$E$342)))</f>
        <v/>
      </c>
    </row>
    <row r="341">
      <c r="A341" s="55">
        <f>IF(_calc!$E$343="","",IF(LEN(INDEX('Inspections'!$C$4:$C$503,_calc!$E$343))=0,"",INDEX('Inspections'!$C$4:$C$503,_calc!$E$343))&amp;" – "&amp;IF(LEN(INDEX('Inspections'!$A$4:$A$503,_calc!$E$343))=0,"",INDEX('Inspections'!$A$4:$A$503,_calc!$E$343)))</f>
        <v/>
      </c>
      <c r="B341" s="55">
        <f>IF(_calc!$E$343="","",IF(ISNUMBER(INDEX('Inspections'!$H$4:$H$503,_calc!$E$343)),TEXT(INDEX('Inspections'!$H$4:$H$503,_calc!$E$343),"yyyy-mm-dd"),""))</f>
        <v/>
      </c>
      <c r="C341" s="55">
        <f>IF(_calc!$E$343="","","Inspection")</f>
        <v/>
      </c>
      <c r="D341" s="55">
        <f>IF(_calc!$E$343="","",IF(ISNUMBER(INDEX('Inspections'!$G$4:$G$503,_calc!$E$343)),TEXT(INDEX('Inspections'!$G$4:$G$503,_calc!$E$343),"yyyy-mm-dd"),""))</f>
        <v/>
      </c>
      <c r="F341" s="55">
        <f>IF(_calc!$E$343="","",TRIM(IF(LEN(IF(LEN(INDEX('Inspections'!$B$4:$B$503,_calc!$E$343))=0,"",INDEX('Inspections'!$B$4:$B$503,_calc!$E$343)))=0,"","System: "&amp;IF(LEN(INDEX('Inspections'!$B$4:$B$503,_calc!$E$343))=0,"",INDEX('Inspections'!$B$4:$B$503,_calc!$E$343))&amp;". ")&amp;IF(LEN(IF(LEN(INDEX('Inspections'!$D$4:$D$503,_calc!$E$343))=0,"",INDEX('Inspections'!$D$4:$D$503,_calc!$E$343)))=0,"","Every: "&amp;IF(LEN(INDEX('Inspections'!$D$4:$D$503,_calc!$E$343))=0,"",INDEX('Inspections'!$D$4:$D$503,_calc!$E$343))&amp;". ")&amp;IF(LEN(IF(LEN(INDEX('Inspections'!$E$4:$E$503,_calc!$E$343))=0,"",INDEX('Inspections'!$E$4:$E$503,_calc!$E$343)))=0,"","Unit: "&amp;IF(LEN(INDEX('Inspections'!$E$4:$E$503,_calc!$E$343))=0,"",INDEX('Inspections'!$E$4:$E$503,_calc!$E$343))&amp;". ")&amp;IF(LEN(IF(LEN(INDEX('Inspections'!$F$4:$F$503,_calc!$E$343))=0,"",INDEX('Inspections'!$F$4:$F$503,_calc!$E$343)))=0,"","Done by: "&amp;IF(LEN(INDEX('Inspections'!$F$4:$F$503,_calc!$E$343))=0,"",INDEX('Inspections'!$F$4:$F$503,_calc!$E$343))&amp;". ")&amp;IF(LEN(IF(LEN(INDEX('Inspections'!$M$4:$M$503,_calc!$E$343))=0,"",INDEX('Inspections'!$M$4:$M$503,_calc!$E$343)))=0,"","Source: "&amp;IF(LEN(INDEX('Inspections'!$M$4:$M$503,_calc!$E$343))=0,"",INDEX('Inspections'!$M$4:$M$503,_calc!$E$343))&amp;". ")&amp;IF(LEN(IF(LEN(INDEX('Inspections'!$N$4:$N$503,_calc!$E$343))=0,"",INDEX('Inspections'!$N$4:$N$503,_calc!$E$343)))=0,"","Owner: "&amp;IF(LEN(INDEX('Inspections'!$N$4:$N$503,_calc!$E$343))=0,"",INDEX('Inspections'!$N$4:$N$503,_calc!$E$343))&amp;". ")&amp;IF(LEN(IF(LEN(INDEX('Inspections'!$O$4:$O$503,_calc!$E$343))=0,"",INDEX('Inspections'!$O$4:$O$503,_calc!$E$343)))=0,"","Backup: "&amp;IF(LEN(INDEX('Inspections'!$O$4:$O$503,_calc!$E$343))=0,"",INDEX('Inspections'!$O$4:$O$503,_calc!$E$343))&amp;". ")&amp;IF(LEN(IF(LEN(INDEX('Inspections'!$R$4:$R$503,_calc!$E$343))=0,"",INDEX('Inspections'!$R$4:$R$503,_calc!$E$343)))=0,"",IF(LEN(INDEX('Inspections'!$R$4:$R$503,_calc!$E$343))=0,"",INDEX('Inspections'!$R$4:$R$503,_calc!$E$343)))))</f>
        <v/>
      </c>
      <c r="G341" s="55">
        <f>IF(_calc!$E$343="","",IF(LEN(INDEX('Inspections'!$Q$4:$Q$503,_calc!$E$343))=0,"",INDEX('Inspections'!$Q$4:$Q$503,_calc!$E$343)))</f>
        <v/>
      </c>
      <c r="K341" s="55">
        <f>IF(_calc!$E$343="","",IF(LEN(INDEX('Inspections'!$P$4:$P$503,_calc!$E$343))=0,"",INDEX('Inspections'!$P$4:$P$503,_calc!$E$343)))</f>
        <v/>
      </c>
    </row>
    <row r="342">
      <c r="A342" s="55">
        <f>IF(_calc!$E$344="","",IF(LEN(INDEX('Inspections'!$C$4:$C$503,_calc!$E$344))=0,"",INDEX('Inspections'!$C$4:$C$503,_calc!$E$344))&amp;" – "&amp;IF(LEN(INDEX('Inspections'!$A$4:$A$503,_calc!$E$344))=0,"",INDEX('Inspections'!$A$4:$A$503,_calc!$E$344)))</f>
        <v/>
      </c>
      <c r="B342" s="55">
        <f>IF(_calc!$E$344="","",IF(ISNUMBER(INDEX('Inspections'!$H$4:$H$503,_calc!$E$344)),TEXT(INDEX('Inspections'!$H$4:$H$503,_calc!$E$344),"yyyy-mm-dd"),""))</f>
        <v/>
      </c>
      <c r="C342" s="55">
        <f>IF(_calc!$E$344="","","Inspection")</f>
        <v/>
      </c>
      <c r="D342" s="55">
        <f>IF(_calc!$E$344="","",IF(ISNUMBER(INDEX('Inspections'!$G$4:$G$503,_calc!$E$344)),TEXT(INDEX('Inspections'!$G$4:$G$503,_calc!$E$344),"yyyy-mm-dd"),""))</f>
        <v/>
      </c>
      <c r="F342" s="55">
        <f>IF(_calc!$E$344="","",TRIM(IF(LEN(IF(LEN(INDEX('Inspections'!$B$4:$B$503,_calc!$E$344))=0,"",INDEX('Inspections'!$B$4:$B$503,_calc!$E$344)))=0,"","System: "&amp;IF(LEN(INDEX('Inspections'!$B$4:$B$503,_calc!$E$344))=0,"",INDEX('Inspections'!$B$4:$B$503,_calc!$E$344))&amp;". ")&amp;IF(LEN(IF(LEN(INDEX('Inspections'!$D$4:$D$503,_calc!$E$344))=0,"",INDEX('Inspections'!$D$4:$D$503,_calc!$E$344)))=0,"","Every: "&amp;IF(LEN(INDEX('Inspections'!$D$4:$D$503,_calc!$E$344))=0,"",INDEX('Inspections'!$D$4:$D$503,_calc!$E$344))&amp;". ")&amp;IF(LEN(IF(LEN(INDEX('Inspections'!$E$4:$E$503,_calc!$E$344))=0,"",INDEX('Inspections'!$E$4:$E$503,_calc!$E$344)))=0,"","Unit: "&amp;IF(LEN(INDEX('Inspections'!$E$4:$E$503,_calc!$E$344))=0,"",INDEX('Inspections'!$E$4:$E$503,_calc!$E$344))&amp;". ")&amp;IF(LEN(IF(LEN(INDEX('Inspections'!$F$4:$F$503,_calc!$E$344))=0,"",INDEX('Inspections'!$F$4:$F$503,_calc!$E$344)))=0,"","Done by: "&amp;IF(LEN(INDEX('Inspections'!$F$4:$F$503,_calc!$E$344))=0,"",INDEX('Inspections'!$F$4:$F$503,_calc!$E$344))&amp;". ")&amp;IF(LEN(IF(LEN(INDEX('Inspections'!$M$4:$M$503,_calc!$E$344))=0,"",INDEX('Inspections'!$M$4:$M$503,_calc!$E$344)))=0,"","Source: "&amp;IF(LEN(INDEX('Inspections'!$M$4:$M$503,_calc!$E$344))=0,"",INDEX('Inspections'!$M$4:$M$503,_calc!$E$344))&amp;". ")&amp;IF(LEN(IF(LEN(INDEX('Inspections'!$N$4:$N$503,_calc!$E$344))=0,"",INDEX('Inspections'!$N$4:$N$503,_calc!$E$344)))=0,"","Owner: "&amp;IF(LEN(INDEX('Inspections'!$N$4:$N$503,_calc!$E$344))=0,"",INDEX('Inspections'!$N$4:$N$503,_calc!$E$344))&amp;". ")&amp;IF(LEN(IF(LEN(INDEX('Inspections'!$O$4:$O$503,_calc!$E$344))=0,"",INDEX('Inspections'!$O$4:$O$503,_calc!$E$344)))=0,"","Backup: "&amp;IF(LEN(INDEX('Inspections'!$O$4:$O$503,_calc!$E$344))=0,"",INDEX('Inspections'!$O$4:$O$503,_calc!$E$344))&amp;". ")&amp;IF(LEN(IF(LEN(INDEX('Inspections'!$R$4:$R$503,_calc!$E$344))=0,"",INDEX('Inspections'!$R$4:$R$503,_calc!$E$344)))=0,"",IF(LEN(INDEX('Inspections'!$R$4:$R$503,_calc!$E$344))=0,"",INDEX('Inspections'!$R$4:$R$503,_calc!$E$344)))))</f>
        <v/>
      </c>
      <c r="G342" s="55">
        <f>IF(_calc!$E$344="","",IF(LEN(INDEX('Inspections'!$Q$4:$Q$503,_calc!$E$344))=0,"",INDEX('Inspections'!$Q$4:$Q$503,_calc!$E$344)))</f>
        <v/>
      </c>
      <c r="K342" s="55">
        <f>IF(_calc!$E$344="","",IF(LEN(INDEX('Inspections'!$P$4:$P$503,_calc!$E$344))=0,"",INDEX('Inspections'!$P$4:$P$503,_calc!$E$344)))</f>
        <v/>
      </c>
    </row>
    <row r="343">
      <c r="A343" s="55">
        <f>IF(_calc!$E$345="","",IF(LEN(INDEX('Inspections'!$C$4:$C$503,_calc!$E$345))=0,"",INDEX('Inspections'!$C$4:$C$503,_calc!$E$345))&amp;" – "&amp;IF(LEN(INDEX('Inspections'!$A$4:$A$503,_calc!$E$345))=0,"",INDEX('Inspections'!$A$4:$A$503,_calc!$E$345)))</f>
        <v/>
      </c>
      <c r="B343" s="55">
        <f>IF(_calc!$E$345="","",IF(ISNUMBER(INDEX('Inspections'!$H$4:$H$503,_calc!$E$345)),TEXT(INDEX('Inspections'!$H$4:$H$503,_calc!$E$345),"yyyy-mm-dd"),""))</f>
        <v/>
      </c>
      <c r="C343" s="55">
        <f>IF(_calc!$E$345="","","Inspection")</f>
        <v/>
      </c>
      <c r="D343" s="55">
        <f>IF(_calc!$E$345="","",IF(ISNUMBER(INDEX('Inspections'!$G$4:$G$503,_calc!$E$345)),TEXT(INDEX('Inspections'!$G$4:$G$503,_calc!$E$345),"yyyy-mm-dd"),""))</f>
        <v/>
      </c>
      <c r="F343" s="55">
        <f>IF(_calc!$E$345="","",TRIM(IF(LEN(IF(LEN(INDEX('Inspections'!$B$4:$B$503,_calc!$E$345))=0,"",INDEX('Inspections'!$B$4:$B$503,_calc!$E$345)))=0,"","System: "&amp;IF(LEN(INDEX('Inspections'!$B$4:$B$503,_calc!$E$345))=0,"",INDEX('Inspections'!$B$4:$B$503,_calc!$E$345))&amp;". ")&amp;IF(LEN(IF(LEN(INDEX('Inspections'!$D$4:$D$503,_calc!$E$345))=0,"",INDEX('Inspections'!$D$4:$D$503,_calc!$E$345)))=0,"","Every: "&amp;IF(LEN(INDEX('Inspections'!$D$4:$D$503,_calc!$E$345))=0,"",INDEX('Inspections'!$D$4:$D$503,_calc!$E$345))&amp;". ")&amp;IF(LEN(IF(LEN(INDEX('Inspections'!$E$4:$E$503,_calc!$E$345))=0,"",INDEX('Inspections'!$E$4:$E$503,_calc!$E$345)))=0,"","Unit: "&amp;IF(LEN(INDEX('Inspections'!$E$4:$E$503,_calc!$E$345))=0,"",INDEX('Inspections'!$E$4:$E$503,_calc!$E$345))&amp;". ")&amp;IF(LEN(IF(LEN(INDEX('Inspections'!$F$4:$F$503,_calc!$E$345))=0,"",INDEX('Inspections'!$F$4:$F$503,_calc!$E$345)))=0,"","Done by: "&amp;IF(LEN(INDEX('Inspections'!$F$4:$F$503,_calc!$E$345))=0,"",INDEX('Inspections'!$F$4:$F$503,_calc!$E$345))&amp;". ")&amp;IF(LEN(IF(LEN(INDEX('Inspections'!$M$4:$M$503,_calc!$E$345))=0,"",INDEX('Inspections'!$M$4:$M$503,_calc!$E$345)))=0,"","Source: "&amp;IF(LEN(INDEX('Inspections'!$M$4:$M$503,_calc!$E$345))=0,"",INDEX('Inspections'!$M$4:$M$503,_calc!$E$345))&amp;". ")&amp;IF(LEN(IF(LEN(INDEX('Inspections'!$N$4:$N$503,_calc!$E$345))=0,"",INDEX('Inspections'!$N$4:$N$503,_calc!$E$345)))=0,"","Owner: "&amp;IF(LEN(INDEX('Inspections'!$N$4:$N$503,_calc!$E$345))=0,"",INDEX('Inspections'!$N$4:$N$503,_calc!$E$345))&amp;". ")&amp;IF(LEN(IF(LEN(INDEX('Inspections'!$O$4:$O$503,_calc!$E$345))=0,"",INDEX('Inspections'!$O$4:$O$503,_calc!$E$345)))=0,"","Backup: "&amp;IF(LEN(INDEX('Inspections'!$O$4:$O$503,_calc!$E$345))=0,"",INDEX('Inspections'!$O$4:$O$503,_calc!$E$345))&amp;". ")&amp;IF(LEN(IF(LEN(INDEX('Inspections'!$R$4:$R$503,_calc!$E$345))=0,"",INDEX('Inspections'!$R$4:$R$503,_calc!$E$345)))=0,"",IF(LEN(INDEX('Inspections'!$R$4:$R$503,_calc!$E$345))=0,"",INDEX('Inspections'!$R$4:$R$503,_calc!$E$345)))))</f>
        <v/>
      </c>
      <c r="G343" s="55">
        <f>IF(_calc!$E$345="","",IF(LEN(INDEX('Inspections'!$Q$4:$Q$503,_calc!$E$345))=0,"",INDEX('Inspections'!$Q$4:$Q$503,_calc!$E$345)))</f>
        <v/>
      </c>
      <c r="K343" s="55">
        <f>IF(_calc!$E$345="","",IF(LEN(INDEX('Inspections'!$P$4:$P$503,_calc!$E$345))=0,"",INDEX('Inspections'!$P$4:$P$503,_calc!$E$345)))</f>
        <v/>
      </c>
    </row>
    <row r="344">
      <c r="A344" s="55">
        <f>IF(_calc!$E$346="","",IF(LEN(INDEX('Inspections'!$C$4:$C$503,_calc!$E$346))=0,"",INDEX('Inspections'!$C$4:$C$503,_calc!$E$346))&amp;" – "&amp;IF(LEN(INDEX('Inspections'!$A$4:$A$503,_calc!$E$346))=0,"",INDEX('Inspections'!$A$4:$A$503,_calc!$E$346)))</f>
        <v/>
      </c>
      <c r="B344" s="55">
        <f>IF(_calc!$E$346="","",IF(ISNUMBER(INDEX('Inspections'!$H$4:$H$503,_calc!$E$346)),TEXT(INDEX('Inspections'!$H$4:$H$503,_calc!$E$346),"yyyy-mm-dd"),""))</f>
        <v/>
      </c>
      <c r="C344" s="55">
        <f>IF(_calc!$E$346="","","Inspection")</f>
        <v/>
      </c>
      <c r="D344" s="55">
        <f>IF(_calc!$E$346="","",IF(ISNUMBER(INDEX('Inspections'!$G$4:$G$503,_calc!$E$346)),TEXT(INDEX('Inspections'!$G$4:$G$503,_calc!$E$346),"yyyy-mm-dd"),""))</f>
        <v/>
      </c>
      <c r="F344" s="55">
        <f>IF(_calc!$E$346="","",TRIM(IF(LEN(IF(LEN(INDEX('Inspections'!$B$4:$B$503,_calc!$E$346))=0,"",INDEX('Inspections'!$B$4:$B$503,_calc!$E$346)))=0,"","System: "&amp;IF(LEN(INDEX('Inspections'!$B$4:$B$503,_calc!$E$346))=0,"",INDEX('Inspections'!$B$4:$B$503,_calc!$E$346))&amp;". ")&amp;IF(LEN(IF(LEN(INDEX('Inspections'!$D$4:$D$503,_calc!$E$346))=0,"",INDEX('Inspections'!$D$4:$D$503,_calc!$E$346)))=0,"","Every: "&amp;IF(LEN(INDEX('Inspections'!$D$4:$D$503,_calc!$E$346))=0,"",INDEX('Inspections'!$D$4:$D$503,_calc!$E$346))&amp;". ")&amp;IF(LEN(IF(LEN(INDEX('Inspections'!$E$4:$E$503,_calc!$E$346))=0,"",INDEX('Inspections'!$E$4:$E$503,_calc!$E$346)))=0,"","Unit: "&amp;IF(LEN(INDEX('Inspections'!$E$4:$E$503,_calc!$E$346))=0,"",INDEX('Inspections'!$E$4:$E$503,_calc!$E$346))&amp;". ")&amp;IF(LEN(IF(LEN(INDEX('Inspections'!$F$4:$F$503,_calc!$E$346))=0,"",INDEX('Inspections'!$F$4:$F$503,_calc!$E$346)))=0,"","Done by: "&amp;IF(LEN(INDEX('Inspections'!$F$4:$F$503,_calc!$E$346))=0,"",INDEX('Inspections'!$F$4:$F$503,_calc!$E$346))&amp;". ")&amp;IF(LEN(IF(LEN(INDEX('Inspections'!$M$4:$M$503,_calc!$E$346))=0,"",INDEX('Inspections'!$M$4:$M$503,_calc!$E$346)))=0,"","Source: "&amp;IF(LEN(INDEX('Inspections'!$M$4:$M$503,_calc!$E$346))=0,"",INDEX('Inspections'!$M$4:$M$503,_calc!$E$346))&amp;". ")&amp;IF(LEN(IF(LEN(INDEX('Inspections'!$N$4:$N$503,_calc!$E$346))=0,"",INDEX('Inspections'!$N$4:$N$503,_calc!$E$346)))=0,"","Owner: "&amp;IF(LEN(INDEX('Inspections'!$N$4:$N$503,_calc!$E$346))=0,"",INDEX('Inspections'!$N$4:$N$503,_calc!$E$346))&amp;". ")&amp;IF(LEN(IF(LEN(INDEX('Inspections'!$O$4:$O$503,_calc!$E$346))=0,"",INDEX('Inspections'!$O$4:$O$503,_calc!$E$346)))=0,"","Backup: "&amp;IF(LEN(INDEX('Inspections'!$O$4:$O$503,_calc!$E$346))=0,"",INDEX('Inspections'!$O$4:$O$503,_calc!$E$346))&amp;". ")&amp;IF(LEN(IF(LEN(INDEX('Inspections'!$R$4:$R$503,_calc!$E$346))=0,"",INDEX('Inspections'!$R$4:$R$503,_calc!$E$346)))=0,"",IF(LEN(INDEX('Inspections'!$R$4:$R$503,_calc!$E$346))=0,"",INDEX('Inspections'!$R$4:$R$503,_calc!$E$346)))))</f>
        <v/>
      </c>
      <c r="G344" s="55">
        <f>IF(_calc!$E$346="","",IF(LEN(INDEX('Inspections'!$Q$4:$Q$503,_calc!$E$346))=0,"",INDEX('Inspections'!$Q$4:$Q$503,_calc!$E$346)))</f>
        <v/>
      </c>
      <c r="K344" s="55">
        <f>IF(_calc!$E$346="","",IF(LEN(INDEX('Inspections'!$P$4:$P$503,_calc!$E$346))=0,"",INDEX('Inspections'!$P$4:$P$503,_calc!$E$346)))</f>
        <v/>
      </c>
    </row>
    <row r="345">
      <c r="A345" s="55">
        <f>IF(_calc!$E$347="","",IF(LEN(INDEX('Inspections'!$C$4:$C$503,_calc!$E$347))=0,"",INDEX('Inspections'!$C$4:$C$503,_calc!$E$347))&amp;" – "&amp;IF(LEN(INDEX('Inspections'!$A$4:$A$503,_calc!$E$347))=0,"",INDEX('Inspections'!$A$4:$A$503,_calc!$E$347)))</f>
        <v/>
      </c>
      <c r="B345" s="55">
        <f>IF(_calc!$E$347="","",IF(ISNUMBER(INDEX('Inspections'!$H$4:$H$503,_calc!$E$347)),TEXT(INDEX('Inspections'!$H$4:$H$503,_calc!$E$347),"yyyy-mm-dd"),""))</f>
        <v/>
      </c>
      <c r="C345" s="55">
        <f>IF(_calc!$E$347="","","Inspection")</f>
        <v/>
      </c>
      <c r="D345" s="55">
        <f>IF(_calc!$E$347="","",IF(ISNUMBER(INDEX('Inspections'!$G$4:$G$503,_calc!$E$347)),TEXT(INDEX('Inspections'!$G$4:$G$503,_calc!$E$347),"yyyy-mm-dd"),""))</f>
        <v/>
      </c>
      <c r="F345" s="55">
        <f>IF(_calc!$E$347="","",TRIM(IF(LEN(IF(LEN(INDEX('Inspections'!$B$4:$B$503,_calc!$E$347))=0,"",INDEX('Inspections'!$B$4:$B$503,_calc!$E$347)))=0,"","System: "&amp;IF(LEN(INDEX('Inspections'!$B$4:$B$503,_calc!$E$347))=0,"",INDEX('Inspections'!$B$4:$B$503,_calc!$E$347))&amp;". ")&amp;IF(LEN(IF(LEN(INDEX('Inspections'!$D$4:$D$503,_calc!$E$347))=0,"",INDEX('Inspections'!$D$4:$D$503,_calc!$E$347)))=0,"","Every: "&amp;IF(LEN(INDEX('Inspections'!$D$4:$D$503,_calc!$E$347))=0,"",INDEX('Inspections'!$D$4:$D$503,_calc!$E$347))&amp;". ")&amp;IF(LEN(IF(LEN(INDEX('Inspections'!$E$4:$E$503,_calc!$E$347))=0,"",INDEX('Inspections'!$E$4:$E$503,_calc!$E$347)))=0,"","Unit: "&amp;IF(LEN(INDEX('Inspections'!$E$4:$E$503,_calc!$E$347))=0,"",INDEX('Inspections'!$E$4:$E$503,_calc!$E$347))&amp;". ")&amp;IF(LEN(IF(LEN(INDEX('Inspections'!$F$4:$F$503,_calc!$E$347))=0,"",INDEX('Inspections'!$F$4:$F$503,_calc!$E$347)))=0,"","Done by: "&amp;IF(LEN(INDEX('Inspections'!$F$4:$F$503,_calc!$E$347))=0,"",INDEX('Inspections'!$F$4:$F$503,_calc!$E$347))&amp;". ")&amp;IF(LEN(IF(LEN(INDEX('Inspections'!$M$4:$M$503,_calc!$E$347))=0,"",INDEX('Inspections'!$M$4:$M$503,_calc!$E$347)))=0,"","Source: "&amp;IF(LEN(INDEX('Inspections'!$M$4:$M$503,_calc!$E$347))=0,"",INDEX('Inspections'!$M$4:$M$503,_calc!$E$347))&amp;". ")&amp;IF(LEN(IF(LEN(INDEX('Inspections'!$N$4:$N$503,_calc!$E$347))=0,"",INDEX('Inspections'!$N$4:$N$503,_calc!$E$347)))=0,"","Owner: "&amp;IF(LEN(INDEX('Inspections'!$N$4:$N$503,_calc!$E$347))=0,"",INDEX('Inspections'!$N$4:$N$503,_calc!$E$347))&amp;". ")&amp;IF(LEN(IF(LEN(INDEX('Inspections'!$O$4:$O$503,_calc!$E$347))=0,"",INDEX('Inspections'!$O$4:$O$503,_calc!$E$347)))=0,"","Backup: "&amp;IF(LEN(INDEX('Inspections'!$O$4:$O$503,_calc!$E$347))=0,"",INDEX('Inspections'!$O$4:$O$503,_calc!$E$347))&amp;". ")&amp;IF(LEN(IF(LEN(INDEX('Inspections'!$R$4:$R$503,_calc!$E$347))=0,"",INDEX('Inspections'!$R$4:$R$503,_calc!$E$347)))=0,"",IF(LEN(INDEX('Inspections'!$R$4:$R$503,_calc!$E$347))=0,"",INDEX('Inspections'!$R$4:$R$503,_calc!$E$347)))))</f>
        <v/>
      </c>
      <c r="G345" s="55">
        <f>IF(_calc!$E$347="","",IF(LEN(INDEX('Inspections'!$Q$4:$Q$503,_calc!$E$347))=0,"",INDEX('Inspections'!$Q$4:$Q$503,_calc!$E$347)))</f>
        <v/>
      </c>
      <c r="K345" s="55">
        <f>IF(_calc!$E$347="","",IF(LEN(INDEX('Inspections'!$P$4:$P$503,_calc!$E$347))=0,"",INDEX('Inspections'!$P$4:$P$503,_calc!$E$347)))</f>
        <v/>
      </c>
    </row>
    <row r="346">
      <c r="A346" s="55">
        <f>IF(_calc!$E$348="","",IF(LEN(INDEX('Inspections'!$C$4:$C$503,_calc!$E$348))=0,"",INDEX('Inspections'!$C$4:$C$503,_calc!$E$348))&amp;" – "&amp;IF(LEN(INDEX('Inspections'!$A$4:$A$503,_calc!$E$348))=0,"",INDEX('Inspections'!$A$4:$A$503,_calc!$E$348)))</f>
        <v/>
      </c>
      <c r="B346" s="55">
        <f>IF(_calc!$E$348="","",IF(ISNUMBER(INDEX('Inspections'!$H$4:$H$503,_calc!$E$348)),TEXT(INDEX('Inspections'!$H$4:$H$503,_calc!$E$348),"yyyy-mm-dd"),""))</f>
        <v/>
      </c>
      <c r="C346" s="55">
        <f>IF(_calc!$E$348="","","Inspection")</f>
        <v/>
      </c>
      <c r="D346" s="55">
        <f>IF(_calc!$E$348="","",IF(ISNUMBER(INDEX('Inspections'!$G$4:$G$503,_calc!$E$348)),TEXT(INDEX('Inspections'!$G$4:$G$503,_calc!$E$348),"yyyy-mm-dd"),""))</f>
        <v/>
      </c>
      <c r="F346" s="55">
        <f>IF(_calc!$E$348="","",TRIM(IF(LEN(IF(LEN(INDEX('Inspections'!$B$4:$B$503,_calc!$E$348))=0,"",INDEX('Inspections'!$B$4:$B$503,_calc!$E$348)))=0,"","System: "&amp;IF(LEN(INDEX('Inspections'!$B$4:$B$503,_calc!$E$348))=0,"",INDEX('Inspections'!$B$4:$B$503,_calc!$E$348))&amp;". ")&amp;IF(LEN(IF(LEN(INDEX('Inspections'!$D$4:$D$503,_calc!$E$348))=0,"",INDEX('Inspections'!$D$4:$D$503,_calc!$E$348)))=0,"","Every: "&amp;IF(LEN(INDEX('Inspections'!$D$4:$D$503,_calc!$E$348))=0,"",INDEX('Inspections'!$D$4:$D$503,_calc!$E$348))&amp;". ")&amp;IF(LEN(IF(LEN(INDEX('Inspections'!$E$4:$E$503,_calc!$E$348))=0,"",INDEX('Inspections'!$E$4:$E$503,_calc!$E$348)))=0,"","Unit: "&amp;IF(LEN(INDEX('Inspections'!$E$4:$E$503,_calc!$E$348))=0,"",INDEX('Inspections'!$E$4:$E$503,_calc!$E$348))&amp;". ")&amp;IF(LEN(IF(LEN(INDEX('Inspections'!$F$4:$F$503,_calc!$E$348))=0,"",INDEX('Inspections'!$F$4:$F$503,_calc!$E$348)))=0,"","Done by: "&amp;IF(LEN(INDEX('Inspections'!$F$4:$F$503,_calc!$E$348))=0,"",INDEX('Inspections'!$F$4:$F$503,_calc!$E$348))&amp;". ")&amp;IF(LEN(IF(LEN(INDEX('Inspections'!$M$4:$M$503,_calc!$E$348))=0,"",INDEX('Inspections'!$M$4:$M$503,_calc!$E$348)))=0,"","Source: "&amp;IF(LEN(INDEX('Inspections'!$M$4:$M$503,_calc!$E$348))=0,"",INDEX('Inspections'!$M$4:$M$503,_calc!$E$348))&amp;". ")&amp;IF(LEN(IF(LEN(INDEX('Inspections'!$N$4:$N$503,_calc!$E$348))=0,"",INDEX('Inspections'!$N$4:$N$503,_calc!$E$348)))=0,"","Owner: "&amp;IF(LEN(INDEX('Inspections'!$N$4:$N$503,_calc!$E$348))=0,"",INDEX('Inspections'!$N$4:$N$503,_calc!$E$348))&amp;". ")&amp;IF(LEN(IF(LEN(INDEX('Inspections'!$O$4:$O$503,_calc!$E$348))=0,"",INDEX('Inspections'!$O$4:$O$503,_calc!$E$348)))=0,"","Backup: "&amp;IF(LEN(INDEX('Inspections'!$O$4:$O$503,_calc!$E$348))=0,"",INDEX('Inspections'!$O$4:$O$503,_calc!$E$348))&amp;". ")&amp;IF(LEN(IF(LEN(INDEX('Inspections'!$R$4:$R$503,_calc!$E$348))=0,"",INDEX('Inspections'!$R$4:$R$503,_calc!$E$348)))=0,"",IF(LEN(INDEX('Inspections'!$R$4:$R$503,_calc!$E$348))=0,"",INDEX('Inspections'!$R$4:$R$503,_calc!$E$348)))))</f>
        <v/>
      </c>
      <c r="G346" s="55">
        <f>IF(_calc!$E$348="","",IF(LEN(INDEX('Inspections'!$Q$4:$Q$503,_calc!$E$348))=0,"",INDEX('Inspections'!$Q$4:$Q$503,_calc!$E$348)))</f>
        <v/>
      </c>
      <c r="K346" s="55">
        <f>IF(_calc!$E$348="","",IF(LEN(INDEX('Inspections'!$P$4:$P$503,_calc!$E$348))=0,"",INDEX('Inspections'!$P$4:$P$503,_calc!$E$348)))</f>
        <v/>
      </c>
    </row>
    <row r="347">
      <c r="A347" s="55">
        <f>IF(_calc!$E$349="","",IF(LEN(INDEX('Inspections'!$C$4:$C$503,_calc!$E$349))=0,"",INDEX('Inspections'!$C$4:$C$503,_calc!$E$349))&amp;" – "&amp;IF(LEN(INDEX('Inspections'!$A$4:$A$503,_calc!$E$349))=0,"",INDEX('Inspections'!$A$4:$A$503,_calc!$E$349)))</f>
        <v/>
      </c>
      <c r="B347" s="55">
        <f>IF(_calc!$E$349="","",IF(ISNUMBER(INDEX('Inspections'!$H$4:$H$503,_calc!$E$349)),TEXT(INDEX('Inspections'!$H$4:$H$503,_calc!$E$349),"yyyy-mm-dd"),""))</f>
        <v/>
      </c>
      <c r="C347" s="55">
        <f>IF(_calc!$E$349="","","Inspection")</f>
        <v/>
      </c>
      <c r="D347" s="55">
        <f>IF(_calc!$E$349="","",IF(ISNUMBER(INDEX('Inspections'!$G$4:$G$503,_calc!$E$349)),TEXT(INDEX('Inspections'!$G$4:$G$503,_calc!$E$349),"yyyy-mm-dd"),""))</f>
        <v/>
      </c>
      <c r="F347" s="55">
        <f>IF(_calc!$E$349="","",TRIM(IF(LEN(IF(LEN(INDEX('Inspections'!$B$4:$B$503,_calc!$E$349))=0,"",INDEX('Inspections'!$B$4:$B$503,_calc!$E$349)))=0,"","System: "&amp;IF(LEN(INDEX('Inspections'!$B$4:$B$503,_calc!$E$349))=0,"",INDEX('Inspections'!$B$4:$B$503,_calc!$E$349))&amp;". ")&amp;IF(LEN(IF(LEN(INDEX('Inspections'!$D$4:$D$503,_calc!$E$349))=0,"",INDEX('Inspections'!$D$4:$D$503,_calc!$E$349)))=0,"","Every: "&amp;IF(LEN(INDEX('Inspections'!$D$4:$D$503,_calc!$E$349))=0,"",INDEX('Inspections'!$D$4:$D$503,_calc!$E$349))&amp;". ")&amp;IF(LEN(IF(LEN(INDEX('Inspections'!$E$4:$E$503,_calc!$E$349))=0,"",INDEX('Inspections'!$E$4:$E$503,_calc!$E$349)))=0,"","Unit: "&amp;IF(LEN(INDEX('Inspections'!$E$4:$E$503,_calc!$E$349))=0,"",INDEX('Inspections'!$E$4:$E$503,_calc!$E$349))&amp;". ")&amp;IF(LEN(IF(LEN(INDEX('Inspections'!$F$4:$F$503,_calc!$E$349))=0,"",INDEX('Inspections'!$F$4:$F$503,_calc!$E$349)))=0,"","Done by: "&amp;IF(LEN(INDEX('Inspections'!$F$4:$F$503,_calc!$E$349))=0,"",INDEX('Inspections'!$F$4:$F$503,_calc!$E$349))&amp;". ")&amp;IF(LEN(IF(LEN(INDEX('Inspections'!$M$4:$M$503,_calc!$E$349))=0,"",INDEX('Inspections'!$M$4:$M$503,_calc!$E$349)))=0,"","Source: "&amp;IF(LEN(INDEX('Inspections'!$M$4:$M$503,_calc!$E$349))=0,"",INDEX('Inspections'!$M$4:$M$503,_calc!$E$349))&amp;". ")&amp;IF(LEN(IF(LEN(INDEX('Inspections'!$N$4:$N$503,_calc!$E$349))=0,"",INDEX('Inspections'!$N$4:$N$503,_calc!$E$349)))=0,"","Owner: "&amp;IF(LEN(INDEX('Inspections'!$N$4:$N$503,_calc!$E$349))=0,"",INDEX('Inspections'!$N$4:$N$503,_calc!$E$349))&amp;". ")&amp;IF(LEN(IF(LEN(INDEX('Inspections'!$O$4:$O$503,_calc!$E$349))=0,"",INDEX('Inspections'!$O$4:$O$503,_calc!$E$349)))=0,"","Backup: "&amp;IF(LEN(INDEX('Inspections'!$O$4:$O$503,_calc!$E$349))=0,"",INDEX('Inspections'!$O$4:$O$503,_calc!$E$349))&amp;". ")&amp;IF(LEN(IF(LEN(INDEX('Inspections'!$R$4:$R$503,_calc!$E$349))=0,"",INDEX('Inspections'!$R$4:$R$503,_calc!$E$349)))=0,"",IF(LEN(INDEX('Inspections'!$R$4:$R$503,_calc!$E$349))=0,"",INDEX('Inspections'!$R$4:$R$503,_calc!$E$349)))))</f>
        <v/>
      </c>
      <c r="G347" s="55">
        <f>IF(_calc!$E$349="","",IF(LEN(INDEX('Inspections'!$Q$4:$Q$503,_calc!$E$349))=0,"",INDEX('Inspections'!$Q$4:$Q$503,_calc!$E$349)))</f>
        <v/>
      </c>
      <c r="K347" s="55">
        <f>IF(_calc!$E$349="","",IF(LEN(INDEX('Inspections'!$P$4:$P$503,_calc!$E$349))=0,"",INDEX('Inspections'!$P$4:$P$503,_calc!$E$349)))</f>
        <v/>
      </c>
    </row>
    <row r="348">
      <c r="A348" s="55">
        <f>IF(_calc!$E$350="","",IF(LEN(INDEX('Inspections'!$C$4:$C$503,_calc!$E$350))=0,"",INDEX('Inspections'!$C$4:$C$503,_calc!$E$350))&amp;" – "&amp;IF(LEN(INDEX('Inspections'!$A$4:$A$503,_calc!$E$350))=0,"",INDEX('Inspections'!$A$4:$A$503,_calc!$E$350)))</f>
        <v/>
      </c>
      <c r="B348" s="55">
        <f>IF(_calc!$E$350="","",IF(ISNUMBER(INDEX('Inspections'!$H$4:$H$503,_calc!$E$350)),TEXT(INDEX('Inspections'!$H$4:$H$503,_calc!$E$350),"yyyy-mm-dd"),""))</f>
        <v/>
      </c>
      <c r="C348" s="55">
        <f>IF(_calc!$E$350="","","Inspection")</f>
        <v/>
      </c>
      <c r="D348" s="55">
        <f>IF(_calc!$E$350="","",IF(ISNUMBER(INDEX('Inspections'!$G$4:$G$503,_calc!$E$350)),TEXT(INDEX('Inspections'!$G$4:$G$503,_calc!$E$350),"yyyy-mm-dd"),""))</f>
        <v/>
      </c>
      <c r="F348" s="55">
        <f>IF(_calc!$E$350="","",TRIM(IF(LEN(IF(LEN(INDEX('Inspections'!$B$4:$B$503,_calc!$E$350))=0,"",INDEX('Inspections'!$B$4:$B$503,_calc!$E$350)))=0,"","System: "&amp;IF(LEN(INDEX('Inspections'!$B$4:$B$503,_calc!$E$350))=0,"",INDEX('Inspections'!$B$4:$B$503,_calc!$E$350))&amp;". ")&amp;IF(LEN(IF(LEN(INDEX('Inspections'!$D$4:$D$503,_calc!$E$350))=0,"",INDEX('Inspections'!$D$4:$D$503,_calc!$E$350)))=0,"","Every: "&amp;IF(LEN(INDEX('Inspections'!$D$4:$D$503,_calc!$E$350))=0,"",INDEX('Inspections'!$D$4:$D$503,_calc!$E$350))&amp;". ")&amp;IF(LEN(IF(LEN(INDEX('Inspections'!$E$4:$E$503,_calc!$E$350))=0,"",INDEX('Inspections'!$E$4:$E$503,_calc!$E$350)))=0,"","Unit: "&amp;IF(LEN(INDEX('Inspections'!$E$4:$E$503,_calc!$E$350))=0,"",INDEX('Inspections'!$E$4:$E$503,_calc!$E$350))&amp;". ")&amp;IF(LEN(IF(LEN(INDEX('Inspections'!$F$4:$F$503,_calc!$E$350))=0,"",INDEX('Inspections'!$F$4:$F$503,_calc!$E$350)))=0,"","Done by: "&amp;IF(LEN(INDEX('Inspections'!$F$4:$F$503,_calc!$E$350))=0,"",INDEX('Inspections'!$F$4:$F$503,_calc!$E$350))&amp;". ")&amp;IF(LEN(IF(LEN(INDEX('Inspections'!$M$4:$M$503,_calc!$E$350))=0,"",INDEX('Inspections'!$M$4:$M$503,_calc!$E$350)))=0,"","Source: "&amp;IF(LEN(INDEX('Inspections'!$M$4:$M$503,_calc!$E$350))=0,"",INDEX('Inspections'!$M$4:$M$503,_calc!$E$350))&amp;". ")&amp;IF(LEN(IF(LEN(INDEX('Inspections'!$N$4:$N$503,_calc!$E$350))=0,"",INDEX('Inspections'!$N$4:$N$503,_calc!$E$350)))=0,"","Owner: "&amp;IF(LEN(INDEX('Inspections'!$N$4:$N$503,_calc!$E$350))=0,"",INDEX('Inspections'!$N$4:$N$503,_calc!$E$350))&amp;". ")&amp;IF(LEN(IF(LEN(INDEX('Inspections'!$O$4:$O$503,_calc!$E$350))=0,"",INDEX('Inspections'!$O$4:$O$503,_calc!$E$350)))=0,"","Backup: "&amp;IF(LEN(INDEX('Inspections'!$O$4:$O$503,_calc!$E$350))=0,"",INDEX('Inspections'!$O$4:$O$503,_calc!$E$350))&amp;". ")&amp;IF(LEN(IF(LEN(INDEX('Inspections'!$R$4:$R$503,_calc!$E$350))=0,"",INDEX('Inspections'!$R$4:$R$503,_calc!$E$350)))=0,"",IF(LEN(INDEX('Inspections'!$R$4:$R$503,_calc!$E$350))=0,"",INDEX('Inspections'!$R$4:$R$503,_calc!$E$350)))))</f>
        <v/>
      </c>
      <c r="G348" s="55">
        <f>IF(_calc!$E$350="","",IF(LEN(INDEX('Inspections'!$Q$4:$Q$503,_calc!$E$350))=0,"",INDEX('Inspections'!$Q$4:$Q$503,_calc!$E$350)))</f>
        <v/>
      </c>
      <c r="K348" s="55">
        <f>IF(_calc!$E$350="","",IF(LEN(INDEX('Inspections'!$P$4:$P$503,_calc!$E$350))=0,"",INDEX('Inspections'!$P$4:$P$503,_calc!$E$350)))</f>
        <v/>
      </c>
    </row>
    <row r="349">
      <c r="A349" s="55">
        <f>IF(_calc!$E$351="","",IF(LEN(INDEX('Inspections'!$C$4:$C$503,_calc!$E$351))=0,"",INDEX('Inspections'!$C$4:$C$503,_calc!$E$351))&amp;" – "&amp;IF(LEN(INDEX('Inspections'!$A$4:$A$503,_calc!$E$351))=0,"",INDEX('Inspections'!$A$4:$A$503,_calc!$E$351)))</f>
        <v/>
      </c>
      <c r="B349" s="55">
        <f>IF(_calc!$E$351="","",IF(ISNUMBER(INDEX('Inspections'!$H$4:$H$503,_calc!$E$351)),TEXT(INDEX('Inspections'!$H$4:$H$503,_calc!$E$351),"yyyy-mm-dd"),""))</f>
        <v/>
      </c>
      <c r="C349" s="55">
        <f>IF(_calc!$E$351="","","Inspection")</f>
        <v/>
      </c>
      <c r="D349" s="55">
        <f>IF(_calc!$E$351="","",IF(ISNUMBER(INDEX('Inspections'!$G$4:$G$503,_calc!$E$351)),TEXT(INDEX('Inspections'!$G$4:$G$503,_calc!$E$351),"yyyy-mm-dd"),""))</f>
        <v/>
      </c>
      <c r="F349" s="55">
        <f>IF(_calc!$E$351="","",TRIM(IF(LEN(IF(LEN(INDEX('Inspections'!$B$4:$B$503,_calc!$E$351))=0,"",INDEX('Inspections'!$B$4:$B$503,_calc!$E$351)))=0,"","System: "&amp;IF(LEN(INDEX('Inspections'!$B$4:$B$503,_calc!$E$351))=0,"",INDEX('Inspections'!$B$4:$B$503,_calc!$E$351))&amp;". ")&amp;IF(LEN(IF(LEN(INDEX('Inspections'!$D$4:$D$503,_calc!$E$351))=0,"",INDEX('Inspections'!$D$4:$D$503,_calc!$E$351)))=0,"","Every: "&amp;IF(LEN(INDEX('Inspections'!$D$4:$D$503,_calc!$E$351))=0,"",INDEX('Inspections'!$D$4:$D$503,_calc!$E$351))&amp;". ")&amp;IF(LEN(IF(LEN(INDEX('Inspections'!$E$4:$E$503,_calc!$E$351))=0,"",INDEX('Inspections'!$E$4:$E$503,_calc!$E$351)))=0,"","Unit: "&amp;IF(LEN(INDEX('Inspections'!$E$4:$E$503,_calc!$E$351))=0,"",INDEX('Inspections'!$E$4:$E$503,_calc!$E$351))&amp;". ")&amp;IF(LEN(IF(LEN(INDEX('Inspections'!$F$4:$F$503,_calc!$E$351))=0,"",INDEX('Inspections'!$F$4:$F$503,_calc!$E$351)))=0,"","Done by: "&amp;IF(LEN(INDEX('Inspections'!$F$4:$F$503,_calc!$E$351))=0,"",INDEX('Inspections'!$F$4:$F$503,_calc!$E$351))&amp;". ")&amp;IF(LEN(IF(LEN(INDEX('Inspections'!$M$4:$M$503,_calc!$E$351))=0,"",INDEX('Inspections'!$M$4:$M$503,_calc!$E$351)))=0,"","Source: "&amp;IF(LEN(INDEX('Inspections'!$M$4:$M$503,_calc!$E$351))=0,"",INDEX('Inspections'!$M$4:$M$503,_calc!$E$351))&amp;". ")&amp;IF(LEN(IF(LEN(INDEX('Inspections'!$N$4:$N$503,_calc!$E$351))=0,"",INDEX('Inspections'!$N$4:$N$503,_calc!$E$351)))=0,"","Owner: "&amp;IF(LEN(INDEX('Inspections'!$N$4:$N$503,_calc!$E$351))=0,"",INDEX('Inspections'!$N$4:$N$503,_calc!$E$351))&amp;". ")&amp;IF(LEN(IF(LEN(INDEX('Inspections'!$O$4:$O$503,_calc!$E$351))=0,"",INDEX('Inspections'!$O$4:$O$503,_calc!$E$351)))=0,"","Backup: "&amp;IF(LEN(INDEX('Inspections'!$O$4:$O$503,_calc!$E$351))=0,"",INDEX('Inspections'!$O$4:$O$503,_calc!$E$351))&amp;". ")&amp;IF(LEN(IF(LEN(INDEX('Inspections'!$R$4:$R$503,_calc!$E$351))=0,"",INDEX('Inspections'!$R$4:$R$503,_calc!$E$351)))=0,"",IF(LEN(INDEX('Inspections'!$R$4:$R$503,_calc!$E$351))=0,"",INDEX('Inspections'!$R$4:$R$503,_calc!$E$351)))))</f>
        <v/>
      </c>
      <c r="G349" s="55">
        <f>IF(_calc!$E$351="","",IF(LEN(INDEX('Inspections'!$Q$4:$Q$503,_calc!$E$351))=0,"",INDEX('Inspections'!$Q$4:$Q$503,_calc!$E$351)))</f>
        <v/>
      </c>
      <c r="K349" s="55">
        <f>IF(_calc!$E$351="","",IF(LEN(INDEX('Inspections'!$P$4:$P$503,_calc!$E$351))=0,"",INDEX('Inspections'!$P$4:$P$503,_calc!$E$351)))</f>
        <v/>
      </c>
    </row>
    <row r="350">
      <c r="A350" s="55">
        <f>IF(_calc!$E$352="","",IF(LEN(INDEX('Inspections'!$C$4:$C$503,_calc!$E$352))=0,"",INDEX('Inspections'!$C$4:$C$503,_calc!$E$352))&amp;" – "&amp;IF(LEN(INDEX('Inspections'!$A$4:$A$503,_calc!$E$352))=0,"",INDEX('Inspections'!$A$4:$A$503,_calc!$E$352)))</f>
        <v/>
      </c>
      <c r="B350" s="55">
        <f>IF(_calc!$E$352="","",IF(ISNUMBER(INDEX('Inspections'!$H$4:$H$503,_calc!$E$352)),TEXT(INDEX('Inspections'!$H$4:$H$503,_calc!$E$352),"yyyy-mm-dd"),""))</f>
        <v/>
      </c>
      <c r="C350" s="55">
        <f>IF(_calc!$E$352="","","Inspection")</f>
        <v/>
      </c>
      <c r="D350" s="55">
        <f>IF(_calc!$E$352="","",IF(ISNUMBER(INDEX('Inspections'!$G$4:$G$503,_calc!$E$352)),TEXT(INDEX('Inspections'!$G$4:$G$503,_calc!$E$352),"yyyy-mm-dd"),""))</f>
        <v/>
      </c>
      <c r="F350" s="55">
        <f>IF(_calc!$E$352="","",TRIM(IF(LEN(IF(LEN(INDEX('Inspections'!$B$4:$B$503,_calc!$E$352))=0,"",INDEX('Inspections'!$B$4:$B$503,_calc!$E$352)))=0,"","System: "&amp;IF(LEN(INDEX('Inspections'!$B$4:$B$503,_calc!$E$352))=0,"",INDEX('Inspections'!$B$4:$B$503,_calc!$E$352))&amp;". ")&amp;IF(LEN(IF(LEN(INDEX('Inspections'!$D$4:$D$503,_calc!$E$352))=0,"",INDEX('Inspections'!$D$4:$D$503,_calc!$E$352)))=0,"","Every: "&amp;IF(LEN(INDEX('Inspections'!$D$4:$D$503,_calc!$E$352))=0,"",INDEX('Inspections'!$D$4:$D$503,_calc!$E$352))&amp;". ")&amp;IF(LEN(IF(LEN(INDEX('Inspections'!$E$4:$E$503,_calc!$E$352))=0,"",INDEX('Inspections'!$E$4:$E$503,_calc!$E$352)))=0,"","Unit: "&amp;IF(LEN(INDEX('Inspections'!$E$4:$E$503,_calc!$E$352))=0,"",INDEX('Inspections'!$E$4:$E$503,_calc!$E$352))&amp;". ")&amp;IF(LEN(IF(LEN(INDEX('Inspections'!$F$4:$F$503,_calc!$E$352))=0,"",INDEX('Inspections'!$F$4:$F$503,_calc!$E$352)))=0,"","Done by: "&amp;IF(LEN(INDEX('Inspections'!$F$4:$F$503,_calc!$E$352))=0,"",INDEX('Inspections'!$F$4:$F$503,_calc!$E$352))&amp;". ")&amp;IF(LEN(IF(LEN(INDEX('Inspections'!$M$4:$M$503,_calc!$E$352))=0,"",INDEX('Inspections'!$M$4:$M$503,_calc!$E$352)))=0,"","Source: "&amp;IF(LEN(INDEX('Inspections'!$M$4:$M$503,_calc!$E$352))=0,"",INDEX('Inspections'!$M$4:$M$503,_calc!$E$352))&amp;". ")&amp;IF(LEN(IF(LEN(INDEX('Inspections'!$N$4:$N$503,_calc!$E$352))=0,"",INDEX('Inspections'!$N$4:$N$503,_calc!$E$352)))=0,"","Owner: "&amp;IF(LEN(INDEX('Inspections'!$N$4:$N$503,_calc!$E$352))=0,"",INDEX('Inspections'!$N$4:$N$503,_calc!$E$352))&amp;". ")&amp;IF(LEN(IF(LEN(INDEX('Inspections'!$O$4:$O$503,_calc!$E$352))=0,"",INDEX('Inspections'!$O$4:$O$503,_calc!$E$352)))=0,"","Backup: "&amp;IF(LEN(INDEX('Inspections'!$O$4:$O$503,_calc!$E$352))=0,"",INDEX('Inspections'!$O$4:$O$503,_calc!$E$352))&amp;". ")&amp;IF(LEN(IF(LEN(INDEX('Inspections'!$R$4:$R$503,_calc!$E$352))=0,"",INDEX('Inspections'!$R$4:$R$503,_calc!$E$352)))=0,"",IF(LEN(INDEX('Inspections'!$R$4:$R$503,_calc!$E$352))=0,"",INDEX('Inspections'!$R$4:$R$503,_calc!$E$352)))))</f>
        <v/>
      </c>
      <c r="G350" s="55">
        <f>IF(_calc!$E$352="","",IF(LEN(INDEX('Inspections'!$Q$4:$Q$503,_calc!$E$352))=0,"",INDEX('Inspections'!$Q$4:$Q$503,_calc!$E$352)))</f>
        <v/>
      </c>
      <c r="K350" s="55">
        <f>IF(_calc!$E$352="","",IF(LEN(INDEX('Inspections'!$P$4:$P$503,_calc!$E$352))=0,"",INDEX('Inspections'!$P$4:$P$503,_calc!$E$352)))</f>
        <v/>
      </c>
    </row>
    <row r="351">
      <c r="A351" s="55">
        <f>IF(_calc!$E$353="","",IF(LEN(INDEX('Inspections'!$C$4:$C$503,_calc!$E$353))=0,"",INDEX('Inspections'!$C$4:$C$503,_calc!$E$353))&amp;" – "&amp;IF(LEN(INDEX('Inspections'!$A$4:$A$503,_calc!$E$353))=0,"",INDEX('Inspections'!$A$4:$A$503,_calc!$E$353)))</f>
        <v/>
      </c>
      <c r="B351" s="55">
        <f>IF(_calc!$E$353="","",IF(ISNUMBER(INDEX('Inspections'!$H$4:$H$503,_calc!$E$353)),TEXT(INDEX('Inspections'!$H$4:$H$503,_calc!$E$353),"yyyy-mm-dd"),""))</f>
        <v/>
      </c>
      <c r="C351" s="55">
        <f>IF(_calc!$E$353="","","Inspection")</f>
        <v/>
      </c>
      <c r="D351" s="55">
        <f>IF(_calc!$E$353="","",IF(ISNUMBER(INDEX('Inspections'!$G$4:$G$503,_calc!$E$353)),TEXT(INDEX('Inspections'!$G$4:$G$503,_calc!$E$353),"yyyy-mm-dd"),""))</f>
        <v/>
      </c>
      <c r="F351" s="55">
        <f>IF(_calc!$E$353="","",TRIM(IF(LEN(IF(LEN(INDEX('Inspections'!$B$4:$B$503,_calc!$E$353))=0,"",INDEX('Inspections'!$B$4:$B$503,_calc!$E$353)))=0,"","System: "&amp;IF(LEN(INDEX('Inspections'!$B$4:$B$503,_calc!$E$353))=0,"",INDEX('Inspections'!$B$4:$B$503,_calc!$E$353))&amp;". ")&amp;IF(LEN(IF(LEN(INDEX('Inspections'!$D$4:$D$503,_calc!$E$353))=0,"",INDEX('Inspections'!$D$4:$D$503,_calc!$E$353)))=0,"","Every: "&amp;IF(LEN(INDEX('Inspections'!$D$4:$D$503,_calc!$E$353))=0,"",INDEX('Inspections'!$D$4:$D$503,_calc!$E$353))&amp;". ")&amp;IF(LEN(IF(LEN(INDEX('Inspections'!$E$4:$E$503,_calc!$E$353))=0,"",INDEX('Inspections'!$E$4:$E$503,_calc!$E$353)))=0,"","Unit: "&amp;IF(LEN(INDEX('Inspections'!$E$4:$E$503,_calc!$E$353))=0,"",INDEX('Inspections'!$E$4:$E$503,_calc!$E$353))&amp;". ")&amp;IF(LEN(IF(LEN(INDEX('Inspections'!$F$4:$F$503,_calc!$E$353))=0,"",INDEX('Inspections'!$F$4:$F$503,_calc!$E$353)))=0,"","Done by: "&amp;IF(LEN(INDEX('Inspections'!$F$4:$F$503,_calc!$E$353))=0,"",INDEX('Inspections'!$F$4:$F$503,_calc!$E$353))&amp;". ")&amp;IF(LEN(IF(LEN(INDEX('Inspections'!$M$4:$M$503,_calc!$E$353))=0,"",INDEX('Inspections'!$M$4:$M$503,_calc!$E$353)))=0,"","Source: "&amp;IF(LEN(INDEX('Inspections'!$M$4:$M$503,_calc!$E$353))=0,"",INDEX('Inspections'!$M$4:$M$503,_calc!$E$353))&amp;". ")&amp;IF(LEN(IF(LEN(INDEX('Inspections'!$N$4:$N$503,_calc!$E$353))=0,"",INDEX('Inspections'!$N$4:$N$503,_calc!$E$353)))=0,"","Owner: "&amp;IF(LEN(INDEX('Inspections'!$N$4:$N$503,_calc!$E$353))=0,"",INDEX('Inspections'!$N$4:$N$503,_calc!$E$353))&amp;". ")&amp;IF(LEN(IF(LEN(INDEX('Inspections'!$O$4:$O$503,_calc!$E$353))=0,"",INDEX('Inspections'!$O$4:$O$503,_calc!$E$353)))=0,"","Backup: "&amp;IF(LEN(INDEX('Inspections'!$O$4:$O$503,_calc!$E$353))=0,"",INDEX('Inspections'!$O$4:$O$503,_calc!$E$353))&amp;". ")&amp;IF(LEN(IF(LEN(INDEX('Inspections'!$R$4:$R$503,_calc!$E$353))=0,"",INDEX('Inspections'!$R$4:$R$503,_calc!$E$353)))=0,"",IF(LEN(INDEX('Inspections'!$R$4:$R$503,_calc!$E$353))=0,"",INDEX('Inspections'!$R$4:$R$503,_calc!$E$353)))))</f>
        <v/>
      </c>
      <c r="G351" s="55">
        <f>IF(_calc!$E$353="","",IF(LEN(INDEX('Inspections'!$Q$4:$Q$503,_calc!$E$353))=0,"",INDEX('Inspections'!$Q$4:$Q$503,_calc!$E$353)))</f>
        <v/>
      </c>
      <c r="K351" s="55">
        <f>IF(_calc!$E$353="","",IF(LEN(INDEX('Inspections'!$P$4:$P$503,_calc!$E$353))=0,"",INDEX('Inspections'!$P$4:$P$503,_calc!$E$353)))</f>
        <v/>
      </c>
    </row>
    <row r="352">
      <c r="A352" s="55">
        <f>IF(_calc!$E$354="","",IF(LEN(INDEX('Inspections'!$C$4:$C$503,_calc!$E$354))=0,"",INDEX('Inspections'!$C$4:$C$503,_calc!$E$354))&amp;" – "&amp;IF(LEN(INDEX('Inspections'!$A$4:$A$503,_calc!$E$354))=0,"",INDEX('Inspections'!$A$4:$A$503,_calc!$E$354)))</f>
        <v/>
      </c>
      <c r="B352" s="55">
        <f>IF(_calc!$E$354="","",IF(ISNUMBER(INDEX('Inspections'!$H$4:$H$503,_calc!$E$354)),TEXT(INDEX('Inspections'!$H$4:$H$503,_calc!$E$354),"yyyy-mm-dd"),""))</f>
        <v/>
      </c>
      <c r="C352" s="55">
        <f>IF(_calc!$E$354="","","Inspection")</f>
        <v/>
      </c>
      <c r="D352" s="55">
        <f>IF(_calc!$E$354="","",IF(ISNUMBER(INDEX('Inspections'!$G$4:$G$503,_calc!$E$354)),TEXT(INDEX('Inspections'!$G$4:$G$503,_calc!$E$354),"yyyy-mm-dd"),""))</f>
        <v/>
      </c>
      <c r="F352" s="55">
        <f>IF(_calc!$E$354="","",TRIM(IF(LEN(IF(LEN(INDEX('Inspections'!$B$4:$B$503,_calc!$E$354))=0,"",INDEX('Inspections'!$B$4:$B$503,_calc!$E$354)))=0,"","System: "&amp;IF(LEN(INDEX('Inspections'!$B$4:$B$503,_calc!$E$354))=0,"",INDEX('Inspections'!$B$4:$B$503,_calc!$E$354))&amp;". ")&amp;IF(LEN(IF(LEN(INDEX('Inspections'!$D$4:$D$503,_calc!$E$354))=0,"",INDEX('Inspections'!$D$4:$D$503,_calc!$E$354)))=0,"","Every: "&amp;IF(LEN(INDEX('Inspections'!$D$4:$D$503,_calc!$E$354))=0,"",INDEX('Inspections'!$D$4:$D$503,_calc!$E$354))&amp;". ")&amp;IF(LEN(IF(LEN(INDEX('Inspections'!$E$4:$E$503,_calc!$E$354))=0,"",INDEX('Inspections'!$E$4:$E$503,_calc!$E$354)))=0,"","Unit: "&amp;IF(LEN(INDEX('Inspections'!$E$4:$E$503,_calc!$E$354))=0,"",INDEX('Inspections'!$E$4:$E$503,_calc!$E$354))&amp;". ")&amp;IF(LEN(IF(LEN(INDEX('Inspections'!$F$4:$F$503,_calc!$E$354))=0,"",INDEX('Inspections'!$F$4:$F$503,_calc!$E$354)))=0,"","Done by: "&amp;IF(LEN(INDEX('Inspections'!$F$4:$F$503,_calc!$E$354))=0,"",INDEX('Inspections'!$F$4:$F$503,_calc!$E$354))&amp;". ")&amp;IF(LEN(IF(LEN(INDEX('Inspections'!$M$4:$M$503,_calc!$E$354))=0,"",INDEX('Inspections'!$M$4:$M$503,_calc!$E$354)))=0,"","Source: "&amp;IF(LEN(INDEX('Inspections'!$M$4:$M$503,_calc!$E$354))=0,"",INDEX('Inspections'!$M$4:$M$503,_calc!$E$354))&amp;". ")&amp;IF(LEN(IF(LEN(INDEX('Inspections'!$N$4:$N$503,_calc!$E$354))=0,"",INDEX('Inspections'!$N$4:$N$503,_calc!$E$354)))=0,"","Owner: "&amp;IF(LEN(INDEX('Inspections'!$N$4:$N$503,_calc!$E$354))=0,"",INDEX('Inspections'!$N$4:$N$503,_calc!$E$354))&amp;". ")&amp;IF(LEN(IF(LEN(INDEX('Inspections'!$O$4:$O$503,_calc!$E$354))=0,"",INDEX('Inspections'!$O$4:$O$503,_calc!$E$354)))=0,"","Backup: "&amp;IF(LEN(INDEX('Inspections'!$O$4:$O$503,_calc!$E$354))=0,"",INDEX('Inspections'!$O$4:$O$503,_calc!$E$354))&amp;". ")&amp;IF(LEN(IF(LEN(INDEX('Inspections'!$R$4:$R$503,_calc!$E$354))=0,"",INDEX('Inspections'!$R$4:$R$503,_calc!$E$354)))=0,"",IF(LEN(INDEX('Inspections'!$R$4:$R$503,_calc!$E$354))=0,"",INDEX('Inspections'!$R$4:$R$503,_calc!$E$354)))))</f>
        <v/>
      </c>
      <c r="G352" s="55">
        <f>IF(_calc!$E$354="","",IF(LEN(INDEX('Inspections'!$Q$4:$Q$503,_calc!$E$354))=0,"",INDEX('Inspections'!$Q$4:$Q$503,_calc!$E$354)))</f>
        <v/>
      </c>
      <c r="K352" s="55">
        <f>IF(_calc!$E$354="","",IF(LEN(INDEX('Inspections'!$P$4:$P$503,_calc!$E$354))=0,"",INDEX('Inspections'!$P$4:$P$503,_calc!$E$354)))</f>
        <v/>
      </c>
    </row>
    <row r="353">
      <c r="A353" s="55">
        <f>IF(_calc!$E$355="","",IF(LEN(INDEX('Inspections'!$C$4:$C$503,_calc!$E$355))=0,"",INDEX('Inspections'!$C$4:$C$503,_calc!$E$355))&amp;" – "&amp;IF(LEN(INDEX('Inspections'!$A$4:$A$503,_calc!$E$355))=0,"",INDEX('Inspections'!$A$4:$A$503,_calc!$E$355)))</f>
        <v/>
      </c>
      <c r="B353" s="55">
        <f>IF(_calc!$E$355="","",IF(ISNUMBER(INDEX('Inspections'!$H$4:$H$503,_calc!$E$355)),TEXT(INDEX('Inspections'!$H$4:$H$503,_calc!$E$355),"yyyy-mm-dd"),""))</f>
        <v/>
      </c>
      <c r="C353" s="55">
        <f>IF(_calc!$E$355="","","Inspection")</f>
        <v/>
      </c>
      <c r="D353" s="55">
        <f>IF(_calc!$E$355="","",IF(ISNUMBER(INDEX('Inspections'!$G$4:$G$503,_calc!$E$355)),TEXT(INDEX('Inspections'!$G$4:$G$503,_calc!$E$355),"yyyy-mm-dd"),""))</f>
        <v/>
      </c>
      <c r="F353" s="55">
        <f>IF(_calc!$E$355="","",TRIM(IF(LEN(IF(LEN(INDEX('Inspections'!$B$4:$B$503,_calc!$E$355))=0,"",INDEX('Inspections'!$B$4:$B$503,_calc!$E$355)))=0,"","System: "&amp;IF(LEN(INDEX('Inspections'!$B$4:$B$503,_calc!$E$355))=0,"",INDEX('Inspections'!$B$4:$B$503,_calc!$E$355))&amp;". ")&amp;IF(LEN(IF(LEN(INDEX('Inspections'!$D$4:$D$503,_calc!$E$355))=0,"",INDEX('Inspections'!$D$4:$D$503,_calc!$E$355)))=0,"","Every: "&amp;IF(LEN(INDEX('Inspections'!$D$4:$D$503,_calc!$E$355))=0,"",INDEX('Inspections'!$D$4:$D$503,_calc!$E$355))&amp;". ")&amp;IF(LEN(IF(LEN(INDEX('Inspections'!$E$4:$E$503,_calc!$E$355))=0,"",INDEX('Inspections'!$E$4:$E$503,_calc!$E$355)))=0,"","Unit: "&amp;IF(LEN(INDEX('Inspections'!$E$4:$E$503,_calc!$E$355))=0,"",INDEX('Inspections'!$E$4:$E$503,_calc!$E$355))&amp;". ")&amp;IF(LEN(IF(LEN(INDEX('Inspections'!$F$4:$F$503,_calc!$E$355))=0,"",INDEX('Inspections'!$F$4:$F$503,_calc!$E$355)))=0,"","Done by: "&amp;IF(LEN(INDEX('Inspections'!$F$4:$F$503,_calc!$E$355))=0,"",INDEX('Inspections'!$F$4:$F$503,_calc!$E$355))&amp;". ")&amp;IF(LEN(IF(LEN(INDEX('Inspections'!$M$4:$M$503,_calc!$E$355))=0,"",INDEX('Inspections'!$M$4:$M$503,_calc!$E$355)))=0,"","Source: "&amp;IF(LEN(INDEX('Inspections'!$M$4:$M$503,_calc!$E$355))=0,"",INDEX('Inspections'!$M$4:$M$503,_calc!$E$355))&amp;". ")&amp;IF(LEN(IF(LEN(INDEX('Inspections'!$N$4:$N$503,_calc!$E$355))=0,"",INDEX('Inspections'!$N$4:$N$503,_calc!$E$355)))=0,"","Owner: "&amp;IF(LEN(INDEX('Inspections'!$N$4:$N$503,_calc!$E$355))=0,"",INDEX('Inspections'!$N$4:$N$503,_calc!$E$355))&amp;". ")&amp;IF(LEN(IF(LEN(INDEX('Inspections'!$O$4:$O$503,_calc!$E$355))=0,"",INDEX('Inspections'!$O$4:$O$503,_calc!$E$355)))=0,"","Backup: "&amp;IF(LEN(INDEX('Inspections'!$O$4:$O$503,_calc!$E$355))=0,"",INDEX('Inspections'!$O$4:$O$503,_calc!$E$355))&amp;". ")&amp;IF(LEN(IF(LEN(INDEX('Inspections'!$R$4:$R$503,_calc!$E$355))=0,"",INDEX('Inspections'!$R$4:$R$503,_calc!$E$355)))=0,"",IF(LEN(INDEX('Inspections'!$R$4:$R$503,_calc!$E$355))=0,"",INDEX('Inspections'!$R$4:$R$503,_calc!$E$355)))))</f>
        <v/>
      </c>
      <c r="G353" s="55">
        <f>IF(_calc!$E$355="","",IF(LEN(INDEX('Inspections'!$Q$4:$Q$503,_calc!$E$355))=0,"",INDEX('Inspections'!$Q$4:$Q$503,_calc!$E$355)))</f>
        <v/>
      </c>
      <c r="K353" s="55">
        <f>IF(_calc!$E$355="","",IF(LEN(INDEX('Inspections'!$P$4:$P$503,_calc!$E$355))=0,"",INDEX('Inspections'!$P$4:$P$503,_calc!$E$355)))</f>
        <v/>
      </c>
    </row>
    <row r="354">
      <c r="A354" s="55">
        <f>IF(_calc!$E$356="","",IF(LEN(INDEX('Inspections'!$C$4:$C$503,_calc!$E$356))=0,"",INDEX('Inspections'!$C$4:$C$503,_calc!$E$356))&amp;" – "&amp;IF(LEN(INDEX('Inspections'!$A$4:$A$503,_calc!$E$356))=0,"",INDEX('Inspections'!$A$4:$A$503,_calc!$E$356)))</f>
        <v/>
      </c>
      <c r="B354" s="55">
        <f>IF(_calc!$E$356="","",IF(ISNUMBER(INDEX('Inspections'!$H$4:$H$503,_calc!$E$356)),TEXT(INDEX('Inspections'!$H$4:$H$503,_calc!$E$356),"yyyy-mm-dd"),""))</f>
        <v/>
      </c>
      <c r="C354" s="55">
        <f>IF(_calc!$E$356="","","Inspection")</f>
        <v/>
      </c>
      <c r="D354" s="55">
        <f>IF(_calc!$E$356="","",IF(ISNUMBER(INDEX('Inspections'!$G$4:$G$503,_calc!$E$356)),TEXT(INDEX('Inspections'!$G$4:$G$503,_calc!$E$356),"yyyy-mm-dd"),""))</f>
        <v/>
      </c>
      <c r="F354" s="55">
        <f>IF(_calc!$E$356="","",TRIM(IF(LEN(IF(LEN(INDEX('Inspections'!$B$4:$B$503,_calc!$E$356))=0,"",INDEX('Inspections'!$B$4:$B$503,_calc!$E$356)))=0,"","System: "&amp;IF(LEN(INDEX('Inspections'!$B$4:$B$503,_calc!$E$356))=0,"",INDEX('Inspections'!$B$4:$B$503,_calc!$E$356))&amp;". ")&amp;IF(LEN(IF(LEN(INDEX('Inspections'!$D$4:$D$503,_calc!$E$356))=0,"",INDEX('Inspections'!$D$4:$D$503,_calc!$E$356)))=0,"","Every: "&amp;IF(LEN(INDEX('Inspections'!$D$4:$D$503,_calc!$E$356))=0,"",INDEX('Inspections'!$D$4:$D$503,_calc!$E$356))&amp;". ")&amp;IF(LEN(IF(LEN(INDEX('Inspections'!$E$4:$E$503,_calc!$E$356))=0,"",INDEX('Inspections'!$E$4:$E$503,_calc!$E$356)))=0,"","Unit: "&amp;IF(LEN(INDEX('Inspections'!$E$4:$E$503,_calc!$E$356))=0,"",INDEX('Inspections'!$E$4:$E$503,_calc!$E$356))&amp;". ")&amp;IF(LEN(IF(LEN(INDEX('Inspections'!$F$4:$F$503,_calc!$E$356))=0,"",INDEX('Inspections'!$F$4:$F$503,_calc!$E$356)))=0,"","Done by: "&amp;IF(LEN(INDEX('Inspections'!$F$4:$F$503,_calc!$E$356))=0,"",INDEX('Inspections'!$F$4:$F$503,_calc!$E$356))&amp;". ")&amp;IF(LEN(IF(LEN(INDEX('Inspections'!$M$4:$M$503,_calc!$E$356))=0,"",INDEX('Inspections'!$M$4:$M$503,_calc!$E$356)))=0,"","Source: "&amp;IF(LEN(INDEX('Inspections'!$M$4:$M$503,_calc!$E$356))=0,"",INDEX('Inspections'!$M$4:$M$503,_calc!$E$356))&amp;". ")&amp;IF(LEN(IF(LEN(INDEX('Inspections'!$N$4:$N$503,_calc!$E$356))=0,"",INDEX('Inspections'!$N$4:$N$503,_calc!$E$356)))=0,"","Owner: "&amp;IF(LEN(INDEX('Inspections'!$N$4:$N$503,_calc!$E$356))=0,"",INDEX('Inspections'!$N$4:$N$503,_calc!$E$356))&amp;". ")&amp;IF(LEN(IF(LEN(INDEX('Inspections'!$O$4:$O$503,_calc!$E$356))=0,"",INDEX('Inspections'!$O$4:$O$503,_calc!$E$356)))=0,"","Backup: "&amp;IF(LEN(INDEX('Inspections'!$O$4:$O$503,_calc!$E$356))=0,"",INDEX('Inspections'!$O$4:$O$503,_calc!$E$356))&amp;". ")&amp;IF(LEN(IF(LEN(INDEX('Inspections'!$R$4:$R$503,_calc!$E$356))=0,"",INDEX('Inspections'!$R$4:$R$503,_calc!$E$356)))=0,"",IF(LEN(INDEX('Inspections'!$R$4:$R$503,_calc!$E$356))=0,"",INDEX('Inspections'!$R$4:$R$503,_calc!$E$356)))))</f>
        <v/>
      </c>
      <c r="G354" s="55">
        <f>IF(_calc!$E$356="","",IF(LEN(INDEX('Inspections'!$Q$4:$Q$503,_calc!$E$356))=0,"",INDEX('Inspections'!$Q$4:$Q$503,_calc!$E$356)))</f>
        <v/>
      </c>
      <c r="K354" s="55">
        <f>IF(_calc!$E$356="","",IF(LEN(INDEX('Inspections'!$P$4:$P$503,_calc!$E$356))=0,"",INDEX('Inspections'!$P$4:$P$503,_calc!$E$356)))</f>
        <v/>
      </c>
    </row>
    <row r="355">
      <c r="A355" s="55">
        <f>IF(_calc!$E$357="","",IF(LEN(INDEX('Inspections'!$C$4:$C$503,_calc!$E$357))=0,"",INDEX('Inspections'!$C$4:$C$503,_calc!$E$357))&amp;" – "&amp;IF(LEN(INDEX('Inspections'!$A$4:$A$503,_calc!$E$357))=0,"",INDEX('Inspections'!$A$4:$A$503,_calc!$E$357)))</f>
        <v/>
      </c>
      <c r="B355" s="55">
        <f>IF(_calc!$E$357="","",IF(ISNUMBER(INDEX('Inspections'!$H$4:$H$503,_calc!$E$357)),TEXT(INDEX('Inspections'!$H$4:$H$503,_calc!$E$357),"yyyy-mm-dd"),""))</f>
        <v/>
      </c>
      <c r="C355" s="55">
        <f>IF(_calc!$E$357="","","Inspection")</f>
        <v/>
      </c>
      <c r="D355" s="55">
        <f>IF(_calc!$E$357="","",IF(ISNUMBER(INDEX('Inspections'!$G$4:$G$503,_calc!$E$357)),TEXT(INDEX('Inspections'!$G$4:$G$503,_calc!$E$357),"yyyy-mm-dd"),""))</f>
        <v/>
      </c>
      <c r="F355" s="55">
        <f>IF(_calc!$E$357="","",TRIM(IF(LEN(IF(LEN(INDEX('Inspections'!$B$4:$B$503,_calc!$E$357))=0,"",INDEX('Inspections'!$B$4:$B$503,_calc!$E$357)))=0,"","System: "&amp;IF(LEN(INDEX('Inspections'!$B$4:$B$503,_calc!$E$357))=0,"",INDEX('Inspections'!$B$4:$B$503,_calc!$E$357))&amp;". ")&amp;IF(LEN(IF(LEN(INDEX('Inspections'!$D$4:$D$503,_calc!$E$357))=0,"",INDEX('Inspections'!$D$4:$D$503,_calc!$E$357)))=0,"","Every: "&amp;IF(LEN(INDEX('Inspections'!$D$4:$D$503,_calc!$E$357))=0,"",INDEX('Inspections'!$D$4:$D$503,_calc!$E$357))&amp;". ")&amp;IF(LEN(IF(LEN(INDEX('Inspections'!$E$4:$E$503,_calc!$E$357))=0,"",INDEX('Inspections'!$E$4:$E$503,_calc!$E$357)))=0,"","Unit: "&amp;IF(LEN(INDEX('Inspections'!$E$4:$E$503,_calc!$E$357))=0,"",INDEX('Inspections'!$E$4:$E$503,_calc!$E$357))&amp;". ")&amp;IF(LEN(IF(LEN(INDEX('Inspections'!$F$4:$F$503,_calc!$E$357))=0,"",INDEX('Inspections'!$F$4:$F$503,_calc!$E$357)))=0,"","Done by: "&amp;IF(LEN(INDEX('Inspections'!$F$4:$F$503,_calc!$E$357))=0,"",INDEX('Inspections'!$F$4:$F$503,_calc!$E$357))&amp;". ")&amp;IF(LEN(IF(LEN(INDEX('Inspections'!$M$4:$M$503,_calc!$E$357))=0,"",INDEX('Inspections'!$M$4:$M$503,_calc!$E$357)))=0,"","Source: "&amp;IF(LEN(INDEX('Inspections'!$M$4:$M$503,_calc!$E$357))=0,"",INDEX('Inspections'!$M$4:$M$503,_calc!$E$357))&amp;". ")&amp;IF(LEN(IF(LEN(INDEX('Inspections'!$N$4:$N$503,_calc!$E$357))=0,"",INDEX('Inspections'!$N$4:$N$503,_calc!$E$357)))=0,"","Owner: "&amp;IF(LEN(INDEX('Inspections'!$N$4:$N$503,_calc!$E$357))=0,"",INDEX('Inspections'!$N$4:$N$503,_calc!$E$357))&amp;". ")&amp;IF(LEN(IF(LEN(INDEX('Inspections'!$O$4:$O$503,_calc!$E$357))=0,"",INDEX('Inspections'!$O$4:$O$503,_calc!$E$357)))=0,"","Backup: "&amp;IF(LEN(INDEX('Inspections'!$O$4:$O$503,_calc!$E$357))=0,"",INDEX('Inspections'!$O$4:$O$503,_calc!$E$357))&amp;". ")&amp;IF(LEN(IF(LEN(INDEX('Inspections'!$R$4:$R$503,_calc!$E$357))=0,"",INDEX('Inspections'!$R$4:$R$503,_calc!$E$357)))=0,"",IF(LEN(INDEX('Inspections'!$R$4:$R$503,_calc!$E$357))=0,"",INDEX('Inspections'!$R$4:$R$503,_calc!$E$357)))))</f>
        <v/>
      </c>
      <c r="G355" s="55">
        <f>IF(_calc!$E$357="","",IF(LEN(INDEX('Inspections'!$Q$4:$Q$503,_calc!$E$357))=0,"",INDEX('Inspections'!$Q$4:$Q$503,_calc!$E$357)))</f>
        <v/>
      </c>
      <c r="K355" s="55">
        <f>IF(_calc!$E$357="","",IF(LEN(INDEX('Inspections'!$P$4:$P$503,_calc!$E$357))=0,"",INDEX('Inspections'!$P$4:$P$503,_calc!$E$357)))</f>
        <v/>
      </c>
    </row>
    <row r="356">
      <c r="A356" s="55">
        <f>IF(_calc!$E$358="","",IF(LEN(INDEX('Inspections'!$C$4:$C$503,_calc!$E$358))=0,"",INDEX('Inspections'!$C$4:$C$503,_calc!$E$358))&amp;" – "&amp;IF(LEN(INDEX('Inspections'!$A$4:$A$503,_calc!$E$358))=0,"",INDEX('Inspections'!$A$4:$A$503,_calc!$E$358)))</f>
        <v/>
      </c>
      <c r="B356" s="55">
        <f>IF(_calc!$E$358="","",IF(ISNUMBER(INDEX('Inspections'!$H$4:$H$503,_calc!$E$358)),TEXT(INDEX('Inspections'!$H$4:$H$503,_calc!$E$358),"yyyy-mm-dd"),""))</f>
        <v/>
      </c>
      <c r="C356" s="55">
        <f>IF(_calc!$E$358="","","Inspection")</f>
        <v/>
      </c>
      <c r="D356" s="55">
        <f>IF(_calc!$E$358="","",IF(ISNUMBER(INDEX('Inspections'!$G$4:$G$503,_calc!$E$358)),TEXT(INDEX('Inspections'!$G$4:$G$503,_calc!$E$358),"yyyy-mm-dd"),""))</f>
        <v/>
      </c>
      <c r="F356" s="55">
        <f>IF(_calc!$E$358="","",TRIM(IF(LEN(IF(LEN(INDEX('Inspections'!$B$4:$B$503,_calc!$E$358))=0,"",INDEX('Inspections'!$B$4:$B$503,_calc!$E$358)))=0,"","System: "&amp;IF(LEN(INDEX('Inspections'!$B$4:$B$503,_calc!$E$358))=0,"",INDEX('Inspections'!$B$4:$B$503,_calc!$E$358))&amp;". ")&amp;IF(LEN(IF(LEN(INDEX('Inspections'!$D$4:$D$503,_calc!$E$358))=0,"",INDEX('Inspections'!$D$4:$D$503,_calc!$E$358)))=0,"","Every: "&amp;IF(LEN(INDEX('Inspections'!$D$4:$D$503,_calc!$E$358))=0,"",INDEX('Inspections'!$D$4:$D$503,_calc!$E$358))&amp;". ")&amp;IF(LEN(IF(LEN(INDEX('Inspections'!$E$4:$E$503,_calc!$E$358))=0,"",INDEX('Inspections'!$E$4:$E$503,_calc!$E$358)))=0,"","Unit: "&amp;IF(LEN(INDEX('Inspections'!$E$4:$E$503,_calc!$E$358))=0,"",INDEX('Inspections'!$E$4:$E$503,_calc!$E$358))&amp;". ")&amp;IF(LEN(IF(LEN(INDEX('Inspections'!$F$4:$F$503,_calc!$E$358))=0,"",INDEX('Inspections'!$F$4:$F$503,_calc!$E$358)))=0,"","Done by: "&amp;IF(LEN(INDEX('Inspections'!$F$4:$F$503,_calc!$E$358))=0,"",INDEX('Inspections'!$F$4:$F$503,_calc!$E$358))&amp;". ")&amp;IF(LEN(IF(LEN(INDEX('Inspections'!$M$4:$M$503,_calc!$E$358))=0,"",INDEX('Inspections'!$M$4:$M$503,_calc!$E$358)))=0,"","Source: "&amp;IF(LEN(INDEX('Inspections'!$M$4:$M$503,_calc!$E$358))=0,"",INDEX('Inspections'!$M$4:$M$503,_calc!$E$358))&amp;". ")&amp;IF(LEN(IF(LEN(INDEX('Inspections'!$N$4:$N$503,_calc!$E$358))=0,"",INDEX('Inspections'!$N$4:$N$503,_calc!$E$358)))=0,"","Owner: "&amp;IF(LEN(INDEX('Inspections'!$N$4:$N$503,_calc!$E$358))=0,"",INDEX('Inspections'!$N$4:$N$503,_calc!$E$358))&amp;". ")&amp;IF(LEN(IF(LEN(INDEX('Inspections'!$O$4:$O$503,_calc!$E$358))=0,"",INDEX('Inspections'!$O$4:$O$503,_calc!$E$358)))=0,"","Backup: "&amp;IF(LEN(INDEX('Inspections'!$O$4:$O$503,_calc!$E$358))=0,"",INDEX('Inspections'!$O$4:$O$503,_calc!$E$358))&amp;". ")&amp;IF(LEN(IF(LEN(INDEX('Inspections'!$R$4:$R$503,_calc!$E$358))=0,"",INDEX('Inspections'!$R$4:$R$503,_calc!$E$358)))=0,"",IF(LEN(INDEX('Inspections'!$R$4:$R$503,_calc!$E$358))=0,"",INDEX('Inspections'!$R$4:$R$503,_calc!$E$358)))))</f>
        <v/>
      </c>
      <c r="G356" s="55">
        <f>IF(_calc!$E$358="","",IF(LEN(INDEX('Inspections'!$Q$4:$Q$503,_calc!$E$358))=0,"",INDEX('Inspections'!$Q$4:$Q$503,_calc!$E$358)))</f>
        <v/>
      </c>
      <c r="K356" s="55">
        <f>IF(_calc!$E$358="","",IF(LEN(INDEX('Inspections'!$P$4:$P$503,_calc!$E$358))=0,"",INDEX('Inspections'!$P$4:$P$503,_calc!$E$358)))</f>
        <v/>
      </c>
    </row>
    <row r="357">
      <c r="A357" s="55">
        <f>IF(_calc!$E$359="","",IF(LEN(INDEX('Inspections'!$C$4:$C$503,_calc!$E$359))=0,"",INDEX('Inspections'!$C$4:$C$503,_calc!$E$359))&amp;" – "&amp;IF(LEN(INDEX('Inspections'!$A$4:$A$503,_calc!$E$359))=0,"",INDEX('Inspections'!$A$4:$A$503,_calc!$E$359)))</f>
        <v/>
      </c>
      <c r="B357" s="55">
        <f>IF(_calc!$E$359="","",IF(ISNUMBER(INDEX('Inspections'!$H$4:$H$503,_calc!$E$359)),TEXT(INDEX('Inspections'!$H$4:$H$503,_calc!$E$359),"yyyy-mm-dd"),""))</f>
        <v/>
      </c>
      <c r="C357" s="55">
        <f>IF(_calc!$E$359="","","Inspection")</f>
        <v/>
      </c>
      <c r="D357" s="55">
        <f>IF(_calc!$E$359="","",IF(ISNUMBER(INDEX('Inspections'!$G$4:$G$503,_calc!$E$359)),TEXT(INDEX('Inspections'!$G$4:$G$503,_calc!$E$359),"yyyy-mm-dd"),""))</f>
        <v/>
      </c>
      <c r="F357" s="55">
        <f>IF(_calc!$E$359="","",TRIM(IF(LEN(IF(LEN(INDEX('Inspections'!$B$4:$B$503,_calc!$E$359))=0,"",INDEX('Inspections'!$B$4:$B$503,_calc!$E$359)))=0,"","System: "&amp;IF(LEN(INDEX('Inspections'!$B$4:$B$503,_calc!$E$359))=0,"",INDEX('Inspections'!$B$4:$B$503,_calc!$E$359))&amp;". ")&amp;IF(LEN(IF(LEN(INDEX('Inspections'!$D$4:$D$503,_calc!$E$359))=0,"",INDEX('Inspections'!$D$4:$D$503,_calc!$E$359)))=0,"","Every: "&amp;IF(LEN(INDEX('Inspections'!$D$4:$D$503,_calc!$E$359))=0,"",INDEX('Inspections'!$D$4:$D$503,_calc!$E$359))&amp;". ")&amp;IF(LEN(IF(LEN(INDEX('Inspections'!$E$4:$E$503,_calc!$E$359))=0,"",INDEX('Inspections'!$E$4:$E$503,_calc!$E$359)))=0,"","Unit: "&amp;IF(LEN(INDEX('Inspections'!$E$4:$E$503,_calc!$E$359))=0,"",INDEX('Inspections'!$E$4:$E$503,_calc!$E$359))&amp;". ")&amp;IF(LEN(IF(LEN(INDEX('Inspections'!$F$4:$F$503,_calc!$E$359))=0,"",INDEX('Inspections'!$F$4:$F$503,_calc!$E$359)))=0,"","Done by: "&amp;IF(LEN(INDEX('Inspections'!$F$4:$F$503,_calc!$E$359))=0,"",INDEX('Inspections'!$F$4:$F$503,_calc!$E$359))&amp;". ")&amp;IF(LEN(IF(LEN(INDEX('Inspections'!$M$4:$M$503,_calc!$E$359))=0,"",INDEX('Inspections'!$M$4:$M$503,_calc!$E$359)))=0,"","Source: "&amp;IF(LEN(INDEX('Inspections'!$M$4:$M$503,_calc!$E$359))=0,"",INDEX('Inspections'!$M$4:$M$503,_calc!$E$359))&amp;". ")&amp;IF(LEN(IF(LEN(INDEX('Inspections'!$N$4:$N$503,_calc!$E$359))=0,"",INDEX('Inspections'!$N$4:$N$503,_calc!$E$359)))=0,"","Owner: "&amp;IF(LEN(INDEX('Inspections'!$N$4:$N$503,_calc!$E$359))=0,"",INDEX('Inspections'!$N$4:$N$503,_calc!$E$359))&amp;". ")&amp;IF(LEN(IF(LEN(INDEX('Inspections'!$O$4:$O$503,_calc!$E$359))=0,"",INDEX('Inspections'!$O$4:$O$503,_calc!$E$359)))=0,"","Backup: "&amp;IF(LEN(INDEX('Inspections'!$O$4:$O$503,_calc!$E$359))=0,"",INDEX('Inspections'!$O$4:$O$503,_calc!$E$359))&amp;". ")&amp;IF(LEN(IF(LEN(INDEX('Inspections'!$R$4:$R$503,_calc!$E$359))=0,"",INDEX('Inspections'!$R$4:$R$503,_calc!$E$359)))=0,"",IF(LEN(INDEX('Inspections'!$R$4:$R$503,_calc!$E$359))=0,"",INDEX('Inspections'!$R$4:$R$503,_calc!$E$359)))))</f>
        <v/>
      </c>
      <c r="G357" s="55">
        <f>IF(_calc!$E$359="","",IF(LEN(INDEX('Inspections'!$Q$4:$Q$503,_calc!$E$359))=0,"",INDEX('Inspections'!$Q$4:$Q$503,_calc!$E$359)))</f>
        <v/>
      </c>
      <c r="K357" s="55">
        <f>IF(_calc!$E$359="","",IF(LEN(INDEX('Inspections'!$P$4:$P$503,_calc!$E$359))=0,"",INDEX('Inspections'!$P$4:$P$503,_calc!$E$359)))</f>
        <v/>
      </c>
    </row>
    <row r="358">
      <c r="A358" s="55">
        <f>IF(_calc!$E$360="","",IF(LEN(INDEX('Inspections'!$C$4:$C$503,_calc!$E$360))=0,"",INDEX('Inspections'!$C$4:$C$503,_calc!$E$360))&amp;" – "&amp;IF(LEN(INDEX('Inspections'!$A$4:$A$503,_calc!$E$360))=0,"",INDEX('Inspections'!$A$4:$A$503,_calc!$E$360)))</f>
        <v/>
      </c>
      <c r="B358" s="55">
        <f>IF(_calc!$E$360="","",IF(ISNUMBER(INDEX('Inspections'!$H$4:$H$503,_calc!$E$360)),TEXT(INDEX('Inspections'!$H$4:$H$503,_calc!$E$360),"yyyy-mm-dd"),""))</f>
        <v/>
      </c>
      <c r="C358" s="55">
        <f>IF(_calc!$E$360="","","Inspection")</f>
        <v/>
      </c>
      <c r="D358" s="55">
        <f>IF(_calc!$E$360="","",IF(ISNUMBER(INDEX('Inspections'!$G$4:$G$503,_calc!$E$360)),TEXT(INDEX('Inspections'!$G$4:$G$503,_calc!$E$360),"yyyy-mm-dd"),""))</f>
        <v/>
      </c>
      <c r="F358" s="55">
        <f>IF(_calc!$E$360="","",TRIM(IF(LEN(IF(LEN(INDEX('Inspections'!$B$4:$B$503,_calc!$E$360))=0,"",INDEX('Inspections'!$B$4:$B$503,_calc!$E$360)))=0,"","System: "&amp;IF(LEN(INDEX('Inspections'!$B$4:$B$503,_calc!$E$360))=0,"",INDEX('Inspections'!$B$4:$B$503,_calc!$E$360))&amp;". ")&amp;IF(LEN(IF(LEN(INDEX('Inspections'!$D$4:$D$503,_calc!$E$360))=0,"",INDEX('Inspections'!$D$4:$D$503,_calc!$E$360)))=0,"","Every: "&amp;IF(LEN(INDEX('Inspections'!$D$4:$D$503,_calc!$E$360))=0,"",INDEX('Inspections'!$D$4:$D$503,_calc!$E$360))&amp;". ")&amp;IF(LEN(IF(LEN(INDEX('Inspections'!$E$4:$E$503,_calc!$E$360))=0,"",INDEX('Inspections'!$E$4:$E$503,_calc!$E$360)))=0,"","Unit: "&amp;IF(LEN(INDEX('Inspections'!$E$4:$E$503,_calc!$E$360))=0,"",INDEX('Inspections'!$E$4:$E$503,_calc!$E$360))&amp;". ")&amp;IF(LEN(IF(LEN(INDEX('Inspections'!$F$4:$F$503,_calc!$E$360))=0,"",INDEX('Inspections'!$F$4:$F$503,_calc!$E$360)))=0,"","Done by: "&amp;IF(LEN(INDEX('Inspections'!$F$4:$F$503,_calc!$E$360))=0,"",INDEX('Inspections'!$F$4:$F$503,_calc!$E$360))&amp;". ")&amp;IF(LEN(IF(LEN(INDEX('Inspections'!$M$4:$M$503,_calc!$E$360))=0,"",INDEX('Inspections'!$M$4:$M$503,_calc!$E$360)))=0,"","Source: "&amp;IF(LEN(INDEX('Inspections'!$M$4:$M$503,_calc!$E$360))=0,"",INDEX('Inspections'!$M$4:$M$503,_calc!$E$360))&amp;". ")&amp;IF(LEN(IF(LEN(INDEX('Inspections'!$N$4:$N$503,_calc!$E$360))=0,"",INDEX('Inspections'!$N$4:$N$503,_calc!$E$360)))=0,"","Owner: "&amp;IF(LEN(INDEX('Inspections'!$N$4:$N$503,_calc!$E$360))=0,"",INDEX('Inspections'!$N$4:$N$503,_calc!$E$360))&amp;". ")&amp;IF(LEN(IF(LEN(INDEX('Inspections'!$O$4:$O$503,_calc!$E$360))=0,"",INDEX('Inspections'!$O$4:$O$503,_calc!$E$360)))=0,"","Backup: "&amp;IF(LEN(INDEX('Inspections'!$O$4:$O$503,_calc!$E$360))=0,"",INDEX('Inspections'!$O$4:$O$503,_calc!$E$360))&amp;". ")&amp;IF(LEN(IF(LEN(INDEX('Inspections'!$R$4:$R$503,_calc!$E$360))=0,"",INDEX('Inspections'!$R$4:$R$503,_calc!$E$360)))=0,"",IF(LEN(INDEX('Inspections'!$R$4:$R$503,_calc!$E$360))=0,"",INDEX('Inspections'!$R$4:$R$503,_calc!$E$360)))))</f>
        <v/>
      </c>
      <c r="G358" s="55">
        <f>IF(_calc!$E$360="","",IF(LEN(INDEX('Inspections'!$Q$4:$Q$503,_calc!$E$360))=0,"",INDEX('Inspections'!$Q$4:$Q$503,_calc!$E$360)))</f>
        <v/>
      </c>
      <c r="K358" s="55">
        <f>IF(_calc!$E$360="","",IF(LEN(INDEX('Inspections'!$P$4:$P$503,_calc!$E$360))=0,"",INDEX('Inspections'!$P$4:$P$503,_calc!$E$360)))</f>
        <v/>
      </c>
    </row>
    <row r="359">
      <c r="A359" s="55">
        <f>IF(_calc!$E$361="","",IF(LEN(INDEX('Inspections'!$C$4:$C$503,_calc!$E$361))=0,"",INDEX('Inspections'!$C$4:$C$503,_calc!$E$361))&amp;" – "&amp;IF(LEN(INDEX('Inspections'!$A$4:$A$503,_calc!$E$361))=0,"",INDEX('Inspections'!$A$4:$A$503,_calc!$E$361)))</f>
        <v/>
      </c>
      <c r="B359" s="55">
        <f>IF(_calc!$E$361="","",IF(ISNUMBER(INDEX('Inspections'!$H$4:$H$503,_calc!$E$361)),TEXT(INDEX('Inspections'!$H$4:$H$503,_calc!$E$361),"yyyy-mm-dd"),""))</f>
        <v/>
      </c>
      <c r="C359" s="55">
        <f>IF(_calc!$E$361="","","Inspection")</f>
        <v/>
      </c>
      <c r="D359" s="55">
        <f>IF(_calc!$E$361="","",IF(ISNUMBER(INDEX('Inspections'!$G$4:$G$503,_calc!$E$361)),TEXT(INDEX('Inspections'!$G$4:$G$503,_calc!$E$361),"yyyy-mm-dd"),""))</f>
        <v/>
      </c>
      <c r="F359" s="55">
        <f>IF(_calc!$E$361="","",TRIM(IF(LEN(IF(LEN(INDEX('Inspections'!$B$4:$B$503,_calc!$E$361))=0,"",INDEX('Inspections'!$B$4:$B$503,_calc!$E$361)))=0,"","System: "&amp;IF(LEN(INDEX('Inspections'!$B$4:$B$503,_calc!$E$361))=0,"",INDEX('Inspections'!$B$4:$B$503,_calc!$E$361))&amp;". ")&amp;IF(LEN(IF(LEN(INDEX('Inspections'!$D$4:$D$503,_calc!$E$361))=0,"",INDEX('Inspections'!$D$4:$D$503,_calc!$E$361)))=0,"","Every: "&amp;IF(LEN(INDEX('Inspections'!$D$4:$D$503,_calc!$E$361))=0,"",INDEX('Inspections'!$D$4:$D$503,_calc!$E$361))&amp;". ")&amp;IF(LEN(IF(LEN(INDEX('Inspections'!$E$4:$E$503,_calc!$E$361))=0,"",INDEX('Inspections'!$E$4:$E$503,_calc!$E$361)))=0,"","Unit: "&amp;IF(LEN(INDEX('Inspections'!$E$4:$E$503,_calc!$E$361))=0,"",INDEX('Inspections'!$E$4:$E$503,_calc!$E$361))&amp;". ")&amp;IF(LEN(IF(LEN(INDEX('Inspections'!$F$4:$F$503,_calc!$E$361))=0,"",INDEX('Inspections'!$F$4:$F$503,_calc!$E$361)))=0,"","Done by: "&amp;IF(LEN(INDEX('Inspections'!$F$4:$F$503,_calc!$E$361))=0,"",INDEX('Inspections'!$F$4:$F$503,_calc!$E$361))&amp;". ")&amp;IF(LEN(IF(LEN(INDEX('Inspections'!$M$4:$M$503,_calc!$E$361))=0,"",INDEX('Inspections'!$M$4:$M$503,_calc!$E$361)))=0,"","Source: "&amp;IF(LEN(INDEX('Inspections'!$M$4:$M$503,_calc!$E$361))=0,"",INDEX('Inspections'!$M$4:$M$503,_calc!$E$361))&amp;". ")&amp;IF(LEN(IF(LEN(INDEX('Inspections'!$N$4:$N$503,_calc!$E$361))=0,"",INDEX('Inspections'!$N$4:$N$503,_calc!$E$361)))=0,"","Owner: "&amp;IF(LEN(INDEX('Inspections'!$N$4:$N$503,_calc!$E$361))=0,"",INDEX('Inspections'!$N$4:$N$503,_calc!$E$361))&amp;". ")&amp;IF(LEN(IF(LEN(INDEX('Inspections'!$O$4:$O$503,_calc!$E$361))=0,"",INDEX('Inspections'!$O$4:$O$503,_calc!$E$361)))=0,"","Backup: "&amp;IF(LEN(INDEX('Inspections'!$O$4:$O$503,_calc!$E$361))=0,"",INDEX('Inspections'!$O$4:$O$503,_calc!$E$361))&amp;". ")&amp;IF(LEN(IF(LEN(INDEX('Inspections'!$R$4:$R$503,_calc!$E$361))=0,"",INDEX('Inspections'!$R$4:$R$503,_calc!$E$361)))=0,"",IF(LEN(INDEX('Inspections'!$R$4:$R$503,_calc!$E$361))=0,"",INDEX('Inspections'!$R$4:$R$503,_calc!$E$361)))))</f>
        <v/>
      </c>
      <c r="G359" s="55">
        <f>IF(_calc!$E$361="","",IF(LEN(INDEX('Inspections'!$Q$4:$Q$503,_calc!$E$361))=0,"",INDEX('Inspections'!$Q$4:$Q$503,_calc!$E$361)))</f>
        <v/>
      </c>
      <c r="K359" s="55">
        <f>IF(_calc!$E$361="","",IF(LEN(INDEX('Inspections'!$P$4:$P$503,_calc!$E$361))=0,"",INDEX('Inspections'!$P$4:$P$503,_calc!$E$361)))</f>
        <v/>
      </c>
    </row>
    <row r="360">
      <c r="A360" s="55">
        <f>IF(_calc!$E$362="","",IF(LEN(INDEX('Inspections'!$C$4:$C$503,_calc!$E$362))=0,"",INDEX('Inspections'!$C$4:$C$503,_calc!$E$362))&amp;" – "&amp;IF(LEN(INDEX('Inspections'!$A$4:$A$503,_calc!$E$362))=0,"",INDEX('Inspections'!$A$4:$A$503,_calc!$E$362)))</f>
        <v/>
      </c>
      <c r="B360" s="55">
        <f>IF(_calc!$E$362="","",IF(ISNUMBER(INDEX('Inspections'!$H$4:$H$503,_calc!$E$362)),TEXT(INDEX('Inspections'!$H$4:$H$503,_calc!$E$362),"yyyy-mm-dd"),""))</f>
        <v/>
      </c>
      <c r="C360" s="55">
        <f>IF(_calc!$E$362="","","Inspection")</f>
        <v/>
      </c>
      <c r="D360" s="55">
        <f>IF(_calc!$E$362="","",IF(ISNUMBER(INDEX('Inspections'!$G$4:$G$503,_calc!$E$362)),TEXT(INDEX('Inspections'!$G$4:$G$503,_calc!$E$362),"yyyy-mm-dd"),""))</f>
        <v/>
      </c>
      <c r="F360" s="55">
        <f>IF(_calc!$E$362="","",TRIM(IF(LEN(IF(LEN(INDEX('Inspections'!$B$4:$B$503,_calc!$E$362))=0,"",INDEX('Inspections'!$B$4:$B$503,_calc!$E$362)))=0,"","System: "&amp;IF(LEN(INDEX('Inspections'!$B$4:$B$503,_calc!$E$362))=0,"",INDEX('Inspections'!$B$4:$B$503,_calc!$E$362))&amp;". ")&amp;IF(LEN(IF(LEN(INDEX('Inspections'!$D$4:$D$503,_calc!$E$362))=0,"",INDEX('Inspections'!$D$4:$D$503,_calc!$E$362)))=0,"","Every: "&amp;IF(LEN(INDEX('Inspections'!$D$4:$D$503,_calc!$E$362))=0,"",INDEX('Inspections'!$D$4:$D$503,_calc!$E$362))&amp;". ")&amp;IF(LEN(IF(LEN(INDEX('Inspections'!$E$4:$E$503,_calc!$E$362))=0,"",INDEX('Inspections'!$E$4:$E$503,_calc!$E$362)))=0,"","Unit: "&amp;IF(LEN(INDEX('Inspections'!$E$4:$E$503,_calc!$E$362))=0,"",INDEX('Inspections'!$E$4:$E$503,_calc!$E$362))&amp;". ")&amp;IF(LEN(IF(LEN(INDEX('Inspections'!$F$4:$F$503,_calc!$E$362))=0,"",INDEX('Inspections'!$F$4:$F$503,_calc!$E$362)))=0,"","Done by: "&amp;IF(LEN(INDEX('Inspections'!$F$4:$F$503,_calc!$E$362))=0,"",INDEX('Inspections'!$F$4:$F$503,_calc!$E$362))&amp;". ")&amp;IF(LEN(IF(LEN(INDEX('Inspections'!$M$4:$M$503,_calc!$E$362))=0,"",INDEX('Inspections'!$M$4:$M$503,_calc!$E$362)))=0,"","Source: "&amp;IF(LEN(INDEX('Inspections'!$M$4:$M$503,_calc!$E$362))=0,"",INDEX('Inspections'!$M$4:$M$503,_calc!$E$362))&amp;". ")&amp;IF(LEN(IF(LEN(INDEX('Inspections'!$N$4:$N$503,_calc!$E$362))=0,"",INDEX('Inspections'!$N$4:$N$503,_calc!$E$362)))=0,"","Owner: "&amp;IF(LEN(INDEX('Inspections'!$N$4:$N$503,_calc!$E$362))=0,"",INDEX('Inspections'!$N$4:$N$503,_calc!$E$362))&amp;". ")&amp;IF(LEN(IF(LEN(INDEX('Inspections'!$O$4:$O$503,_calc!$E$362))=0,"",INDEX('Inspections'!$O$4:$O$503,_calc!$E$362)))=0,"","Backup: "&amp;IF(LEN(INDEX('Inspections'!$O$4:$O$503,_calc!$E$362))=0,"",INDEX('Inspections'!$O$4:$O$503,_calc!$E$362))&amp;". ")&amp;IF(LEN(IF(LEN(INDEX('Inspections'!$R$4:$R$503,_calc!$E$362))=0,"",INDEX('Inspections'!$R$4:$R$503,_calc!$E$362)))=0,"",IF(LEN(INDEX('Inspections'!$R$4:$R$503,_calc!$E$362))=0,"",INDEX('Inspections'!$R$4:$R$503,_calc!$E$362)))))</f>
        <v/>
      </c>
      <c r="G360" s="55">
        <f>IF(_calc!$E$362="","",IF(LEN(INDEX('Inspections'!$Q$4:$Q$503,_calc!$E$362))=0,"",INDEX('Inspections'!$Q$4:$Q$503,_calc!$E$362)))</f>
        <v/>
      </c>
      <c r="K360" s="55">
        <f>IF(_calc!$E$362="","",IF(LEN(INDEX('Inspections'!$P$4:$P$503,_calc!$E$362))=0,"",INDEX('Inspections'!$P$4:$P$503,_calc!$E$362)))</f>
        <v/>
      </c>
    </row>
    <row r="361">
      <c r="A361" s="55">
        <f>IF(_calc!$E$363="","",IF(LEN(INDEX('Inspections'!$C$4:$C$503,_calc!$E$363))=0,"",INDEX('Inspections'!$C$4:$C$503,_calc!$E$363))&amp;" – "&amp;IF(LEN(INDEX('Inspections'!$A$4:$A$503,_calc!$E$363))=0,"",INDEX('Inspections'!$A$4:$A$503,_calc!$E$363)))</f>
        <v/>
      </c>
      <c r="B361" s="55">
        <f>IF(_calc!$E$363="","",IF(ISNUMBER(INDEX('Inspections'!$H$4:$H$503,_calc!$E$363)),TEXT(INDEX('Inspections'!$H$4:$H$503,_calc!$E$363),"yyyy-mm-dd"),""))</f>
        <v/>
      </c>
      <c r="C361" s="55">
        <f>IF(_calc!$E$363="","","Inspection")</f>
        <v/>
      </c>
      <c r="D361" s="55">
        <f>IF(_calc!$E$363="","",IF(ISNUMBER(INDEX('Inspections'!$G$4:$G$503,_calc!$E$363)),TEXT(INDEX('Inspections'!$G$4:$G$503,_calc!$E$363),"yyyy-mm-dd"),""))</f>
        <v/>
      </c>
      <c r="F361" s="55">
        <f>IF(_calc!$E$363="","",TRIM(IF(LEN(IF(LEN(INDEX('Inspections'!$B$4:$B$503,_calc!$E$363))=0,"",INDEX('Inspections'!$B$4:$B$503,_calc!$E$363)))=0,"","System: "&amp;IF(LEN(INDEX('Inspections'!$B$4:$B$503,_calc!$E$363))=0,"",INDEX('Inspections'!$B$4:$B$503,_calc!$E$363))&amp;". ")&amp;IF(LEN(IF(LEN(INDEX('Inspections'!$D$4:$D$503,_calc!$E$363))=0,"",INDEX('Inspections'!$D$4:$D$503,_calc!$E$363)))=0,"","Every: "&amp;IF(LEN(INDEX('Inspections'!$D$4:$D$503,_calc!$E$363))=0,"",INDEX('Inspections'!$D$4:$D$503,_calc!$E$363))&amp;". ")&amp;IF(LEN(IF(LEN(INDEX('Inspections'!$E$4:$E$503,_calc!$E$363))=0,"",INDEX('Inspections'!$E$4:$E$503,_calc!$E$363)))=0,"","Unit: "&amp;IF(LEN(INDEX('Inspections'!$E$4:$E$503,_calc!$E$363))=0,"",INDEX('Inspections'!$E$4:$E$503,_calc!$E$363))&amp;". ")&amp;IF(LEN(IF(LEN(INDEX('Inspections'!$F$4:$F$503,_calc!$E$363))=0,"",INDEX('Inspections'!$F$4:$F$503,_calc!$E$363)))=0,"","Done by: "&amp;IF(LEN(INDEX('Inspections'!$F$4:$F$503,_calc!$E$363))=0,"",INDEX('Inspections'!$F$4:$F$503,_calc!$E$363))&amp;". ")&amp;IF(LEN(IF(LEN(INDEX('Inspections'!$M$4:$M$503,_calc!$E$363))=0,"",INDEX('Inspections'!$M$4:$M$503,_calc!$E$363)))=0,"","Source: "&amp;IF(LEN(INDEX('Inspections'!$M$4:$M$503,_calc!$E$363))=0,"",INDEX('Inspections'!$M$4:$M$503,_calc!$E$363))&amp;". ")&amp;IF(LEN(IF(LEN(INDEX('Inspections'!$N$4:$N$503,_calc!$E$363))=0,"",INDEX('Inspections'!$N$4:$N$503,_calc!$E$363)))=0,"","Owner: "&amp;IF(LEN(INDEX('Inspections'!$N$4:$N$503,_calc!$E$363))=0,"",INDEX('Inspections'!$N$4:$N$503,_calc!$E$363))&amp;". ")&amp;IF(LEN(IF(LEN(INDEX('Inspections'!$O$4:$O$503,_calc!$E$363))=0,"",INDEX('Inspections'!$O$4:$O$503,_calc!$E$363)))=0,"","Backup: "&amp;IF(LEN(INDEX('Inspections'!$O$4:$O$503,_calc!$E$363))=0,"",INDEX('Inspections'!$O$4:$O$503,_calc!$E$363))&amp;". ")&amp;IF(LEN(IF(LEN(INDEX('Inspections'!$R$4:$R$503,_calc!$E$363))=0,"",INDEX('Inspections'!$R$4:$R$503,_calc!$E$363)))=0,"",IF(LEN(INDEX('Inspections'!$R$4:$R$503,_calc!$E$363))=0,"",INDEX('Inspections'!$R$4:$R$503,_calc!$E$363)))))</f>
        <v/>
      </c>
      <c r="G361" s="55">
        <f>IF(_calc!$E$363="","",IF(LEN(INDEX('Inspections'!$Q$4:$Q$503,_calc!$E$363))=0,"",INDEX('Inspections'!$Q$4:$Q$503,_calc!$E$363)))</f>
        <v/>
      </c>
      <c r="K361" s="55">
        <f>IF(_calc!$E$363="","",IF(LEN(INDEX('Inspections'!$P$4:$P$503,_calc!$E$363))=0,"",INDEX('Inspections'!$P$4:$P$503,_calc!$E$363)))</f>
        <v/>
      </c>
    </row>
    <row r="362">
      <c r="A362" s="55">
        <f>IF(_calc!$E$364="","",IF(LEN(INDEX('Inspections'!$C$4:$C$503,_calc!$E$364))=0,"",INDEX('Inspections'!$C$4:$C$503,_calc!$E$364))&amp;" – "&amp;IF(LEN(INDEX('Inspections'!$A$4:$A$503,_calc!$E$364))=0,"",INDEX('Inspections'!$A$4:$A$503,_calc!$E$364)))</f>
        <v/>
      </c>
      <c r="B362" s="55">
        <f>IF(_calc!$E$364="","",IF(ISNUMBER(INDEX('Inspections'!$H$4:$H$503,_calc!$E$364)),TEXT(INDEX('Inspections'!$H$4:$H$503,_calc!$E$364),"yyyy-mm-dd"),""))</f>
        <v/>
      </c>
      <c r="C362" s="55">
        <f>IF(_calc!$E$364="","","Inspection")</f>
        <v/>
      </c>
      <c r="D362" s="55">
        <f>IF(_calc!$E$364="","",IF(ISNUMBER(INDEX('Inspections'!$G$4:$G$503,_calc!$E$364)),TEXT(INDEX('Inspections'!$G$4:$G$503,_calc!$E$364),"yyyy-mm-dd"),""))</f>
        <v/>
      </c>
      <c r="F362" s="55">
        <f>IF(_calc!$E$364="","",TRIM(IF(LEN(IF(LEN(INDEX('Inspections'!$B$4:$B$503,_calc!$E$364))=0,"",INDEX('Inspections'!$B$4:$B$503,_calc!$E$364)))=0,"","System: "&amp;IF(LEN(INDEX('Inspections'!$B$4:$B$503,_calc!$E$364))=0,"",INDEX('Inspections'!$B$4:$B$503,_calc!$E$364))&amp;". ")&amp;IF(LEN(IF(LEN(INDEX('Inspections'!$D$4:$D$503,_calc!$E$364))=0,"",INDEX('Inspections'!$D$4:$D$503,_calc!$E$364)))=0,"","Every: "&amp;IF(LEN(INDEX('Inspections'!$D$4:$D$503,_calc!$E$364))=0,"",INDEX('Inspections'!$D$4:$D$503,_calc!$E$364))&amp;". ")&amp;IF(LEN(IF(LEN(INDEX('Inspections'!$E$4:$E$503,_calc!$E$364))=0,"",INDEX('Inspections'!$E$4:$E$503,_calc!$E$364)))=0,"","Unit: "&amp;IF(LEN(INDEX('Inspections'!$E$4:$E$503,_calc!$E$364))=0,"",INDEX('Inspections'!$E$4:$E$503,_calc!$E$364))&amp;". ")&amp;IF(LEN(IF(LEN(INDEX('Inspections'!$F$4:$F$503,_calc!$E$364))=0,"",INDEX('Inspections'!$F$4:$F$503,_calc!$E$364)))=0,"","Done by: "&amp;IF(LEN(INDEX('Inspections'!$F$4:$F$503,_calc!$E$364))=0,"",INDEX('Inspections'!$F$4:$F$503,_calc!$E$364))&amp;". ")&amp;IF(LEN(IF(LEN(INDEX('Inspections'!$M$4:$M$503,_calc!$E$364))=0,"",INDEX('Inspections'!$M$4:$M$503,_calc!$E$364)))=0,"","Source: "&amp;IF(LEN(INDEX('Inspections'!$M$4:$M$503,_calc!$E$364))=0,"",INDEX('Inspections'!$M$4:$M$503,_calc!$E$364))&amp;". ")&amp;IF(LEN(IF(LEN(INDEX('Inspections'!$N$4:$N$503,_calc!$E$364))=0,"",INDEX('Inspections'!$N$4:$N$503,_calc!$E$364)))=0,"","Owner: "&amp;IF(LEN(INDEX('Inspections'!$N$4:$N$503,_calc!$E$364))=0,"",INDEX('Inspections'!$N$4:$N$503,_calc!$E$364))&amp;". ")&amp;IF(LEN(IF(LEN(INDEX('Inspections'!$O$4:$O$503,_calc!$E$364))=0,"",INDEX('Inspections'!$O$4:$O$503,_calc!$E$364)))=0,"","Backup: "&amp;IF(LEN(INDEX('Inspections'!$O$4:$O$503,_calc!$E$364))=0,"",INDEX('Inspections'!$O$4:$O$503,_calc!$E$364))&amp;". ")&amp;IF(LEN(IF(LEN(INDEX('Inspections'!$R$4:$R$503,_calc!$E$364))=0,"",INDEX('Inspections'!$R$4:$R$503,_calc!$E$364)))=0,"",IF(LEN(INDEX('Inspections'!$R$4:$R$503,_calc!$E$364))=0,"",INDEX('Inspections'!$R$4:$R$503,_calc!$E$364)))))</f>
        <v/>
      </c>
      <c r="G362" s="55">
        <f>IF(_calc!$E$364="","",IF(LEN(INDEX('Inspections'!$Q$4:$Q$503,_calc!$E$364))=0,"",INDEX('Inspections'!$Q$4:$Q$503,_calc!$E$364)))</f>
        <v/>
      </c>
      <c r="K362" s="55">
        <f>IF(_calc!$E$364="","",IF(LEN(INDEX('Inspections'!$P$4:$P$503,_calc!$E$364))=0,"",INDEX('Inspections'!$P$4:$P$503,_calc!$E$364)))</f>
        <v/>
      </c>
    </row>
    <row r="363">
      <c r="A363" s="55">
        <f>IF(_calc!$E$365="","",IF(LEN(INDEX('Inspections'!$C$4:$C$503,_calc!$E$365))=0,"",INDEX('Inspections'!$C$4:$C$503,_calc!$E$365))&amp;" – "&amp;IF(LEN(INDEX('Inspections'!$A$4:$A$503,_calc!$E$365))=0,"",INDEX('Inspections'!$A$4:$A$503,_calc!$E$365)))</f>
        <v/>
      </c>
      <c r="B363" s="55">
        <f>IF(_calc!$E$365="","",IF(ISNUMBER(INDEX('Inspections'!$H$4:$H$503,_calc!$E$365)),TEXT(INDEX('Inspections'!$H$4:$H$503,_calc!$E$365),"yyyy-mm-dd"),""))</f>
        <v/>
      </c>
      <c r="C363" s="55">
        <f>IF(_calc!$E$365="","","Inspection")</f>
        <v/>
      </c>
      <c r="D363" s="55">
        <f>IF(_calc!$E$365="","",IF(ISNUMBER(INDEX('Inspections'!$G$4:$G$503,_calc!$E$365)),TEXT(INDEX('Inspections'!$G$4:$G$503,_calc!$E$365),"yyyy-mm-dd"),""))</f>
        <v/>
      </c>
      <c r="F363" s="55">
        <f>IF(_calc!$E$365="","",TRIM(IF(LEN(IF(LEN(INDEX('Inspections'!$B$4:$B$503,_calc!$E$365))=0,"",INDEX('Inspections'!$B$4:$B$503,_calc!$E$365)))=0,"","System: "&amp;IF(LEN(INDEX('Inspections'!$B$4:$B$503,_calc!$E$365))=0,"",INDEX('Inspections'!$B$4:$B$503,_calc!$E$365))&amp;". ")&amp;IF(LEN(IF(LEN(INDEX('Inspections'!$D$4:$D$503,_calc!$E$365))=0,"",INDEX('Inspections'!$D$4:$D$503,_calc!$E$365)))=0,"","Every: "&amp;IF(LEN(INDEX('Inspections'!$D$4:$D$503,_calc!$E$365))=0,"",INDEX('Inspections'!$D$4:$D$503,_calc!$E$365))&amp;". ")&amp;IF(LEN(IF(LEN(INDEX('Inspections'!$E$4:$E$503,_calc!$E$365))=0,"",INDEX('Inspections'!$E$4:$E$503,_calc!$E$365)))=0,"","Unit: "&amp;IF(LEN(INDEX('Inspections'!$E$4:$E$503,_calc!$E$365))=0,"",INDEX('Inspections'!$E$4:$E$503,_calc!$E$365))&amp;". ")&amp;IF(LEN(IF(LEN(INDEX('Inspections'!$F$4:$F$503,_calc!$E$365))=0,"",INDEX('Inspections'!$F$4:$F$503,_calc!$E$365)))=0,"","Done by: "&amp;IF(LEN(INDEX('Inspections'!$F$4:$F$503,_calc!$E$365))=0,"",INDEX('Inspections'!$F$4:$F$503,_calc!$E$365))&amp;". ")&amp;IF(LEN(IF(LEN(INDEX('Inspections'!$M$4:$M$503,_calc!$E$365))=0,"",INDEX('Inspections'!$M$4:$M$503,_calc!$E$365)))=0,"","Source: "&amp;IF(LEN(INDEX('Inspections'!$M$4:$M$503,_calc!$E$365))=0,"",INDEX('Inspections'!$M$4:$M$503,_calc!$E$365))&amp;". ")&amp;IF(LEN(IF(LEN(INDEX('Inspections'!$N$4:$N$503,_calc!$E$365))=0,"",INDEX('Inspections'!$N$4:$N$503,_calc!$E$365)))=0,"","Owner: "&amp;IF(LEN(INDEX('Inspections'!$N$4:$N$503,_calc!$E$365))=0,"",INDEX('Inspections'!$N$4:$N$503,_calc!$E$365))&amp;". ")&amp;IF(LEN(IF(LEN(INDEX('Inspections'!$O$4:$O$503,_calc!$E$365))=0,"",INDEX('Inspections'!$O$4:$O$503,_calc!$E$365)))=0,"","Backup: "&amp;IF(LEN(INDEX('Inspections'!$O$4:$O$503,_calc!$E$365))=0,"",INDEX('Inspections'!$O$4:$O$503,_calc!$E$365))&amp;". ")&amp;IF(LEN(IF(LEN(INDEX('Inspections'!$R$4:$R$503,_calc!$E$365))=0,"",INDEX('Inspections'!$R$4:$R$503,_calc!$E$365)))=0,"",IF(LEN(INDEX('Inspections'!$R$4:$R$503,_calc!$E$365))=0,"",INDEX('Inspections'!$R$4:$R$503,_calc!$E$365)))))</f>
        <v/>
      </c>
      <c r="G363" s="55">
        <f>IF(_calc!$E$365="","",IF(LEN(INDEX('Inspections'!$Q$4:$Q$503,_calc!$E$365))=0,"",INDEX('Inspections'!$Q$4:$Q$503,_calc!$E$365)))</f>
        <v/>
      </c>
      <c r="K363" s="55">
        <f>IF(_calc!$E$365="","",IF(LEN(INDEX('Inspections'!$P$4:$P$503,_calc!$E$365))=0,"",INDEX('Inspections'!$P$4:$P$503,_calc!$E$365)))</f>
        <v/>
      </c>
    </row>
    <row r="364">
      <c r="A364" s="55">
        <f>IF(_calc!$E$366="","",IF(LEN(INDEX('Inspections'!$C$4:$C$503,_calc!$E$366))=0,"",INDEX('Inspections'!$C$4:$C$503,_calc!$E$366))&amp;" – "&amp;IF(LEN(INDEX('Inspections'!$A$4:$A$503,_calc!$E$366))=0,"",INDEX('Inspections'!$A$4:$A$503,_calc!$E$366)))</f>
        <v/>
      </c>
      <c r="B364" s="55">
        <f>IF(_calc!$E$366="","",IF(ISNUMBER(INDEX('Inspections'!$H$4:$H$503,_calc!$E$366)),TEXT(INDEX('Inspections'!$H$4:$H$503,_calc!$E$366),"yyyy-mm-dd"),""))</f>
        <v/>
      </c>
      <c r="C364" s="55">
        <f>IF(_calc!$E$366="","","Inspection")</f>
        <v/>
      </c>
      <c r="D364" s="55">
        <f>IF(_calc!$E$366="","",IF(ISNUMBER(INDEX('Inspections'!$G$4:$G$503,_calc!$E$366)),TEXT(INDEX('Inspections'!$G$4:$G$503,_calc!$E$366),"yyyy-mm-dd"),""))</f>
        <v/>
      </c>
      <c r="F364" s="55">
        <f>IF(_calc!$E$366="","",TRIM(IF(LEN(IF(LEN(INDEX('Inspections'!$B$4:$B$503,_calc!$E$366))=0,"",INDEX('Inspections'!$B$4:$B$503,_calc!$E$366)))=0,"","System: "&amp;IF(LEN(INDEX('Inspections'!$B$4:$B$503,_calc!$E$366))=0,"",INDEX('Inspections'!$B$4:$B$503,_calc!$E$366))&amp;". ")&amp;IF(LEN(IF(LEN(INDEX('Inspections'!$D$4:$D$503,_calc!$E$366))=0,"",INDEX('Inspections'!$D$4:$D$503,_calc!$E$366)))=0,"","Every: "&amp;IF(LEN(INDEX('Inspections'!$D$4:$D$503,_calc!$E$366))=0,"",INDEX('Inspections'!$D$4:$D$503,_calc!$E$366))&amp;". ")&amp;IF(LEN(IF(LEN(INDEX('Inspections'!$E$4:$E$503,_calc!$E$366))=0,"",INDEX('Inspections'!$E$4:$E$503,_calc!$E$366)))=0,"","Unit: "&amp;IF(LEN(INDEX('Inspections'!$E$4:$E$503,_calc!$E$366))=0,"",INDEX('Inspections'!$E$4:$E$503,_calc!$E$366))&amp;". ")&amp;IF(LEN(IF(LEN(INDEX('Inspections'!$F$4:$F$503,_calc!$E$366))=0,"",INDEX('Inspections'!$F$4:$F$503,_calc!$E$366)))=0,"","Done by: "&amp;IF(LEN(INDEX('Inspections'!$F$4:$F$503,_calc!$E$366))=0,"",INDEX('Inspections'!$F$4:$F$503,_calc!$E$366))&amp;". ")&amp;IF(LEN(IF(LEN(INDEX('Inspections'!$M$4:$M$503,_calc!$E$366))=0,"",INDEX('Inspections'!$M$4:$M$503,_calc!$E$366)))=0,"","Source: "&amp;IF(LEN(INDEX('Inspections'!$M$4:$M$503,_calc!$E$366))=0,"",INDEX('Inspections'!$M$4:$M$503,_calc!$E$366))&amp;". ")&amp;IF(LEN(IF(LEN(INDEX('Inspections'!$N$4:$N$503,_calc!$E$366))=0,"",INDEX('Inspections'!$N$4:$N$503,_calc!$E$366)))=0,"","Owner: "&amp;IF(LEN(INDEX('Inspections'!$N$4:$N$503,_calc!$E$366))=0,"",INDEX('Inspections'!$N$4:$N$503,_calc!$E$366))&amp;". ")&amp;IF(LEN(IF(LEN(INDEX('Inspections'!$O$4:$O$503,_calc!$E$366))=0,"",INDEX('Inspections'!$O$4:$O$503,_calc!$E$366)))=0,"","Backup: "&amp;IF(LEN(INDEX('Inspections'!$O$4:$O$503,_calc!$E$366))=0,"",INDEX('Inspections'!$O$4:$O$503,_calc!$E$366))&amp;". ")&amp;IF(LEN(IF(LEN(INDEX('Inspections'!$R$4:$R$503,_calc!$E$366))=0,"",INDEX('Inspections'!$R$4:$R$503,_calc!$E$366)))=0,"",IF(LEN(INDEX('Inspections'!$R$4:$R$503,_calc!$E$366))=0,"",INDEX('Inspections'!$R$4:$R$503,_calc!$E$366)))))</f>
        <v/>
      </c>
      <c r="G364" s="55">
        <f>IF(_calc!$E$366="","",IF(LEN(INDEX('Inspections'!$Q$4:$Q$503,_calc!$E$366))=0,"",INDEX('Inspections'!$Q$4:$Q$503,_calc!$E$366)))</f>
        <v/>
      </c>
      <c r="K364" s="55">
        <f>IF(_calc!$E$366="","",IF(LEN(INDEX('Inspections'!$P$4:$P$503,_calc!$E$366))=0,"",INDEX('Inspections'!$P$4:$P$503,_calc!$E$366)))</f>
        <v/>
      </c>
    </row>
    <row r="365">
      <c r="A365" s="55">
        <f>IF(_calc!$E$367="","",IF(LEN(INDEX('Inspections'!$C$4:$C$503,_calc!$E$367))=0,"",INDEX('Inspections'!$C$4:$C$503,_calc!$E$367))&amp;" – "&amp;IF(LEN(INDEX('Inspections'!$A$4:$A$503,_calc!$E$367))=0,"",INDEX('Inspections'!$A$4:$A$503,_calc!$E$367)))</f>
        <v/>
      </c>
      <c r="B365" s="55">
        <f>IF(_calc!$E$367="","",IF(ISNUMBER(INDEX('Inspections'!$H$4:$H$503,_calc!$E$367)),TEXT(INDEX('Inspections'!$H$4:$H$503,_calc!$E$367),"yyyy-mm-dd"),""))</f>
        <v/>
      </c>
      <c r="C365" s="55">
        <f>IF(_calc!$E$367="","","Inspection")</f>
        <v/>
      </c>
      <c r="D365" s="55">
        <f>IF(_calc!$E$367="","",IF(ISNUMBER(INDEX('Inspections'!$G$4:$G$503,_calc!$E$367)),TEXT(INDEX('Inspections'!$G$4:$G$503,_calc!$E$367),"yyyy-mm-dd"),""))</f>
        <v/>
      </c>
      <c r="F365" s="55">
        <f>IF(_calc!$E$367="","",TRIM(IF(LEN(IF(LEN(INDEX('Inspections'!$B$4:$B$503,_calc!$E$367))=0,"",INDEX('Inspections'!$B$4:$B$503,_calc!$E$367)))=0,"","System: "&amp;IF(LEN(INDEX('Inspections'!$B$4:$B$503,_calc!$E$367))=0,"",INDEX('Inspections'!$B$4:$B$503,_calc!$E$367))&amp;". ")&amp;IF(LEN(IF(LEN(INDEX('Inspections'!$D$4:$D$503,_calc!$E$367))=0,"",INDEX('Inspections'!$D$4:$D$503,_calc!$E$367)))=0,"","Every: "&amp;IF(LEN(INDEX('Inspections'!$D$4:$D$503,_calc!$E$367))=0,"",INDEX('Inspections'!$D$4:$D$503,_calc!$E$367))&amp;". ")&amp;IF(LEN(IF(LEN(INDEX('Inspections'!$E$4:$E$503,_calc!$E$367))=0,"",INDEX('Inspections'!$E$4:$E$503,_calc!$E$367)))=0,"","Unit: "&amp;IF(LEN(INDEX('Inspections'!$E$4:$E$503,_calc!$E$367))=0,"",INDEX('Inspections'!$E$4:$E$503,_calc!$E$367))&amp;". ")&amp;IF(LEN(IF(LEN(INDEX('Inspections'!$F$4:$F$503,_calc!$E$367))=0,"",INDEX('Inspections'!$F$4:$F$503,_calc!$E$367)))=0,"","Done by: "&amp;IF(LEN(INDEX('Inspections'!$F$4:$F$503,_calc!$E$367))=0,"",INDEX('Inspections'!$F$4:$F$503,_calc!$E$367))&amp;". ")&amp;IF(LEN(IF(LEN(INDEX('Inspections'!$M$4:$M$503,_calc!$E$367))=0,"",INDEX('Inspections'!$M$4:$M$503,_calc!$E$367)))=0,"","Source: "&amp;IF(LEN(INDEX('Inspections'!$M$4:$M$503,_calc!$E$367))=0,"",INDEX('Inspections'!$M$4:$M$503,_calc!$E$367))&amp;". ")&amp;IF(LEN(IF(LEN(INDEX('Inspections'!$N$4:$N$503,_calc!$E$367))=0,"",INDEX('Inspections'!$N$4:$N$503,_calc!$E$367)))=0,"","Owner: "&amp;IF(LEN(INDEX('Inspections'!$N$4:$N$503,_calc!$E$367))=0,"",INDEX('Inspections'!$N$4:$N$503,_calc!$E$367))&amp;". ")&amp;IF(LEN(IF(LEN(INDEX('Inspections'!$O$4:$O$503,_calc!$E$367))=0,"",INDEX('Inspections'!$O$4:$O$503,_calc!$E$367)))=0,"","Backup: "&amp;IF(LEN(INDEX('Inspections'!$O$4:$O$503,_calc!$E$367))=0,"",INDEX('Inspections'!$O$4:$O$503,_calc!$E$367))&amp;". ")&amp;IF(LEN(IF(LEN(INDEX('Inspections'!$R$4:$R$503,_calc!$E$367))=0,"",INDEX('Inspections'!$R$4:$R$503,_calc!$E$367)))=0,"",IF(LEN(INDEX('Inspections'!$R$4:$R$503,_calc!$E$367))=0,"",INDEX('Inspections'!$R$4:$R$503,_calc!$E$367)))))</f>
        <v/>
      </c>
      <c r="G365" s="55">
        <f>IF(_calc!$E$367="","",IF(LEN(INDEX('Inspections'!$Q$4:$Q$503,_calc!$E$367))=0,"",INDEX('Inspections'!$Q$4:$Q$503,_calc!$E$367)))</f>
        <v/>
      </c>
      <c r="K365" s="55">
        <f>IF(_calc!$E$367="","",IF(LEN(INDEX('Inspections'!$P$4:$P$503,_calc!$E$367))=0,"",INDEX('Inspections'!$P$4:$P$503,_calc!$E$367)))</f>
        <v/>
      </c>
    </row>
    <row r="366">
      <c r="A366" s="55">
        <f>IF(_calc!$E$368="","",IF(LEN(INDEX('Inspections'!$C$4:$C$503,_calc!$E$368))=0,"",INDEX('Inspections'!$C$4:$C$503,_calc!$E$368))&amp;" – "&amp;IF(LEN(INDEX('Inspections'!$A$4:$A$503,_calc!$E$368))=0,"",INDEX('Inspections'!$A$4:$A$503,_calc!$E$368)))</f>
        <v/>
      </c>
      <c r="B366" s="55">
        <f>IF(_calc!$E$368="","",IF(ISNUMBER(INDEX('Inspections'!$H$4:$H$503,_calc!$E$368)),TEXT(INDEX('Inspections'!$H$4:$H$503,_calc!$E$368),"yyyy-mm-dd"),""))</f>
        <v/>
      </c>
      <c r="C366" s="55">
        <f>IF(_calc!$E$368="","","Inspection")</f>
        <v/>
      </c>
      <c r="D366" s="55">
        <f>IF(_calc!$E$368="","",IF(ISNUMBER(INDEX('Inspections'!$G$4:$G$503,_calc!$E$368)),TEXT(INDEX('Inspections'!$G$4:$G$503,_calc!$E$368),"yyyy-mm-dd"),""))</f>
        <v/>
      </c>
      <c r="F366" s="55">
        <f>IF(_calc!$E$368="","",TRIM(IF(LEN(IF(LEN(INDEX('Inspections'!$B$4:$B$503,_calc!$E$368))=0,"",INDEX('Inspections'!$B$4:$B$503,_calc!$E$368)))=0,"","System: "&amp;IF(LEN(INDEX('Inspections'!$B$4:$B$503,_calc!$E$368))=0,"",INDEX('Inspections'!$B$4:$B$503,_calc!$E$368))&amp;". ")&amp;IF(LEN(IF(LEN(INDEX('Inspections'!$D$4:$D$503,_calc!$E$368))=0,"",INDEX('Inspections'!$D$4:$D$503,_calc!$E$368)))=0,"","Every: "&amp;IF(LEN(INDEX('Inspections'!$D$4:$D$503,_calc!$E$368))=0,"",INDEX('Inspections'!$D$4:$D$503,_calc!$E$368))&amp;". ")&amp;IF(LEN(IF(LEN(INDEX('Inspections'!$E$4:$E$503,_calc!$E$368))=0,"",INDEX('Inspections'!$E$4:$E$503,_calc!$E$368)))=0,"","Unit: "&amp;IF(LEN(INDEX('Inspections'!$E$4:$E$503,_calc!$E$368))=0,"",INDEX('Inspections'!$E$4:$E$503,_calc!$E$368))&amp;". ")&amp;IF(LEN(IF(LEN(INDEX('Inspections'!$F$4:$F$503,_calc!$E$368))=0,"",INDEX('Inspections'!$F$4:$F$503,_calc!$E$368)))=0,"","Done by: "&amp;IF(LEN(INDEX('Inspections'!$F$4:$F$503,_calc!$E$368))=0,"",INDEX('Inspections'!$F$4:$F$503,_calc!$E$368))&amp;". ")&amp;IF(LEN(IF(LEN(INDEX('Inspections'!$M$4:$M$503,_calc!$E$368))=0,"",INDEX('Inspections'!$M$4:$M$503,_calc!$E$368)))=0,"","Source: "&amp;IF(LEN(INDEX('Inspections'!$M$4:$M$503,_calc!$E$368))=0,"",INDEX('Inspections'!$M$4:$M$503,_calc!$E$368))&amp;". ")&amp;IF(LEN(IF(LEN(INDEX('Inspections'!$N$4:$N$503,_calc!$E$368))=0,"",INDEX('Inspections'!$N$4:$N$503,_calc!$E$368)))=0,"","Owner: "&amp;IF(LEN(INDEX('Inspections'!$N$4:$N$503,_calc!$E$368))=0,"",INDEX('Inspections'!$N$4:$N$503,_calc!$E$368))&amp;". ")&amp;IF(LEN(IF(LEN(INDEX('Inspections'!$O$4:$O$503,_calc!$E$368))=0,"",INDEX('Inspections'!$O$4:$O$503,_calc!$E$368)))=0,"","Backup: "&amp;IF(LEN(INDEX('Inspections'!$O$4:$O$503,_calc!$E$368))=0,"",INDEX('Inspections'!$O$4:$O$503,_calc!$E$368))&amp;". ")&amp;IF(LEN(IF(LEN(INDEX('Inspections'!$R$4:$R$503,_calc!$E$368))=0,"",INDEX('Inspections'!$R$4:$R$503,_calc!$E$368)))=0,"",IF(LEN(INDEX('Inspections'!$R$4:$R$503,_calc!$E$368))=0,"",INDEX('Inspections'!$R$4:$R$503,_calc!$E$368)))))</f>
        <v/>
      </c>
      <c r="G366" s="55">
        <f>IF(_calc!$E$368="","",IF(LEN(INDEX('Inspections'!$Q$4:$Q$503,_calc!$E$368))=0,"",INDEX('Inspections'!$Q$4:$Q$503,_calc!$E$368)))</f>
        <v/>
      </c>
      <c r="K366" s="55">
        <f>IF(_calc!$E$368="","",IF(LEN(INDEX('Inspections'!$P$4:$P$503,_calc!$E$368))=0,"",INDEX('Inspections'!$P$4:$P$503,_calc!$E$368)))</f>
        <v/>
      </c>
    </row>
    <row r="367">
      <c r="A367" s="55">
        <f>IF(_calc!$E$369="","",IF(LEN(INDEX('Inspections'!$C$4:$C$503,_calc!$E$369))=0,"",INDEX('Inspections'!$C$4:$C$503,_calc!$E$369))&amp;" – "&amp;IF(LEN(INDEX('Inspections'!$A$4:$A$503,_calc!$E$369))=0,"",INDEX('Inspections'!$A$4:$A$503,_calc!$E$369)))</f>
        <v/>
      </c>
      <c r="B367" s="55">
        <f>IF(_calc!$E$369="","",IF(ISNUMBER(INDEX('Inspections'!$H$4:$H$503,_calc!$E$369)),TEXT(INDEX('Inspections'!$H$4:$H$503,_calc!$E$369),"yyyy-mm-dd"),""))</f>
        <v/>
      </c>
      <c r="C367" s="55">
        <f>IF(_calc!$E$369="","","Inspection")</f>
        <v/>
      </c>
      <c r="D367" s="55">
        <f>IF(_calc!$E$369="","",IF(ISNUMBER(INDEX('Inspections'!$G$4:$G$503,_calc!$E$369)),TEXT(INDEX('Inspections'!$G$4:$G$503,_calc!$E$369),"yyyy-mm-dd"),""))</f>
        <v/>
      </c>
      <c r="F367" s="55">
        <f>IF(_calc!$E$369="","",TRIM(IF(LEN(IF(LEN(INDEX('Inspections'!$B$4:$B$503,_calc!$E$369))=0,"",INDEX('Inspections'!$B$4:$B$503,_calc!$E$369)))=0,"","System: "&amp;IF(LEN(INDEX('Inspections'!$B$4:$B$503,_calc!$E$369))=0,"",INDEX('Inspections'!$B$4:$B$503,_calc!$E$369))&amp;". ")&amp;IF(LEN(IF(LEN(INDEX('Inspections'!$D$4:$D$503,_calc!$E$369))=0,"",INDEX('Inspections'!$D$4:$D$503,_calc!$E$369)))=0,"","Every: "&amp;IF(LEN(INDEX('Inspections'!$D$4:$D$503,_calc!$E$369))=0,"",INDEX('Inspections'!$D$4:$D$503,_calc!$E$369))&amp;". ")&amp;IF(LEN(IF(LEN(INDEX('Inspections'!$E$4:$E$503,_calc!$E$369))=0,"",INDEX('Inspections'!$E$4:$E$503,_calc!$E$369)))=0,"","Unit: "&amp;IF(LEN(INDEX('Inspections'!$E$4:$E$503,_calc!$E$369))=0,"",INDEX('Inspections'!$E$4:$E$503,_calc!$E$369))&amp;". ")&amp;IF(LEN(IF(LEN(INDEX('Inspections'!$F$4:$F$503,_calc!$E$369))=0,"",INDEX('Inspections'!$F$4:$F$503,_calc!$E$369)))=0,"","Done by: "&amp;IF(LEN(INDEX('Inspections'!$F$4:$F$503,_calc!$E$369))=0,"",INDEX('Inspections'!$F$4:$F$503,_calc!$E$369))&amp;". ")&amp;IF(LEN(IF(LEN(INDEX('Inspections'!$M$4:$M$503,_calc!$E$369))=0,"",INDEX('Inspections'!$M$4:$M$503,_calc!$E$369)))=0,"","Source: "&amp;IF(LEN(INDEX('Inspections'!$M$4:$M$503,_calc!$E$369))=0,"",INDEX('Inspections'!$M$4:$M$503,_calc!$E$369))&amp;". ")&amp;IF(LEN(IF(LEN(INDEX('Inspections'!$N$4:$N$503,_calc!$E$369))=0,"",INDEX('Inspections'!$N$4:$N$503,_calc!$E$369)))=0,"","Owner: "&amp;IF(LEN(INDEX('Inspections'!$N$4:$N$503,_calc!$E$369))=0,"",INDEX('Inspections'!$N$4:$N$503,_calc!$E$369))&amp;". ")&amp;IF(LEN(IF(LEN(INDEX('Inspections'!$O$4:$O$503,_calc!$E$369))=0,"",INDEX('Inspections'!$O$4:$O$503,_calc!$E$369)))=0,"","Backup: "&amp;IF(LEN(INDEX('Inspections'!$O$4:$O$503,_calc!$E$369))=0,"",INDEX('Inspections'!$O$4:$O$503,_calc!$E$369))&amp;". ")&amp;IF(LEN(IF(LEN(INDEX('Inspections'!$R$4:$R$503,_calc!$E$369))=0,"",INDEX('Inspections'!$R$4:$R$503,_calc!$E$369)))=0,"",IF(LEN(INDEX('Inspections'!$R$4:$R$503,_calc!$E$369))=0,"",INDEX('Inspections'!$R$4:$R$503,_calc!$E$369)))))</f>
        <v/>
      </c>
      <c r="G367" s="55">
        <f>IF(_calc!$E$369="","",IF(LEN(INDEX('Inspections'!$Q$4:$Q$503,_calc!$E$369))=0,"",INDEX('Inspections'!$Q$4:$Q$503,_calc!$E$369)))</f>
        <v/>
      </c>
      <c r="K367" s="55">
        <f>IF(_calc!$E$369="","",IF(LEN(INDEX('Inspections'!$P$4:$P$503,_calc!$E$369))=0,"",INDEX('Inspections'!$P$4:$P$503,_calc!$E$369)))</f>
        <v/>
      </c>
    </row>
    <row r="368">
      <c r="A368" s="55">
        <f>IF(_calc!$E$370="","",IF(LEN(INDEX('Inspections'!$C$4:$C$503,_calc!$E$370))=0,"",INDEX('Inspections'!$C$4:$C$503,_calc!$E$370))&amp;" – "&amp;IF(LEN(INDEX('Inspections'!$A$4:$A$503,_calc!$E$370))=0,"",INDEX('Inspections'!$A$4:$A$503,_calc!$E$370)))</f>
        <v/>
      </c>
      <c r="B368" s="55">
        <f>IF(_calc!$E$370="","",IF(ISNUMBER(INDEX('Inspections'!$H$4:$H$503,_calc!$E$370)),TEXT(INDEX('Inspections'!$H$4:$H$503,_calc!$E$370),"yyyy-mm-dd"),""))</f>
        <v/>
      </c>
      <c r="C368" s="55">
        <f>IF(_calc!$E$370="","","Inspection")</f>
        <v/>
      </c>
      <c r="D368" s="55">
        <f>IF(_calc!$E$370="","",IF(ISNUMBER(INDEX('Inspections'!$G$4:$G$503,_calc!$E$370)),TEXT(INDEX('Inspections'!$G$4:$G$503,_calc!$E$370),"yyyy-mm-dd"),""))</f>
        <v/>
      </c>
      <c r="F368" s="55">
        <f>IF(_calc!$E$370="","",TRIM(IF(LEN(IF(LEN(INDEX('Inspections'!$B$4:$B$503,_calc!$E$370))=0,"",INDEX('Inspections'!$B$4:$B$503,_calc!$E$370)))=0,"","System: "&amp;IF(LEN(INDEX('Inspections'!$B$4:$B$503,_calc!$E$370))=0,"",INDEX('Inspections'!$B$4:$B$503,_calc!$E$370))&amp;". ")&amp;IF(LEN(IF(LEN(INDEX('Inspections'!$D$4:$D$503,_calc!$E$370))=0,"",INDEX('Inspections'!$D$4:$D$503,_calc!$E$370)))=0,"","Every: "&amp;IF(LEN(INDEX('Inspections'!$D$4:$D$503,_calc!$E$370))=0,"",INDEX('Inspections'!$D$4:$D$503,_calc!$E$370))&amp;". ")&amp;IF(LEN(IF(LEN(INDEX('Inspections'!$E$4:$E$503,_calc!$E$370))=0,"",INDEX('Inspections'!$E$4:$E$503,_calc!$E$370)))=0,"","Unit: "&amp;IF(LEN(INDEX('Inspections'!$E$4:$E$503,_calc!$E$370))=0,"",INDEX('Inspections'!$E$4:$E$503,_calc!$E$370))&amp;". ")&amp;IF(LEN(IF(LEN(INDEX('Inspections'!$F$4:$F$503,_calc!$E$370))=0,"",INDEX('Inspections'!$F$4:$F$503,_calc!$E$370)))=0,"","Done by: "&amp;IF(LEN(INDEX('Inspections'!$F$4:$F$503,_calc!$E$370))=0,"",INDEX('Inspections'!$F$4:$F$503,_calc!$E$370))&amp;". ")&amp;IF(LEN(IF(LEN(INDEX('Inspections'!$M$4:$M$503,_calc!$E$370))=0,"",INDEX('Inspections'!$M$4:$M$503,_calc!$E$370)))=0,"","Source: "&amp;IF(LEN(INDEX('Inspections'!$M$4:$M$503,_calc!$E$370))=0,"",INDEX('Inspections'!$M$4:$M$503,_calc!$E$370))&amp;". ")&amp;IF(LEN(IF(LEN(INDEX('Inspections'!$N$4:$N$503,_calc!$E$370))=0,"",INDEX('Inspections'!$N$4:$N$503,_calc!$E$370)))=0,"","Owner: "&amp;IF(LEN(INDEX('Inspections'!$N$4:$N$503,_calc!$E$370))=0,"",INDEX('Inspections'!$N$4:$N$503,_calc!$E$370))&amp;". ")&amp;IF(LEN(IF(LEN(INDEX('Inspections'!$O$4:$O$503,_calc!$E$370))=0,"",INDEX('Inspections'!$O$4:$O$503,_calc!$E$370)))=0,"","Backup: "&amp;IF(LEN(INDEX('Inspections'!$O$4:$O$503,_calc!$E$370))=0,"",INDEX('Inspections'!$O$4:$O$503,_calc!$E$370))&amp;". ")&amp;IF(LEN(IF(LEN(INDEX('Inspections'!$R$4:$R$503,_calc!$E$370))=0,"",INDEX('Inspections'!$R$4:$R$503,_calc!$E$370)))=0,"",IF(LEN(INDEX('Inspections'!$R$4:$R$503,_calc!$E$370))=0,"",INDEX('Inspections'!$R$4:$R$503,_calc!$E$370)))))</f>
        <v/>
      </c>
      <c r="G368" s="55">
        <f>IF(_calc!$E$370="","",IF(LEN(INDEX('Inspections'!$Q$4:$Q$503,_calc!$E$370))=0,"",INDEX('Inspections'!$Q$4:$Q$503,_calc!$E$370)))</f>
        <v/>
      </c>
      <c r="K368" s="55">
        <f>IF(_calc!$E$370="","",IF(LEN(INDEX('Inspections'!$P$4:$P$503,_calc!$E$370))=0,"",INDEX('Inspections'!$P$4:$P$503,_calc!$E$370)))</f>
        <v/>
      </c>
    </row>
    <row r="369">
      <c r="A369" s="55">
        <f>IF(_calc!$E$371="","",IF(LEN(INDEX('Inspections'!$C$4:$C$503,_calc!$E$371))=0,"",INDEX('Inspections'!$C$4:$C$503,_calc!$E$371))&amp;" – "&amp;IF(LEN(INDEX('Inspections'!$A$4:$A$503,_calc!$E$371))=0,"",INDEX('Inspections'!$A$4:$A$503,_calc!$E$371)))</f>
        <v/>
      </c>
      <c r="B369" s="55">
        <f>IF(_calc!$E$371="","",IF(ISNUMBER(INDEX('Inspections'!$H$4:$H$503,_calc!$E$371)),TEXT(INDEX('Inspections'!$H$4:$H$503,_calc!$E$371),"yyyy-mm-dd"),""))</f>
        <v/>
      </c>
      <c r="C369" s="55">
        <f>IF(_calc!$E$371="","","Inspection")</f>
        <v/>
      </c>
      <c r="D369" s="55">
        <f>IF(_calc!$E$371="","",IF(ISNUMBER(INDEX('Inspections'!$G$4:$G$503,_calc!$E$371)),TEXT(INDEX('Inspections'!$G$4:$G$503,_calc!$E$371),"yyyy-mm-dd"),""))</f>
        <v/>
      </c>
      <c r="F369" s="55">
        <f>IF(_calc!$E$371="","",TRIM(IF(LEN(IF(LEN(INDEX('Inspections'!$B$4:$B$503,_calc!$E$371))=0,"",INDEX('Inspections'!$B$4:$B$503,_calc!$E$371)))=0,"","System: "&amp;IF(LEN(INDEX('Inspections'!$B$4:$B$503,_calc!$E$371))=0,"",INDEX('Inspections'!$B$4:$B$503,_calc!$E$371))&amp;". ")&amp;IF(LEN(IF(LEN(INDEX('Inspections'!$D$4:$D$503,_calc!$E$371))=0,"",INDEX('Inspections'!$D$4:$D$503,_calc!$E$371)))=0,"","Every: "&amp;IF(LEN(INDEX('Inspections'!$D$4:$D$503,_calc!$E$371))=0,"",INDEX('Inspections'!$D$4:$D$503,_calc!$E$371))&amp;". ")&amp;IF(LEN(IF(LEN(INDEX('Inspections'!$E$4:$E$503,_calc!$E$371))=0,"",INDEX('Inspections'!$E$4:$E$503,_calc!$E$371)))=0,"","Unit: "&amp;IF(LEN(INDEX('Inspections'!$E$4:$E$503,_calc!$E$371))=0,"",INDEX('Inspections'!$E$4:$E$503,_calc!$E$371))&amp;". ")&amp;IF(LEN(IF(LEN(INDEX('Inspections'!$F$4:$F$503,_calc!$E$371))=0,"",INDEX('Inspections'!$F$4:$F$503,_calc!$E$371)))=0,"","Done by: "&amp;IF(LEN(INDEX('Inspections'!$F$4:$F$503,_calc!$E$371))=0,"",INDEX('Inspections'!$F$4:$F$503,_calc!$E$371))&amp;". ")&amp;IF(LEN(IF(LEN(INDEX('Inspections'!$M$4:$M$503,_calc!$E$371))=0,"",INDEX('Inspections'!$M$4:$M$503,_calc!$E$371)))=0,"","Source: "&amp;IF(LEN(INDEX('Inspections'!$M$4:$M$503,_calc!$E$371))=0,"",INDEX('Inspections'!$M$4:$M$503,_calc!$E$371))&amp;". ")&amp;IF(LEN(IF(LEN(INDEX('Inspections'!$N$4:$N$503,_calc!$E$371))=0,"",INDEX('Inspections'!$N$4:$N$503,_calc!$E$371)))=0,"","Owner: "&amp;IF(LEN(INDEX('Inspections'!$N$4:$N$503,_calc!$E$371))=0,"",INDEX('Inspections'!$N$4:$N$503,_calc!$E$371))&amp;". ")&amp;IF(LEN(IF(LEN(INDEX('Inspections'!$O$4:$O$503,_calc!$E$371))=0,"",INDEX('Inspections'!$O$4:$O$503,_calc!$E$371)))=0,"","Backup: "&amp;IF(LEN(INDEX('Inspections'!$O$4:$O$503,_calc!$E$371))=0,"",INDEX('Inspections'!$O$4:$O$503,_calc!$E$371))&amp;". ")&amp;IF(LEN(IF(LEN(INDEX('Inspections'!$R$4:$R$503,_calc!$E$371))=0,"",INDEX('Inspections'!$R$4:$R$503,_calc!$E$371)))=0,"",IF(LEN(INDEX('Inspections'!$R$4:$R$503,_calc!$E$371))=0,"",INDEX('Inspections'!$R$4:$R$503,_calc!$E$371)))))</f>
        <v/>
      </c>
      <c r="G369" s="55">
        <f>IF(_calc!$E$371="","",IF(LEN(INDEX('Inspections'!$Q$4:$Q$503,_calc!$E$371))=0,"",INDEX('Inspections'!$Q$4:$Q$503,_calc!$E$371)))</f>
        <v/>
      </c>
      <c r="K369" s="55">
        <f>IF(_calc!$E$371="","",IF(LEN(INDEX('Inspections'!$P$4:$P$503,_calc!$E$371))=0,"",INDEX('Inspections'!$P$4:$P$503,_calc!$E$371)))</f>
        <v/>
      </c>
    </row>
    <row r="370">
      <c r="A370" s="55">
        <f>IF(_calc!$E$372="","",IF(LEN(INDEX('Inspections'!$C$4:$C$503,_calc!$E$372))=0,"",INDEX('Inspections'!$C$4:$C$503,_calc!$E$372))&amp;" – "&amp;IF(LEN(INDEX('Inspections'!$A$4:$A$503,_calc!$E$372))=0,"",INDEX('Inspections'!$A$4:$A$503,_calc!$E$372)))</f>
        <v/>
      </c>
      <c r="B370" s="55">
        <f>IF(_calc!$E$372="","",IF(ISNUMBER(INDEX('Inspections'!$H$4:$H$503,_calc!$E$372)),TEXT(INDEX('Inspections'!$H$4:$H$503,_calc!$E$372),"yyyy-mm-dd"),""))</f>
        <v/>
      </c>
      <c r="C370" s="55">
        <f>IF(_calc!$E$372="","","Inspection")</f>
        <v/>
      </c>
      <c r="D370" s="55">
        <f>IF(_calc!$E$372="","",IF(ISNUMBER(INDEX('Inspections'!$G$4:$G$503,_calc!$E$372)),TEXT(INDEX('Inspections'!$G$4:$G$503,_calc!$E$372),"yyyy-mm-dd"),""))</f>
        <v/>
      </c>
      <c r="F370" s="55">
        <f>IF(_calc!$E$372="","",TRIM(IF(LEN(IF(LEN(INDEX('Inspections'!$B$4:$B$503,_calc!$E$372))=0,"",INDEX('Inspections'!$B$4:$B$503,_calc!$E$372)))=0,"","System: "&amp;IF(LEN(INDEX('Inspections'!$B$4:$B$503,_calc!$E$372))=0,"",INDEX('Inspections'!$B$4:$B$503,_calc!$E$372))&amp;". ")&amp;IF(LEN(IF(LEN(INDEX('Inspections'!$D$4:$D$503,_calc!$E$372))=0,"",INDEX('Inspections'!$D$4:$D$503,_calc!$E$372)))=0,"","Every: "&amp;IF(LEN(INDEX('Inspections'!$D$4:$D$503,_calc!$E$372))=0,"",INDEX('Inspections'!$D$4:$D$503,_calc!$E$372))&amp;". ")&amp;IF(LEN(IF(LEN(INDEX('Inspections'!$E$4:$E$503,_calc!$E$372))=0,"",INDEX('Inspections'!$E$4:$E$503,_calc!$E$372)))=0,"","Unit: "&amp;IF(LEN(INDEX('Inspections'!$E$4:$E$503,_calc!$E$372))=0,"",INDEX('Inspections'!$E$4:$E$503,_calc!$E$372))&amp;". ")&amp;IF(LEN(IF(LEN(INDEX('Inspections'!$F$4:$F$503,_calc!$E$372))=0,"",INDEX('Inspections'!$F$4:$F$503,_calc!$E$372)))=0,"","Done by: "&amp;IF(LEN(INDEX('Inspections'!$F$4:$F$503,_calc!$E$372))=0,"",INDEX('Inspections'!$F$4:$F$503,_calc!$E$372))&amp;". ")&amp;IF(LEN(IF(LEN(INDEX('Inspections'!$M$4:$M$503,_calc!$E$372))=0,"",INDEX('Inspections'!$M$4:$M$503,_calc!$E$372)))=0,"","Source: "&amp;IF(LEN(INDEX('Inspections'!$M$4:$M$503,_calc!$E$372))=0,"",INDEX('Inspections'!$M$4:$M$503,_calc!$E$372))&amp;". ")&amp;IF(LEN(IF(LEN(INDEX('Inspections'!$N$4:$N$503,_calc!$E$372))=0,"",INDEX('Inspections'!$N$4:$N$503,_calc!$E$372)))=0,"","Owner: "&amp;IF(LEN(INDEX('Inspections'!$N$4:$N$503,_calc!$E$372))=0,"",INDEX('Inspections'!$N$4:$N$503,_calc!$E$372))&amp;". ")&amp;IF(LEN(IF(LEN(INDEX('Inspections'!$O$4:$O$503,_calc!$E$372))=0,"",INDEX('Inspections'!$O$4:$O$503,_calc!$E$372)))=0,"","Backup: "&amp;IF(LEN(INDEX('Inspections'!$O$4:$O$503,_calc!$E$372))=0,"",INDEX('Inspections'!$O$4:$O$503,_calc!$E$372))&amp;". ")&amp;IF(LEN(IF(LEN(INDEX('Inspections'!$R$4:$R$503,_calc!$E$372))=0,"",INDEX('Inspections'!$R$4:$R$503,_calc!$E$372)))=0,"",IF(LEN(INDEX('Inspections'!$R$4:$R$503,_calc!$E$372))=0,"",INDEX('Inspections'!$R$4:$R$503,_calc!$E$372)))))</f>
        <v/>
      </c>
      <c r="G370" s="55">
        <f>IF(_calc!$E$372="","",IF(LEN(INDEX('Inspections'!$Q$4:$Q$503,_calc!$E$372))=0,"",INDEX('Inspections'!$Q$4:$Q$503,_calc!$E$372)))</f>
        <v/>
      </c>
      <c r="K370" s="55">
        <f>IF(_calc!$E$372="","",IF(LEN(INDEX('Inspections'!$P$4:$P$503,_calc!$E$372))=0,"",INDEX('Inspections'!$P$4:$P$503,_calc!$E$372)))</f>
        <v/>
      </c>
    </row>
    <row r="371">
      <c r="A371" s="55">
        <f>IF(_calc!$E$373="","",IF(LEN(INDEX('Inspections'!$C$4:$C$503,_calc!$E$373))=0,"",INDEX('Inspections'!$C$4:$C$503,_calc!$E$373))&amp;" – "&amp;IF(LEN(INDEX('Inspections'!$A$4:$A$503,_calc!$E$373))=0,"",INDEX('Inspections'!$A$4:$A$503,_calc!$E$373)))</f>
        <v/>
      </c>
      <c r="B371" s="55">
        <f>IF(_calc!$E$373="","",IF(ISNUMBER(INDEX('Inspections'!$H$4:$H$503,_calc!$E$373)),TEXT(INDEX('Inspections'!$H$4:$H$503,_calc!$E$373),"yyyy-mm-dd"),""))</f>
        <v/>
      </c>
      <c r="C371" s="55">
        <f>IF(_calc!$E$373="","","Inspection")</f>
        <v/>
      </c>
      <c r="D371" s="55">
        <f>IF(_calc!$E$373="","",IF(ISNUMBER(INDEX('Inspections'!$G$4:$G$503,_calc!$E$373)),TEXT(INDEX('Inspections'!$G$4:$G$503,_calc!$E$373),"yyyy-mm-dd"),""))</f>
        <v/>
      </c>
      <c r="F371" s="55">
        <f>IF(_calc!$E$373="","",TRIM(IF(LEN(IF(LEN(INDEX('Inspections'!$B$4:$B$503,_calc!$E$373))=0,"",INDEX('Inspections'!$B$4:$B$503,_calc!$E$373)))=0,"","System: "&amp;IF(LEN(INDEX('Inspections'!$B$4:$B$503,_calc!$E$373))=0,"",INDEX('Inspections'!$B$4:$B$503,_calc!$E$373))&amp;". ")&amp;IF(LEN(IF(LEN(INDEX('Inspections'!$D$4:$D$503,_calc!$E$373))=0,"",INDEX('Inspections'!$D$4:$D$503,_calc!$E$373)))=0,"","Every: "&amp;IF(LEN(INDEX('Inspections'!$D$4:$D$503,_calc!$E$373))=0,"",INDEX('Inspections'!$D$4:$D$503,_calc!$E$373))&amp;". ")&amp;IF(LEN(IF(LEN(INDEX('Inspections'!$E$4:$E$503,_calc!$E$373))=0,"",INDEX('Inspections'!$E$4:$E$503,_calc!$E$373)))=0,"","Unit: "&amp;IF(LEN(INDEX('Inspections'!$E$4:$E$503,_calc!$E$373))=0,"",INDEX('Inspections'!$E$4:$E$503,_calc!$E$373))&amp;". ")&amp;IF(LEN(IF(LEN(INDEX('Inspections'!$F$4:$F$503,_calc!$E$373))=0,"",INDEX('Inspections'!$F$4:$F$503,_calc!$E$373)))=0,"","Done by: "&amp;IF(LEN(INDEX('Inspections'!$F$4:$F$503,_calc!$E$373))=0,"",INDEX('Inspections'!$F$4:$F$503,_calc!$E$373))&amp;". ")&amp;IF(LEN(IF(LEN(INDEX('Inspections'!$M$4:$M$503,_calc!$E$373))=0,"",INDEX('Inspections'!$M$4:$M$503,_calc!$E$373)))=0,"","Source: "&amp;IF(LEN(INDEX('Inspections'!$M$4:$M$503,_calc!$E$373))=0,"",INDEX('Inspections'!$M$4:$M$503,_calc!$E$373))&amp;". ")&amp;IF(LEN(IF(LEN(INDEX('Inspections'!$N$4:$N$503,_calc!$E$373))=0,"",INDEX('Inspections'!$N$4:$N$503,_calc!$E$373)))=0,"","Owner: "&amp;IF(LEN(INDEX('Inspections'!$N$4:$N$503,_calc!$E$373))=0,"",INDEX('Inspections'!$N$4:$N$503,_calc!$E$373))&amp;". ")&amp;IF(LEN(IF(LEN(INDEX('Inspections'!$O$4:$O$503,_calc!$E$373))=0,"",INDEX('Inspections'!$O$4:$O$503,_calc!$E$373)))=0,"","Backup: "&amp;IF(LEN(INDEX('Inspections'!$O$4:$O$503,_calc!$E$373))=0,"",INDEX('Inspections'!$O$4:$O$503,_calc!$E$373))&amp;". ")&amp;IF(LEN(IF(LEN(INDEX('Inspections'!$R$4:$R$503,_calc!$E$373))=0,"",INDEX('Inspections'!$R$4:$R$503,_calc!$E$373)))=0,"",IF(LEN(INDEX('Inspections'!$R$4:$R$503,_calc!$E$373))=0,"",INDEX('Inspections'!$R$4:$R$503,_calc!$E$373)))))</f>
        <v/>
      </c>
      <c r="G371" s="55">
        <f>IF(_calc!$E$373="","",IF(LEN(INDEX('Inspections'!$Q$4:$Q$503,_calc!$E$373))=0,"",INDEX('Inspections'!$Q$4:$Q$503,_calc!$E$373)))</f>
        <v/>
      </c>
      <c r="K371" s="55">
        <f>IF(_calc!$E$373="","",IF(LEN(INDEX('Inspections'!$P$4:$P$503,_calc!$E$373))=0,"",INDEX('Inspections'!$P$4:$P$503,_calc!$E$373)))</f>
        <v/>
      </c>
    </row>
    <row r="372">
      <c r="A372" s="55">
        <f>IF(_calc!$E$374="","",IF(LEN(INDEX('Inspections'!$C$4:$C$503,_calc!$E$374))=0,"",INDEX('Inspections'!$C$4:$C$503,_calc!$E$374))&amp;" – "&amp;IF(LEN(INDEX('Inspections'!$A$4:$A$503,_calc!$E$374))=0,"",INDEX('Inspections'!$A$4:$A$503,_calc!$E$374)))</f>
        <v/>
      </c>
      <c r="B372" s="55">
        <f>IF(_calc!$E$374="","",IF(ISNUMBER(INDEX('Inspections'!$H$4:$H$503,_calc!$E$374)),TEXT(INDEX('Inspections'!$H$4:$H$503,_calc!$E$374),"yyyy-mm-dd"),""))</f>
        <v/>
      </c>
      <c r="C372" s="55">
        <f>IF(_calc!$E$374="","","Inspection")</f>
        <v/>
      </c>
      <c r="D372" s="55">
        <f>IF(_calc!$E$374="","",IF(ISNUMBER(INDEX('Inspections'!$G$4:$G$503,_calc!$E$374)),TEXT(INDEX('Inspections'!$G$4:$G$503,_calc!$E$374),"yyyy-mm-dd"),""))</f>
        <v/>
      </c>
      <c r="F372" s="55">
        <f>IF(_calc!$E$374="","",TRIM(IF(LEN(IF(LEN(INDEX('Inspections'!$B$4:$B$503,_calc!$E$374))=0,"",INDEX('Inspections'!$B$4:$B$503,_calc!$E$374)))=0,"","System: "&amp;IF(LEN(INDEX('Inspections'!$B$4:$B$503,_calc!$E$374))=0,"",INDEX('Inspections'!$B$4:$B$503,_calc!$E$374))&amp;". ")&amp;IF(LEN(IF(LEN(INDEX('Inspections'!$D$4:$D$503,_calc!$E$374))=0,"",INDEX('Inspections'!$D$4:$D$503,_calc!$E$374)))=0,"","Every: "&amp;IF(LEN(INDEX('Inspections'!$D$4:$D$503,_calc!$E$374))=0,"",INDEX('Inspections'!$D$4:$D$503,_calc!$E$374))&amp;". ")&amp;IF(LEN(IF(LEN(INDEX('Inspections'!$E$4:$E$503,_calc!$E$374))=0,"",INDEX('Inspections'!$E$4:$E$503,_calc!$E$374)))=0,"","Unit: "&amp;IF(LEN(INDEX('Inspections'!$E$4:$E$503,_calc!$E$374))=0,"",INDEX('Inspections'!$E$4:$E$503,_calc!$E$374))&amp;". ")&amp;IF(LEN(IF(LEN(INDEX('Inspections'!$F$4:$F$503,_calc!$E$374))=0,"",INDEX('Inspections'!$F$4:$F$503,_calc!$E$374)))=0,"","Done by: "&amp;IF(LEN(INDEX('Inspections'!$F$4:$F$503,_calc!$E$374))=0,"",INDEX('Inspections'!$F$4:$F$503,_calc!$E$374))&amp;". ")&amp;IF(LEN(IF(LEN(INDEX('Inspections'!$M$4:$M$503,_calc!$E$374))=0,"",INDEX('Inspections'!$M$4:$M$503,_calc!$E$374)))=0,"","Source: "&amp;IF(LEN(INDEX('Inspections'!$M$4:$M$503,_calc!$E$374))=0,"",INDEX('Inspections'!$M$4:$M$503,_calc!$E$374))&amp;". ")&amp;IF(LEN(IF(LEN(INDEX('Inspections'!$N$4:$N$503,_calc!$E$374))=0,"",INDEX('Inspections'!$N$4:$N$503,_calc!$E$374)))=0,"","Owner: "&amp;IF(LEN(INDEX('Inspections'!$N$4:$N$503,_calc!$E$374))=0,"",INDEX('Inspections'!$N$4:$N$503,_calc!$E$374))&amp;". ")&amp;IF(LEN(IF(LEN(INDEX('Inspections'!$O$4:$O$503,_calc!$E$374))=0,"",INDEX('Inspections'!$O$4:$O$503,_calc!$E$374)))=0,"","Backup: "&amp;IF(LEN(INDEX('Inspections'!$O$4:$O$503,_calc!$E$374))=0,"",INDEX('Inspections'!$O$4:$O$503,_calc!$E$374))&amp;". ")&amp;IF(LEN(IF(LEN(INDEX('Inspections'!$R$4:$R$503,_calc!$E$374))=0,"",INDEX('Inspections'!$R$4:$R$503,_calc!$E$374)))=0,"",IF(LEN(INDEX('Inspections'!$R$4:$R$503,_calc!$E$374))=0,"",INDEX('Inspections'!$R$4:$R$503,_calc!$E$374)))))</f>
        <v/>
      </c>
      <c r="G372" s="55">
        <f>IF(_calc!$E$374="","",IF(LEN(INDEX('Inspections'!$Q$4:$Q$503,_calc!$E$374))=0,"",INDEX('Inspections'!$Q$4:$Q$503,_calc!$E$374)))</f>
        <v/>
      </c>
      <c r="K372" s="55">
        <f>IF(_calc!$E$374="","",IF(LEN(INDEX('Inspections'!$P$4:$P$503,_calc!$E$374))=0,"",INDEX('Inspections'!$P$4:$P$503,_calc!$E$374)))</f>
        <v/>
      </c>
    </row>
    <row r="373">
      <c r="A373" s="55">
        <f>IF(_calc!$E$375="","",IF(LEN(INDEX('Inspections'!$C$4:$C$503,_calc!$E$375))=0,"",INDEX('Inspections'!$C$4:$C$503,_calc!$E$375))&amp;" – "&amp;IF(LEN(INDEX('Inspections'!$A$4:$A$503,_calc!$E$375))=0,"",INDEX('Inspections'!$A$4:$A$503,_calc!$E$375)))</f>
        <v/>
      </c>
      <c r="B373" s="55">
        <f>IF(_calc!$E$375="","",IF(ISNUMBER(INDEX('Inspections'!$H$4:$H$503,_calc!$E$375)),TEXT(INDEX('Inspections'!$H$4:$H$503,_calc!$E$375),"yyyy-mm-dd"),""))</f>
        <v/>
      </c>
      <c r="C373" s="55">
        <f>IF(_calc!$E$375="","","Inspection")</f>
        <v/>
      </c>
      <c r="D373" s="55">
        <f>IF(_calc!$E$375="","",IF(ISNUMBER(INDEX('Inspections'!$G$4:$G$503,_calc!$E$375)),TEXT(INDEX('Inspections'!$G$4:$G$503,_calc!$E$375),"yyyy-mm-dd"),""))</f>
        <v/>
      </c>
      <c r="F373" s="55">
        <f>IF(_calc!$E$375="","",TRIM(IF(LEN(IF(LEN(INDEX('Inspections'!$B$4:$B$503,_calc!$E$375))=0,"",INDEX('Inspections'!$B$4:$B$503,_calc!$E$375)))=0,"","System: "&amp;IF(LEN(INDEX('Inspections'!$B$4:$B$503,_calc!$E$375))=0,"",INDEX('Inspections'!$B$4:$B$503,_calc!$E$375))&amp;". ")&amp;IF(LEN(IF(LEN(INDEX('Inspections'!$D$4:$D$503,_calc!$E$375))=0,"",INDEX('Inspections'!$D$4:$D$503,_calc!$E$375)))=0,"","Every: "&amp;IF(LEN(INDEX('Inspections'!$D$4:$D$503,_calc!$E$375))=0,"",INDEX('Inspections'!$D$4:$D$503,_calc!$E$375))&amp;". ")&amp;IF(LEN(IF(LEN(INDEX('Inspections'!$E$4:$E$503,_calc!$E$375))=0,"",INDEX('Inspections'!$E$4:$E$503,_calc!$E$375)))=0,"","Unit: "&amp;IF(LEN(INDEX('Inspections'!$E$4:$E$503,_calc!$E$375))=0,"",INDEX('Inspections'!$E$4:$E$503,_calc!$E$375))&amp;". ")&amp;IF(LEN(IF(LEN(INDEX('Inspections'!$F$4:$F$503,_calc!$E$375))=0,"",INDEX('Inspections'!$F$4:$F$503,_calc!$E$375)))=0,"","Done by: "&amp;IF(LEN(INDEX('Inspections'!$F$4:$F$503,_calc!$E$375))=0,"",INDEX('Inspections'!$F$4:$F$503,_calc!$E$375))&amp;". ")&amp;IF(LEN(IF(LEN(INDEX('Inspections'!$M$4:$M$503,_calc!$E$375))=0,"",INDEX('Inspections'!$M$4:$M$503,_calc!$E$375)))=0,"","Source: "&amp;IF(LEN(INDEX('Inspections'!$M$4:$M$503,_calc!$E$375))=0,"",INDEX('Inspections'!$M$4:$M$503,_calc!$E$375))&amp;". ")&amp;IF(LEN(IF(LEN(INDEX('Inspections'!$N$4:$N$503,_calc!$E$375))=0,"",INDEX('Inspections'!$N$4:$N$503,_calc!$E$375)))=0,"","Owner: "&amp;IF(LEN(INDEX('Inspections'!$N$4:$N$503,_calc!$E$375))=0,"",INDEX('Inspections'!$N$4:$N$503,_calc!$E$375))&amp;". ")&amp;IF(LEN(IF(LEN(INDEX('Inspections'!$O$4:$O$503,_calc!$E$375))=0,"",INDEX('Inspections'!$O$4:$O$503,_calc!$E$375)))=0,"","Backup: "&amp;IF(LEN(INDEX('Inspections'!$O$4:$O$503,_calc!$E$375))=0,"",INDEX('Inspections'!$O$4:$O$503,_calc!$E$375))&amp;". ")&amp;IF(LEN(IF(LEN(INDEX('Inspections'!$R$4:$R$503,_calc!$E$375))=0,"",INDEX('Inspections'!$R$4:$R$503,_calc!$E$375)))=0,"",IF(LEN(INDEX('Inspections'!$R$4:$R$503,_calc!$E$375))=0,"",INDEX('Inspections'!$R$4:$R$503,_calc!$E$375)))))</f>
        <v/>
      </c>
      <c r="G373" s="55">
        <f>IF(_calc!$E$375="","",IF(LEN(INDEX('Inspections'!$Q$4:$Q$503,_calc!$E$375))=0,"",INDEX('Inspections'!$Q$4:$Q$503,_calc!$E$375)))</f>
        <v/>
      </c>
      <c r="K373" s="55">
        <f>IF(_calc!$E$375="","",IF(LEN(INDEX('Inspections'!$P$4:$P$503,_calc!$E$375))=0,"",INDEX('Inspections'!$P$4:$P$503,_calc!$E$375)))</f>
        <v/>
      </c>
    </row>
    <row r="374">
      <c r="A374" s="55">
        <f>IF(_calc!$E$376="","",IF(LEN(INDEX('Inspections'!$C$4:$C$503,_calc!$E$376))=0,"",INDEX('Inspections'!$C$4:$C$503,_calc!$E$376))&amp;" – "&amp;IF(LEN(INDEX('Inspections'!$A$4:$A$503,_calc!$E$376))=0,"",INDEX('Inspections'!$A$4:$A$503,_calc!$E$376)))</f>
        <v/>
      </c>
      <c r="B374" s="55">
        <f>IF(_calc!$E$376="","",IF(ISNUMBER(INDEX('Inspections'!$H$4:$H$503,_calc!$E$376)),TEXT(INDEX('Inspections'!$H$4:$H$503,_calc!$E$376),"yyyy-mm-dd"),""))</f>
        <v/>
      </c>
      <c r="C374" s="55">
        <f>IF(_calc!$E$376="","","Inspection")</f>
        <v/>
      </c>
      <c r="D374" s="55">
        <f>IF(_calc!$E$376="","",IF(ISNUMBER(INDEX('Inspections'!$G$4:$G$503,_calc!$E$376)),TEXT(INDEX('Inspections'!$G$4:$G$503,_calc!$E$376),"yyyy-mm-dd"),""))</f>
        <v/>
      </c>
      <c r="F374" s="55">
        <f>IF(_calc!$E$376="","",TRIM(IF(LEN(IF(LEN(INDEX('Inspections'!$B$4:$B$503,_calc!$E$376))=0,"",INDEX('Inspections'!$B$4:$B$503,_calc!$E$376)))=0,"","System: "&amp;IF(LEN(INDEX('Inspections'!$B$4:$B$503,_calc!$E$376))=0,"",INDEX('Inspections'!$B$4:$B$503,_calc!$E$376))&amp;". ")&amp;IF(LEN(IF(LEN(INDEX('Inspections'!$D$4:$D$503,_calc!$E$376))=0,"",INDEX('Inspections'!$D$4:$D$503,_calc!$E$376)))=0,"","Every: "&amp;IF(LEN(INDEX('Inspections'!$D$4:$D$503,_calc!$E$376))=0,"",INDEX('Inspections'!$D$4:$D$503,_calc!$E$376))&amp;". ")&amp;IF(LEN(IF(LEN(INDEX('Inspections'!$E$4:$E$503,_calc!$E$376))=0,"",INDEX('Inspections'!$E$4:$E$503,_calc!$E$376)))=0,"","Unit: "&amp;IF(LEN(INDEX('Inspections'!$E$4:$E$503,_calc!$E$376))=0,"",INDEX('Inspections'!$E$4:$E$503,_calc!$E$376))&amp;". ")&amp;IF(LEN(IF(LEN(INDEX('Inspections'!$F$4:$F$503,_calc!$E$376))=0,"",INDEX('Inspections'!$F$4:$F$503,_calc!$E$376)))=0,"","Done by: "&amp;IF(LEN(INDEX('Inspections'!$F$4:$F$503,_calc!$E$376))=0,"",INDEX('Inspections'!$F$4:$F$503,_calc!$E$376))&amp;". ")&amp;IF(LEN(IF(LEN(INDEX('Inspections'!$M$4:$M$503,_calc!$E$376))=0,"",INDEX('Inspections'!$M$4:$M$503,_calc!$E$376)))=0,"","Source: "&amp;IF(LEN(INDEX('Inspections'!$M$4:$M$503,_calc!$E$376))=0,"",INDEX('Inspections'!$M$4:$M$503,_calc!$E$376))&amp;". ")&amp;IF(LEN(IF(LEN(INDEX('Inspections'!$N$4:$N$503,_calc!$E$376))=0,"",INDEX('Inspections'!$N$4:$N$503,_calc!$E$376)))=0,"","Owner: "&amp;IF(LEN(INDEX('Inspections'!$N$4:$N$503,_calc!$E$376))=0,"",INDEX('Inspections'!$N$4:$N$503,_calc!$E$376))&amp;". ")&amp;IF(LEN(IF(LEN(INDEX('Inspections'!$O$4:$O$503,_calc!$E$376))=0,"",INDEX('Inspections'!$O$4:$O$503,_calc!$E$376)))=0,"","Backup: "&amp;IF(LEN(INDEX('Inspections'!$O$4:$O$503,_calc!$E$376))=0,"",INDEX('Inspections'!$O$4:$O$503,_calc!$E$376))&amp;". ")&amp;IF(LEN(IF(LEN(INDEX('Inspections'!$R$4:$R$503,_calc!$E$376))=0,"",INDEX('Inspections'!$R$4:$R$503,_calc!$E$376)))=0,"",IF(LEN(INDEX('Inspections'!$R$4:$R$503,_calc!$E$376))=0,"",INDEX('Inspections'!$R$4:$R$503,_calc!$E$376)))))</f>
        <v/>
      </c>
      <c r="G374" s="55">
        <f>IF(_calc!$E$376="","",IF(LEN(INDEX('Inspections'!$Q$4:$Q$503,_calc!$E$376))=0,"",INDEX('Inspections'!$Q$4:$Q$503,_calc!$E$376)))</f>
        <v/>
      </c>
      <c r="K374" s="55">
        <f>IF(_calc!$E$376="","",IF(LEN(INDEX('Inspections'!$P$4:$P$503,_calc!$E$376))=0,"",INDEX('Inspections'!$P$4:$P$503,_calc!$E$376)))</f>
        <v/>
      </c>
    </row>
    <row r="375">
      <c r="A375" s="55">
        <f>IF(_calc!$E$377="","",IF(LEN(INDEX('Inspections'!$C$4:$C$503,_calc!$E$377))=0,"",INDEX('Inspections'!$C$4:$C$503,_calc!$E$377))&amp;" – "&amp;IF(LEN(INDEX('Inspections'!$A$4:$A$503,_calc!$E$377))=0,"",INDEX('Inspections'!$A$4:$A$503,_calc!$E$377)))</f>
        <v/>
      </c>
      <c r="B375" s="55">
        <f>IF(_calc!$E$377="","",IF(ISNUMBER(INDEX('Inspections'!$H$4:$H$503,_calc!$E$377)),TEXT(INDEX('Inspections'!$H$4:$H$503,_calc!$E$377),"yyyy-mm-dd"),""))</f>
        <v/>
      </c>
      <c r="C375" s="55">
        <f>IF(_calc!$E$377="","","Inspection")</f>
        <v/>
      </c>
      <c r="D375" s="55">
        <f>IF(_calc!$E$377="","",IF(ISNUMBER(INDEX('Inspections'!$G$4:$G$503,_calc!$E$377)),TEXT(INDEX('Inspections'!$G$4:$G$503,_calc!$E$377),"yyyy-mm-dd"),""))</f>
        <v/>
      </c>
      <c r="F375" s="55">
        <f>IF(_calc!$E$377="","",TRIM(IF(LEN(IF(LEN(INDEX('Inspections'!$B$4:$B$503,_calc!$E$377))=0,"",INDEX('Inspections'!$B$4:$B$503,_calc!$E$377)))=0,"","System: "&amp;IF(LEN(INDEX('Inspections'!$B$4:$B$503,_calc!$E$377))=0,"",INDEX('Inspections'!$B$4:$B$503,_calc!$E$377))&amp;". ")&amp;IF(LEN(IF(LEN(INDEX('Inspections'!$D$4:$D$503,_calc!$E$377))=0,"",INDEX('Inspections'!$D$4:$D$503,_calc!$E$377)))=0,"","Every: "&amp;IF(LEN(INDEX('Inspections'!$D$4:$D$503,_calc!$E$377))=0,"",INDEX('Inspections'!$D$4:$D$503,_calc!$E$377))&amp;". ")&amp;IF(LEN(IF(LEN(INDEX('Inspections'!$E$4:$E$503,_calc!$E$377))=0,"",INDEX('Inspections'!$E$4:$E$503,_calc!$E$377)))=0,"","Unit: "&amp;IF(LEN(INDEX('Inspections'!$E$4:$E$503,_calc!$E$377))=0,"",INDEX('Inspections'!$E$4:$E$503,_calc!$E$377))&amp;". ")&amp;IF(LEN(IF(LEN(INDEX('Inspections'!$F$4:$F$503,_calc!$E$377))=0,"",INDEX('Inspections'!$F$4:$F$503,_calc!$E$377)))=0,"","Done by: "&amp;IF(LEN(INDEX('Inspections'!$F$4:$F$503,_calc!$E$377))=0,"",INDEX('Inspections'!$F$4:$F$503,_calc!$E$377))&amp;". ")&amp;IF(LEN(IF(LEN(INDEX('Inspections'!$M$4:$M$503,_calc!$E$377))=0,"",INDEX('Inspections'!$M$4:$M$503,_calc!$E$377)))=0,"","Source: "&amp;IF(LEN(INDEX('Inspections'!$M$4:$M$503,_calc!$E$377))=0,"",INDEX('Inspections'!$M$4:$M$503,_calc!$E$377))&amp;". ")&amp;IF(LEN(IF(LEN(INDEX('Inspections'!$N$4:$N$503,_calc!$E$377))=0,"",INDEX('Inspections'!$N$4:$N$503,_calc!$E$377)))=0,"","Owner: "&amp;IF(LEN(INDEX('Inspections'!$N$4:$N$503,_calc!$E$377))=0,"",INDEX('Inspections'!$N$4:$N$503,_calc!$E$377))&amp;". ")&amp;IF(LEN(IF(LEN(INDEX('Inspections'!$O$4:$O$503,_calc!$E$377))=0,"",INDEX('Inspections'!$O$4:$O$503,_calc!$E$377)))=0,"","Backup: "&amp;IF(LEN(INDEX('Inspections'!$O$4:$O$503,_calc!$E$377))=0,"",INDEX('Inspections'!$O$4:$O$503,_calc!$E$377))&amp;". ")&amp;IF(LEN(IF(LEN(INDEX('Inspections'!$R$4:$R$503,_calc!$E$377))=0,"",INDEX('Inspections'!$R$4:$R$503,_calc!$E$377)))=0,"",IF(LEN(INDEX('Inspections'!$R$4:$R$503,_calc!$E$377))=0,"",INDEX('Inspections'!$R$4:$R$503,_calc!$E$377)))))</f>
        <v/>
      </c>
      <c r="G375" s="55">
        <f>IF(_calc!$E$377="","",IF(LEN(INDEX('Inspections'!$Q$4:$Q$503,_calc!$E$377))=0,"",INDEX('Inspections'!$Q$4:$Q$503,_calc!$E$377)))</f>
        <v/>
      </c>
      <c r="K375" s="55">
        <f>IF(_calc!$E$377="","",IF(LEN(INDEX('Inspections'!$P$4:$P$503,_calc!$E$377))=0,"",INDEX('Inspections'!$P$4:$P$503,_calc!$E$377)))</f>
        <v/>
      </c>
    </row>
    <row r="376">
      <c r="A376" s="55">
        <f>IF(_calc!$E$378="","",IF(LEN(INDEX('Inspections'!$C$4:$C$503,_calc!$E$378))=0,"",INDEX('Inspections'!$C$4:$C$503,_calc!$E$378))&amp;" – "&amp;IF(LEN(INDEX('Inspections'!$A$4:$A$503,_calc!$E$378))=0,"",INDEX('Inspections'!$A$4:$A$503,_calc!$E$378)))</f>
        <v/>
      </c>
      <c r="B376" s="55">
        <f>IF(_calc!$E$378="","",IF(ISNUMBER(INDEX('Inspections'!$H$4:$H$503,_calc!$E$378)),TEXT(INDEX('Inspections'!$H$4:$H$503,_calc!$E$378),"yyyy-mm-dd"),""))</f>
        <v/>
      </c>
      <c r="C376" s="55">
        <f>IF(_calc!$E$378="","","Inspection")</f>
        <v/>
      </c>
      <c r="D376" s="55">
        <f>IF(_calc!$E$378="","",IF(ISNUMBER(INDEX('Inspections'!$G$4:$G$503,_calc!$E$378)),TEXT(INDEX('Inspections'!$G$4:$G$503,_calc!$E$378),"yyyy-mm-dd"),""))</f>
        <v/>
      </c>
      <c r="F376" s="55">
        <f>IF(_calc!$E$378="","",TRIM(IF(LEN(IF(LEN(INDEX('Inspections'!$B$4:$B$503,_calc!$E$378))=0,"",INDEX('Inspections'!$B$4:$B$503,_calc!$E$378)))=0,"","System: "&amp;IF(LEN(INDEX('Inspections'!$B$4:$B$503,_calc!$E$378))=0,"",INDEX('Inspections'!$B$4:$B$503,_calc!$E$378))&amp;". ")&amp;IF(LEN(IF(LEN(INDEX('Inspections'!$D$4:$D$503,_calc!$E$378))=0,"",INDEX('Inspections'!$D$4:$D$503,_calc!$E$378)))=0,"","Every: "&amp;IF(LEN(INDEX('Inspections'!$D$4:$D$503,_calc!$E$378))=0,"",INDEX('Inspections'!$D$4:$D$503,_calc!$E$378))&amp;". ")&amp;IF(LEN(IF(LEN(INDEX('Inspections'!$E$4:$E$503,_calc!$E$378))=0,"",INDEX('Inspections'!$E$4:$E$503,_calc!$E$378)))=0,"","Unit: "&amp;IF(LEN(INDEX('Inspections'!$E$4:$E$503,_calc!$E$378))=0,"",INDEX('Inspections'!$E$4:$E$503,_calc!$E$378))&amp;". ")&amp;IF(LEN(IF(LEN(INDEX('Inspections'!$F$4:$F$503,_calc!$E$378))=0,"",INDEX('Inspections'!$F$4:$F$503,_calc!$E$378)))=0,"","Done by: "&amp;IF(LEN(INDEX('Inspections'!$F$4:$F$503,_calc!$E$378))=0,"",INDEX('Inspections'!$F$4:$F$503,_calc!$E$378))&amp;". ")&amp;IF(LEN(IF(LEN(INDEX('Inspections'!$M$4:$M$503,_calc!$E$378))=0,"",INDEX('Inspections'!$M$4:$M$503,_calc!$E$378)))=0,"","Source: "&amp;IF(LEN(INDEX('Inspections'!$M$4:$M$503,_calc!$E$378))=0,"",INDEX('Inspections'!$M$4:$M$503,_calc!$E$378))&amp;". ")&amp;IF(LEN(IF(LEN(INDEX('Inspections'!$N$4:$N$503,_calc!$E$378))=0,"",INDEX('Inspections'!$N$4:$N$503,_calc!$E$378)))=0,"","Owner: "&amp;IF(LEN(INDEX('Inspections'!$N$4:$N$503,_calc!$E$378))=0,"",INDEX('Inspections'!$N$4:$N$503,_calc!$E$378))&amp;". ")&amp;IF(LEN(IF(LEN(INDEX('Inspections'!$O$4:$O$503,_calc!$E$378))=0,"",INDEX('Inspections'!$O$4:$O$503,_calc!$E$378)))=0,"","Backup: "&amp;IF(LEN(INDEX('Inspections'!$O$4:$O$503,_calc!$E$378))=0,"",INDEX('Inspections'!$O$4:$O$503,_calc!$E$378))&amp;". ")&amp;IF(LEN(IF(LEN(INDEX('Inspections'!$R$4:$R$503,_calc!$E$378))=0,"",INDEX('Inspections'!$R$4:$R$503,_calc!$E$378)))=0,"",IF(LEN(INDEX('Inspections'!$R$4:$R$503,_calc!$E$378))=0,"",INDEX('Inspections'!$R$4:$R$503,_calc!$E$378)))))</f>
        <v/>
      </c>
      <c r="G376" s="55">
        <f>IF(_calc!$E$378="","",IF(LEN(INDEX('Inspections'!$Q$4:$Q$503,_calc!$E$378))=0,"",INDEX('Inspections'!$Q$4:$Q$503,_calc!$E$378)))</f>
        <v/>
      </c>
      <c r="K376" s="55">
        <f>IF(_calc!$E$378="","",IF(LEN(INDEX('Inspections'!$P$4:$P$503,_calc!$E$378))=0,"",INDEX('Inspections'!$P$4:$P$503,_calc!$E$378)))</f>
        <v/>
      </c>
    </row>
    <row r="377">
      <c r="A377" s="55">
        <f>IF(_calc!$E$379="","",IF(LEN(INDEX('Inspections'!$C$4:$C$503,_calc!$E$379))=0,"",INDEX('Inspections'!$C$4:$C$503,_calc!$E$379))&amp;" – "&amp;IF(LEN(INDEX('Inspections'!$A$4:$A$503,_calc!$E$379))=0,"",INDEX('Inspections'!$A$4:$A$503,_calc!$E$379)))</f>
        <v/>
      </c>
      <c r="B377" s="55">
        <f>IF(_calc!$E$379="","",IF(ISNUMBER(INDEX('Inspections'!$H$4:$H$503,_calc!$E$379)),TEXT(INDEX('Inspections'!$H$4:$H$503,_calc!$E$379),"yyyy-mm-dd"),""))</f>
        <v/>
      </c>
      <c r="C377" s="55">
        <f>IF(_calc!$E$379="","","Inspection")</f>
        <v/>
      </c>
      <c r="D377" s="55">
        <f>IF(_calc!$E$379="","",IF(ISNUMBER(INDEX('Inspections'!$G$4:$G$503,_calc!$E$379)),TEXT(INDEX('Inspections'!$G$4:$G$503,_calc!$E$379),"yyyy-mm-dd"),""))</f>
        <v/>
      </c>
      <c r="F377" s="55">
        <f>IF(_calc!$E$379="","",TRIM(IF(LEN(IF(LEN(INDEX('Inspections'!$B$4:$B$503,_calc!$E$379))=0,"",INDEX('Inspections'!$B$4:$B$503,_calc!$E$379)))=0,"","System: "&amp;IF(LEN(INDEX('Inspections'!$B$4:$B$503,_calc!$E$379))=0,"",INDEX('Inspections'!$B$4:$B$503,_calc!$E$379))&amp;". ")&amp;IF(LEN(IF(LEN(INDEX('Inspections'!$D$4:$D$503,_calc!$E$379))=0,"",INDEX('Inspections'!$D$4:$D$503,_calc!$E$379)))=0,"","Every: "&amp;IF(LEN(INDEX('Inspections'!$D$4:$D$503,_calc!$E$379))=0,"",INDEX('Inspections'!$D$4:$D$503,_calc!$E$379))&amp;". ")&amp;IF(LEN(IF(LEN(INDEX('Inspections'!$E$4:$E$503,_calc!$E$379))=0,"",INDEX('Inspections'!$E$4:$E$503,_calc!$E$379)))=0,"","Unit: "&amp;IF(LEN(INDEX('Inspections'!$E$4:$E$503,_calc!$E$379))=0,"",INDEX('Inspections'!$E$4:$E$503,_calc!$E$379))&amp;". ")&amp;IF(LEN(IF(LEN(INDEX('Inspections'!$F$4:$F$503,_calc!$E$379))=0,"",INDEX('Inspections'!$F$4:$F$503,_calc!$E$379)))=0,"","Done by: "&amp;IF(LEN(INDEX('Inspections'!$F$4:$F$503,_calc!$E$379))=0,"",INDEX('Inspections'!$F$4:$F$503,_calc!$E$379))&amp;". ")&amp;IF(LEN(IF(LEN(INDEX('Inspections'!$M$4:$M$503,_calc!$E$379))=0,"",INDEX('Inspections'!$M$4:$M$503,_calc!$E$379)))=0,"","Source: "&amp;IF(LEN(INDEX('Inspections'!$M$4:$M$503,_calc!$E$379))=0,"",INDEX('Inspections'!$M$4:$M$503,_calc!$E$379))&amp;". ")&amp;IF(LEN(IF(LEN(INDEX('Inspections'!$N$4:$N$503,_calc!$E$379))=0,"",INDEX('Inspections'!$N$4:$N$503,_calc!$E$379)))=0,"","Owner: "&amp;IF(LEN(INDEX('Inspections'!$N$4:$N$503,_calc!$E$379))=0,"",INDEX('Inspections'!$N$4:$N$503,_calc!$E$379))&amp;". ")&amp;IF(LEN(IF(LEN(INDEX('Inspections'!$O$4:$O$503,_calc!$E$379))=0,"",INDEX('Inspections'!$O$4:$O$503,_calc!$E$379)))=0,"","Backup: "&amp;IF(LEN(INDEX('Inspections'!$O$4:$O$503,_calc!$E$379))=0,"",INDEX('Inspections'!$O$4:$O$503,_calc!$E$379))&amp;". ")&amp;IF(LEN(IF(LEN(INDEX('Inspections'!$R$4:$R$503,_calc!$E$379))=0,"",INDEX('Inspections'!$R$4:$R$503,_calc!$E$379)))=0,"",IF(LEN(INDEX('Inspections'!$R$4:$R$503,_calc!$E$379))=0,"",INDEX('Inspections'!$R$4:$R$503,_calc!$E$379)))))</f>
        <v/>
      </c>
      <c r="G377" s="55">
        <f>IF(_calc!$E$379="","",IF(LEN(INDEX('Inspections'!$Q$4:$Q$503,_calc!$E$379))=0,"",INDEX('Inspections'!$Q$4:$Q$503,_calc!$E$379)))</f>
        <v/>
      </c>
      <c r="K377" s="55">
        <f>IF(_calc!$E$379="","",IF(LEN(INDEX('Inspections'!$P$4:$P$503,_calc!$E$379))=0,"",INDEX('Inspections'!$P$4:$P$503,_calc!$E$379)))</f>
        <v/>
      </c>
    </row>
    <row r="378">
      <c r="A378" s="55">
        <f>IF(_calc!$E$380="","",IF(LEN(INDEX('Inspections'!$C$4:$C$503,_calc!$E$380))=0,"",INDEX('Inspections'!$C$4:$C$503,_calc!$E$380))&amp;" – "&amp;IF(LEN(INDEX('Inspections'!$A$4:$A$503,_calc!$E$380))=0,"",INDEX('Inspections'!$A$4:$A$503,_calc!$E$380)))</f>
        <v/>
      </c>
      <c r="B378" s="55">
        <f>IF(_calc!$E$380="","",IF(ISNUMBER(INDEX('Inspections'!$H$4:$H$503,_calc!$E$380)),TEXT(INDEX('Inspections'!$H$4:$H$503,_calc!$E$380),"yyyy-mm-dd"),""))</f>
        <v/>
      </c>
      <c r="C378" s="55">
        <f>IF(_calc!$E$380="","","Inspection")</f>
        <v/>
      </c>
      <c r="D378" s="55">
        <f>IF(_calc!$E$380="","",IF(ISNUMBER(INDEX('Inspections'!$G$4:$G$503,_calc!$E$380)),TEXT(INDEX('Inspections'!$G$4:$G$503,_calc!$E$380),"yyyy-mm-dd"),""))</f>
        <v/>
      </c>
      <c r="F378" s="55">
        <f>IF(_calc!$E$380="","",TRIM(IF(LEN(IF(LEN(INDEX('Inspections'!$B$4:$B$503,_calc!$E$380))=0,"",INDEX('Inspections'!$B$4:$B$503,_calc!$E$380)))=0,"","System: "&amp;IF(LEN(INDEX('Inspections'!$B$4:$B$503,_calc!$E$380))=0,"",INDEX('Inspections'!$B$4:$B$503,_calc!$E$380))&amp;". ")&amp;IF(LEN(IF(LEN(INDEX('Inspections'!$D$4:$D$503,_calc!$E$380))=0,"",INDEX('Inspections'!$D$4:$D$503,_calc!$E$380)))=0,"","Every: "&amp;IF(LEN(INDEX('Inspections'!$D$4:$D$503,_calc!$E$380))=0,"",INDEX('Inspections'!$D$4:$D$503,_calc!$E$380))&amp;". ")&amp;IF(LEN(IF(LEN(INDEX('Inspections'!$E$4:$E$503,_calc!$E$380))=0,"",INDEX('Inspections'!$E$4:$E$503,_calc!$E$380)))=0,"","Unit: "&amp;IF(LEN(INDEX('Inspections'!$E$4:$E$503,_calc!$E$380))=0,"",INDEX('Inspections'!$E$4:$E$503,_calc!$E$380))&amp;". ")&amp;IF(LEN(IF(LEN(INDEX('Inspections'!$F$4:$F$503,_calc!$E$380))=0,"",INDEX('Inspections'!$F$4:$F$503,_calc!$E$380)))=0,"","Done by: "&amp;IF(LEN(INDEX('Inspections'!$F$4:$F$503,_calc!$E$380))=0,"",INDEX('Inspections'!$F$4:$F$503,_calc!$E$380))&amp;". ")&amp;IF(LEN(IF(LEN(INDEX('Inspections'!$M$4:$M$503,_calc!$E$380))=0,"",INDEX('Inspections'!$M$4:$M$503,_calc!$E$380)))=0,"","Source: "&amp;IF(LEN(INDEX('Inspections'!$M$4:$M$503,_calc!$E$380))=0,"",INDEX('Inspections'!$M$4:$M$503,_calc!$E$380))&amp;". ")&amp;IF(LEN(IF(LEN(INDEX('Inspections'!$N$4:$N$503,_calc!$E$380))=0,"",INDEX('Inspections'!$N$4:$N$503,_calc!$E$380)))=0,"","Owner: "&amp;IF(LEN(INDEX('Inspections'!$N$4:$N$503,_calc!$E$380))=0,"",INDEX('Inspections'!$N$4:$N$503,_calc!$E$380))&amp;". ")&amp;IF(LEN(IF(LEN(INDEX('Inspections'!$O$4:$O$503,_calc!$E$380))=0,"",INDEX('Inspections'!$O$4:$O$503,_calc!$E$380)))=0,"","Backup: "&amp;IF(LEN(INDEX('Inspections'!$O$4:$O$503,_calc!$E$380))=0,"",INDEX('Inspections'!$O$4:$O$503,_calc!$E$380))&amp;". ")&amp;IF(LEN(IF(LEN(INDEX('Inspections'!$R$4:$R$503,_calc!$E$380))=0,"",INDEX('Inspections'!$R$4:$R$503,_calc!$E$380)))=0,"",IF(LEN(INDEX('Inspections'!$R$4:$R$503,_calc!$E$380))=0,"",INDEX('Inspections'!$R$4:$R$503,_calc!$E$380)))))</f>
        <v/>
      </c>
      <c r="G378" s="55">
        <f>IF(_calc!$E$380="","",IF(LEN(INDEX('Inspections'!$Q$4:$Q$503,_calc!$E$380))=0,"",INDEX('Inspections'!$Q$4:$Q$503,_calc!$E$380)))</f>
        <v/>
      </c>
      <c r="K378" s="55">
        <f>IF(_calc!$E$380="","",IF(LEN(INDEX('Inspections'!$P$4:$P$503,_calc!$E$380))=0,"",INDEX('Inspections'!$P$4:$P$503,_calc!$E$380)))</f>
        <v/>
      </c>
    </row>
    <row r="379">
      <c r="A379" s="55">
        <f>IF(_calc!$E$381="","",IF(LEN(INDEX('Inspections'!$C$4:$C$503,_calc!$E$381))=0,"",INDEX('Inspections'!$C$4:$C$503,_calc!$E$381))&amp;" – "&amp;IF(LEN(INDEX('Inspections'!$A$4:$A$503,_calc!$E$381))=0,"",INDEX('Inspections'!$A$4:$A$503,_calc!$E$381)))</f>
        <v/>
      </c>
      <c r="B379" s="55">
        <f>IF(_calc!$E$381="","",IF(ISNUMBER(INDEX('Inspections'!$H$4:$H$503,_calc!$E$381)),TEXT(INDEX('Inspections'!$H$4:$H$503,_calc!$E$381),"yyyy-mm-dd"),""))</f>
        <v/>
      </c>
      <c r="C379" s="55">
        <f>IF(_calc!$E$381="","","Inspection")</f>
        <v/>
      </c>
      <c r="D379" s="55">
        <f>IF(_calc!$E$381="","",IF(ISNUMBER(INDEX('Inspections'!$G$4:$G$503,_calc!$E$381)),TEXT(INDEX('Inspections'!$G$4:$G$503,_calc!$E$381),"yyyy-mm-dd"),""))</f>
        <v/>
      </c>
      <c r="F379" s="55">
        <f>IF(_calc!$E$381="","",TRIM(IF(LEN(IF(LEN(INDEX('Inspections'!$B$4:$B$503,_calc!$E$381))=0,"",INDEX('Inspections'!$B$4:$B$503,_calc!$E$381)))=0,"","System: "&amp;IF(LEN(INDEX('Inspections'!$B$4:$B$503,_calc!$E$381))=0,"",INDEX('Inspections'!$B$4:$B$503,_calc!$E$381))&amp;". ")&amp;IF(LEN(IF(LEN(INDEX('Inspections'!$D$4:$D$503,_calc!$E$381))=0,"",INDEX('Inspections'!$D$4:$D$503,_calc!$E$381)))=0,"","Every: "&amp;IF(LEN(INDEX('Inspections'!$D$4:$D$503,_calc!$E$381))=0,"",INDEX('Inspections'!$D$4:$D$503,_calc!$E$381))&amp;". ")&amp;IF(LEN(IF(LEN(INDEX('Inspections'!$E$4:$E$503,_calc!$E$381))=0,"",INDEX('Inspections'!$E$4:$E$503,_calc!$E$381)))=0,"","Unit: "&amp;IF(LEN(INDEX('Inspections'!$E$4:$E$503,_calc!$E$381))=0,"",INDEX('Inspections'!$E$4:$E$503,_calc!$E$381))&amp;". ")&amp;IF(LEN(IF(LEN(INDEX('Inspections'!$F$4:$F$503,_calc!$E$381))=0,"",INDEX('Inspections'!$F$4:$F$503,_calc!$E$381)))=0,"","Done by: "&amp;IF(LEN(INDEX('Inspections'!$F$4:$F$503,_calc!$E$381))=0,"",INDEX('Inspections'!$F$4:$F$503,_calc!$E$381))&amp;". ")&amp;IF(LEN(IF(LEN(INDEX('Inspections'!$M$4:$M$503,_calc!$E$381))=0,"",INDEX('Inspections'!$M$4:$M$503,_calc!$E$381)))=0,"","Source: "&amp;IF(LEN(INDEX('Inspections'!$M$4:$M$503,_calc!$E$381))=0,"",INDEX('Inspections'!$M$4:$M$503,_calc!$E$381))&amp;". ")&amp;IF(LEN(IF(LEN(INDEX('Inspections'!$N$4:$N$503,_calc!$E$381))=0,"",INDEX('Inspections'!$N$4:$N$503,_calc!$E$381)))=0,"","Owner: "&amp;IF(LEN(INDEX('Inspections'!$N$4:$N$503,_calc!$E$381))=0,"",INDEX('Inspections'!$N$4:$N$503,_calc!$E$381))&amp;". ")&amp;IF(LEN(IF(LEN(INDEX('Inspections'!$O$4:$O$503,_calc!$E$381))=0,"",INDEX('Inspections'!$O$4:$O$503,_calc!$E$381)))=0,"","Backup: "&amp;IF(LEN(INDEX('Inspections'!$O$4:$O$503,_calc!$E$381))=0,"",INDEX('Inspections'!$O$4:$O$503,_calc!$E$381))&amp;". ")&amp;IF(LEN(IF(LEN(INDEX('Inspections'!$R$4:$R$503,_calc!$E$381))=0,"",INDEX('Inspections'!$R$4:$R$503,_calc!$E$381)))=0,"",IF(LEN(INDEX('Inspections'!$R$4:$R$503,_calc!$E$381))=0,"",INDEX('Inspections'!$R$4:$R$503,_calc!$E$381)))))</f>
        <v/>
      </c>
      <c r="G379" s="55">
        <f>IF(_calc!$E$381="","",IF(LEN(INDEX('Inspections'!$Q$4:$Q$503,_calc!$E$381))=0,"",INDEX('Inspections'!$Q$4:$Q$503,_calc!$E$381)))</f>
        <v/>
      </c>
      <c r="K379" s="55">
        <f>IF(_calc!$E$381="","",IF(LEN(INDEX('Inspections'!$P$4:$P$503,_calc!$E$381))=0,"",INDEX('Inspections'!$P$4:$P$503,_calc!$E$381)))</f>
        <v/>
      </c>
    </row>
    <row r="380">
      <c r="A380" s="55">
        <f>IF(_calc!$E$382="","",IF(LEN(INDEX('Inspections'!$C$4:$C$503,_calc!$E$382))=0,"",INDEX('Inspections'!$C$4:$C$503,_calc!$E$382))&amp;" – "&amp;IF(LEN(INDEX('Inspections'!$A$4:$A$503,_calc!$E$382))=0,"",INDEX('Inspections'!$A$4:$A$503,_calc!$E$382)))</f>
        <v/>
      </c>
      <c r="B380" s="55">
        <f>IF(_calc!$E$382="","",IF(ISNUMBER(INDEX('Inspections'!$H$4:$H$503,_calc!$E$382)),TEXT(INDEX('Inspections'!$H$4:$H$503,_calc!$E$382),"yyyy-mm-dd"),""))</f>
        <v/>
      </c>
      <c r="C380" s="55">
        <f>IF(_calc!$E$382="","","Inspection")</f>
        <v/>
      </c>
      <c r="D380" s="55">
        <f>IF(_calc!$E$382="","",IF(ISNUMBER(INDEX('Inspections'!$G$4:$G$503,_calc!$E$382)),TEXT(INDEX('Inspections'!$G$4:$G$503,_calc!$E$382),"yyyy-mm-dd"),""))</f>
        <v/>
      </c>
      <c r="F380" s="55">
        <f>IF(_calc!$E$382="","",TRIM(IF(LEN(IF(LEN(INDEX('Inspections'!$B$4:$B$503,_calc!$E$382))=0,"",INDEX('Inspections'!$B$4:$B$503,_calc!$E$382)))=0,"","System: "&amp;IF(LEN(INDEX('Inspections'!$B$4:$B$503,_calc!$E$382))=0,"",INDEX('Inspections'!$B$4:$B$503,_calc!$E$382))&amp;". ")&amp;IF(LEN(IF(LEN(INDEX('Inspections'!$D$4:$D$503,_calc!$E$382))=0,"",INDEX('Inspections'!$D$4:$D$503,_calc!$E$382)))=0,"","Every: "&amp;IF(LEN(INDEX('Inspections'!$D$4:$D$503,_calc!$E$382))=0,"",INDEX('Inspections'!$D$4:$D$503,_calc!$E$382))&amp;". ")&amp;IF(LEN(IF(LEN(INDEX('Inspections'!$E$4:$E$503,_calc!$E$382))=0,"",INDEX('Inspections'!$E$4:$E$503,_calc!$E$382)))=0,"","Unit: "&amp;IF(LEN(INDEX('Inspections'!$E$4:$E$503,_calc!$E$382))=0,"",INDEX('Inspections'!$E$4:$E$503,_calc!$E$382))&amp;". ")&amp;IF(LEN(IF(LEN(INDEX('Inspections'!$F$4:$F$503,_calc!$E$382))=0,"",INDEX('Inspections'!$F$4:$F$503,_calc!$E$382)))=0,"","Done by: "&amp;IF(LEN(INDEX('Inspections'!$F$4:$F$503,_calc!$E$382))=0,"",INDEX('Inspections'!$F$4:$F$503,_calc!$E$382))&amp;". ")&amp;IF(LEN(IF(LEN(INDEX('Inspections'!$M$4:$M$503,_calc!$E$382))=0,"",INDEX('Inspections'!$M$4:$M$503,_calc!$E$382)))=0,"","Source: "&amp;IF(LEN(INDEX('Inspections'!$M$4:$M$503,_calc!$E$382))=0,"",INDEX('Inspections'!$M$4:$M$503,_calc!$E$382))&amp;". ")&amp;IF(LEN(IF(LEN(INDEX('Inspections'!$N$4:$N$503,_calc!$E$382))=0,"",INDEX('Inspections'!$N$4:$N$503,_calc!$E$382)))=0,"","Owner: "&amp;IF(LEN(INDEX('Inspections'!$N$4:$N$503,_calc!$E$382))=0,"",INDEX('Inspections'!$N$4:$N$503,_calc!$E$382))&amp;". ")&amp;IF(LEN(IF(LEN(INDEX('Inspections'!$O$4:$O$503,_calc!$E$382))=0,"",INDEX('Inspections'!$O$4:$O$503,_calc!$E$382)))=0,"","Backup: "&amp;IF(LEN(INDEX('Inspections'!$O$4:$O$503,_calc!$E$382))=0,"",INDEX('Inspections'!$O$4:$O$503,_calc!$E$382))&amp;". ")&amp;IF(LEN(IF(LEN(INDEX('Inspections'!$R$4:$R$503,_calc!$E$382))=0,"",INDEX('Inspections'!$R$4:$R$503,_calc!$E$382)))=0,"",IF(LEN(INDEX('Inspections'!$R$4:$R$503,_calc!$E$382))=0,"",INDEX('Inspections'!$R$4:$R$503,_calc!$E$382)))))</f>
        <v/>
      </c>
      <c r="G380" s="55">
        <f>IF(_calc!$E$382="","",IF(LEN(INDEX('Inspections'!$Q$4:$Q$503,_calc!$E$382))=0,"",INDEX('Inspections'!$Q$4:$Q$503,_calc!$E$382)))</f>
        <v/>
      </c>
      <c r="K380" s="55">
        <f>IF(_calc!$E$382="","",IF(LEN(INDEX('Inspections'!$P$4:$P$503,_calc!$E$382))=0,"",INDEX('Inspections'!$P$4:$P$503,_calc!$E$382)))</f>
        <v/>
      </c>
    </row>
    <row r="381">
      <c r="A381" s="55">
        <f>IF(_calc!$E$383="","",IF(LEN(INDEX('Inspections'!$C$4:$C$503,_calc!$E$383))=0,"",INDEX('Inspections'!$C$4:$C$503,_calc!$E$383))&amp;" – "&amp;IF(LEN(INDEX('Inspections'!$A$4:$A$503,_calc!$E$383))=0,"",INDEX('Inspections'!$A$4:$A$503,_calc!$E$383)))</f>
        <v/>
      </c>
      <c r="B381" s="55">
        <f>IF(_calc!$E$383="","",IF(ISNUMBER(INDEX('Inspections'!$H$4:$H$503,_calc!$E$383)),TEXT(INDEX('Inspections'!$H$4:$H$503,_calc!$E$383),"yyyy-mm-dd"),""))</f>
        <v/>
      </c>
      <c r="C381" s="55">
        <f>IF(_calc!$E$383="","","Inspection")</f>
        <v/>
      </c>
      <c r="D381" s="55">
        <f>IF(_calc!$E$383="","",IF(ISNUMBER(INDEX('Inspections'!$G$4:$G$503,_calc!$E$383)),TEXT(INDEX('Inspections'!$G$4:$G$503,_calc!$E$383),"yyyy-mm-dd"),""))</f>
        <v/>
      </c>
      <c r="F381" s="55">
        <f>IF(_calc!$E$383="","",TRIM(IF(LEN(IF(LEN(INDEX('Inspections'!$B$4:$B$503,_calc!$E$383))=0,"",INDEX('Inspections'!$B$4:$B$503,_calc!$E$383)))=0,"","System: "&amp;IF(LEN(INDEX('Inspections'!$B$4:$B$503,_calc!$E$383))=0,"",INDEX('Inspections'!$B$4:$B$503,_calc!$E$383))&amp;". ")&amp;IF(LEN(IF(LEN(INDEX('Inspections'!$D$4:$D$503,_calc!$E$383))=0,"",INDEX('Inspections'!$D$4:$D$503,_calc!$E$383)))=0,"","Every: "&amp;IF(LEN(INDEX('Inspections'!$D$4:$D$503,_calc!$E$383))=0,"",INDEX('Inspections'!$D$4:$D$503,_calc!$E$383))&amp;". ")&amp;IF(LEN(IF(LEN(INDEX('Inspections'!$E$4:$E$503,_calc!$E$383))=0,"",INDEX('Inspections'!$E$4:$E$503,_calc!$E$383)))=0,"","Unit: "&amp;IF(LEN(INDEX('Inspections'!$E$4:$E$503,_calc!$E$383))=0,"",INDEX('Inspections'!$E$4:$E$503,_calc!$E$383))&amp;". ")&amp;IF(LEN(IF(LEN(INDEX('Inspections'!$F$4:$F$503,_calc!$E$383))=0,"",INDEX('Inspections'!$F$4:$F$503,_calc!$E$383)))=0,"","Done by: "&amp;IF(LEN(INDEX('Inspections'!$F$4:$F$503,_calc!$E$383))=0,"",INDEX('Inspections'!$F$4:$F$503,_calc!$E$383))&amp;". ")&amp;IF(LEN(IF(LEN(INDEX('Inspections'!$M$4:$M$503,_calc!$E$383))=0,"",INDEX('Inspections'!$M$4:$M$503,_calc!$E$383)))=0,"","Source: "&amp;IF(LEN(INDEX('Inspections'!$M$4:$M$503,_calc!$E$383))=0,"",INDEX('Inspections'!$M$4:$M$503,_calc!$E$383))&amp;". ")&amp;IF(LEN(IF(LEN(INDEX('Inspections'!$N$4:$N$503,_calc!$E$383))=0,"",INDEX('Inspections'!$N$4:$N$503,_calc!$E$383)))=0,"","Owner: "&amp;IF(LEN(INDEX('Inspections'!$N$4:$N$503,_calc!$E$383))=0,"",INDEX('Inspections'!$N$4:$N$503,_calc!$E$383))&amp;". ")&amp;IF(LEN(IF(LEN(INDEX('Inspections'!$O$4:$O$503,_calc!$E$383))=0,"",INDEX('Inspections'!$O$4:$O$503,_calc!$E$383)))=0,"","Backup: "&amp;IF(LEN(INDEX('Inspections'!$O$4:$O$503,_calc!$E$383))=0,"",INDEX('Inspections'!$O$4:$O$503,_calc!$E$383))&amp;". ")&amp;IF(LEN(IF(LEN(INDEX('Inspections'!$R$4:$R$503,_calc!$E$383))=0,"",INDEX('Inspections'!$R$4:$R$503,_calc!$E$383)))=0,"",IF(LEN(INDEX('Inspections'!$R$4:$R$503,_calc!$E$383))=0,"",INDEX('Inspections'!$R$4:$R$503,_calc!$E$383)))))</f>
        <v/>
      </c>
      <c r="G381" s="55">
        <f>IF(_calc!$E$383="","",IF(LEN(INDEX('Inspections'!$Q$4:$Q$503,_calc!$E$383))=0,"",INDEX('Inspections'!$Q$4:$Q$503,_calc!$E$383)))</f>
        <v/>
      </c>
      <c r="K381" s="55">
        <f>IF(_calc!$E$383="","",IF(LEN(INDEX('Inspections'!$P$4:$P$503,_calc!$E$383))=0,"",INDEX('Inspections'!$P$4:$P$503,_calc!$E$383)))</f>
        <v/>
      </c>
    </row>
    <row r="382">
      <c r="A382" s="55">
        <f>IF(_calc!$E$384="","",IF(LEN(INDEX('Inspections'!$C$4:$C$503,_calc!$E$384))=0,"",INDEX('Inspections'!$C$4:$C$503,_calc!$E$384))&amp;" – "&amp;IF(LEN(INDEX('Inspections'!$A$4:$A$503,_calc!$E$384))=0,"",INDEX('Inspections'!$A$4:$A$503,_calc!$E$384)))</f>
        <v/>
      </c>
      <c r="B382" s="55">
        <f>IF(_calc!$E$384="","",IF(ISNUMBER(INDEX('Inspections'!$H$4:$H$503,_calc!$E$384)),TEXT(INDEX('Inspections'!$H$4:$H$503,_calc!$E$384),"yyyy-mm-dd"),""))</f>
        <v/>
      </c>
      <c r="C382" s="55">
        <f>IF(_calc!$E$384="","","Inspection")</f>
        <v/>
      </c>
      <c r="D382" s="55">
        <f>IF(_calc!$E$384="","",IF(ISNUMBER(INDEX('Inspections'!$G$4:$G$503,_calc!$E$384)),TEXT(INDEX('Inspections'!$G$4:$G$503,_calc!$E$384),"yyyy-mm-dd"),""))</f>
        <v/>
      </c>
      <c r="F382" s="55">
        <f>IF(_calc!$E$384="","",TRIM(IF(LEN(IF(LEN(INDEX('Inspections'!$B$4:$B$503,_calc!$E$384))=0,"",INDEX('Inspections'!$B$4:$B$503,_calc!$E$384)))=0,"","System: "&amp;IF(LEN(INDEX('Inspections'!$B$4:$B$503,_calc!$E$384))=0,"",INDEX('Inspections'!$B$4:$B$503,_calc!$E$384))&amp;". ")&amp;IF(LEN(IF(LEN(INDEX('Inspections'!$D$4:$D$503,_calc!$E$384))=0,"",INDEX('Inspections'!$D$4:$D$503,_calc!$E$384)))=0,"","Every: "&amp;IF(LEN(INDEX('Inspections'!$D$4:$D$503,_calc!$E$384))=0,"",INDEX('Inspections'!$D$4:$D$503,_calc!$E$384))&amp;". ")&amp;IF(LEN(IF(LEN(INDEX('Inspections'!$E$4:$E$503,_calc!$E$384))=0,"",INDEX('Inspections'!$E$4:$E$503,_calc!$E$384)))=0,"","Unit: "&amp;IF(LEN(INDEX('Inspections'!$E$4:$E$503,_calc!$E$384))=0,"",INDEX('Inspections'!$E$4:$E$503,_calc!$E$384))&amp;". ")&amp;IF(LEN(IF(LEN(INDEX('Inspections'!$F$4:$F$503,_calc!$E$384))=0,"",INDEX('Inspections'!$F$4:$F$503,_calc!$E$384)))=0,"","Done by: "&amp;IF(LEN(INDEX('Inspections'!$F$4:$F$503,_calc!$E$384))=0,"",INDEX('Inspections'!$F$4:$F$503,_calc!$E$384))&amp;". ")&amp;IF(LEN(IF(LEN(INDEX('Inspections'!$M$4:$M$503,_calc!$E$384))=0,"",INDEX('Inspections'!$M$4:$M$503,_calc!$E$384)))=0,"","Source: "&amp;IF(LEN(INDEX('Inspections'!$M$4:$M$503,_calc!$E$384))=0,"",INDEX('Inspections'!$M$4:$M$503,_calc!$E$384))&amp;". ")&amp;IF(LEN(IF(LEN(INDEX('Inspections'!$N$4:$N$503,_calc!$E$384))=0,"",INDEX('Inspections'!$N$4:$N$503,_calc!$E$384)))=0,"","Owner: "&amp;IF(LEN(INDEX('Inspections'!$N$4:$N$503,_calc!$E$384))=0,"",INDEX('Inspections'!$N$4:$N$503,_calc!$E$384))&amp;". ")&amp;IF(LEN(IF(LEN(INDEX('Inspections'!$O$4:$O$503,_calc!$E$384))=0,"",INDEX('Inspections'!$O$4:$O$503,_calc!$E$384)))=0,"","Backup: "&amp;IF(LEN(INDEX('Inspections'!$O$4:$O$503,_calc!$E$384))=0,"",INDEX('Inspections'!$O$4:$O$503,_calc!$E$384))&amp;". ")&amp;IF(LEN(IF(LEN(INDEX('Inspections'!$R$4:$R$503,_calc!$E$384))=0,"",INDEX('Inspections'!$R$4:$R$503,_calc!$E$384)))=0,"",IF(LEN(INDEX('Inspections'!$R$4:$R$503,_calc!$E$384))=0,"",INDEX('Inspections'!$R$4:$R$503,_calc!$E$384)))))</f>
        <v/>
      </c>
      <c r="G382" s="55">
        <f>IF(_calc!$E$384="","",IF(LEN(INDEX('Inspections'!$Q$4:$Q$503,_calc!$E$384))=0,"",INDEX('Inspections'!$Q$4:$Q$503,_calc!$E$384)))</f>
        <v/>
      </c>
      <c r="K382" s="55">
        <f>IF(_calc!$E$384="","",IF(LEN(INDEX('Inspections'!$P$4:$P$503,_calc!$E$384))=0,"",INDEX('Inspections'!$P$4:$P$503,_calc!$E$384)))</f>
        <v/>
      </c>
    </row>
    <row r="383">
      <c r="A383" s="55">
        <f>IF(_calc!$E$385="","",IF(LEN(INDEX('Inspections'!$C$4:$C$503,_calc!$E$385))=0,"",INDEX('Inspections'!$C$4:$C$503,_calc!$E$385))&amp;" – "&amp;IF(LEN(INDEX('Inspections'!$A$4:$A$503,_calc!$E$385))=0,"",INDEX('Inspections'!$A$4:$A$503,_calc!$E$385)))</f>
        <v/>
      </c>
      <c r="B383" s="55">
        <f>IF(_calc!$E$385="","",IF(ISNUMBER(INDEX('Inspections'!$H$4:$H$503,_calc!$E$385)),TEXT(INDEX('Inspections'!$H$4:$H$503,_calc!$E$385),"yyyy-mm-dd"),""))</f>
        <v/>
      </c>
      <c r="C383" s="55">
        <f>IF(_calc!$E$385="","","Inspection")</f>
        <v/>
      </c>
      <c r="D383" s="55">
        <f>IF(_calc!$E$385="","",IF(ISNUMBER(INDEX('Inspections'!$G$4:$G$503,_calc!$E$385)),TEXT(INDEX('Inspections'!$G$4:$G$503,_calc!$E$385),"yyyy-mm-dd"),""))</f>
        <v/>
      </c>
      <c r="F383" s="55">
        <f>IF(_calc!$E$385="","",TRIM(IF(LEN(IF(LEN(INDEX('Inspections'!$B$4:$B$503,_calc!$E$385))=0,"",INDEX('Inspections'!$B$4:$B$503,_calc!$E$385)))=0,"","System: "&amp;IF(LEN(INDEX('Inspections'!$B$4:$B$503,_calc!$E$385))=0,"",INDEX('Inspections'!$B$4:$B$503,_calc!$E$385))&amp;". ")&amp;IF(LEN(IF(LEN(INDEX('Inspections'!$D$4:$D$503,_calc!$E$385))=0,"",INDEX('Inspections'!$D$4:$D$503,_calc!$E$385)))=0,"","Every: "&amp;IF(LEN(INDEX('Inspections'!$D$4:$D$503,_calc!$E$385))=0,"",INDEX('Inspections'!$D$4:$D$503,_calc!$E$385))&amp;". ")&amp;IF(LEN(IF(LEN(INDEX('Inspections'!$E$4:$E$503,_calc!$E$385))=0,"",INDEX('Inspections'!$E$4:$E$503,_calc!$E$385)))=0,"","Unit: "&amp;IF(LEN(INDEX('Inspections'!$E$4:$E$503,_calc!$E$385))=0,"",INDEX('Inspections'!$E$4:$E$503,_calc!$E$385))&amp;". ")&amp;IF(LEN(IF(LEN(INDEX('Inspections'!$F$4:$F$503,_calc!$E$385))=0,"",INDEX('Inspections'!$F$4:$F$503,_calc!$E$385)))=0,"","Done by: "&amp;IF(LEN(INDEX('Inspections'!$F$4:$F$503,_calc!$E$385))=0,"",INDEX('Inspections'!$F$4:$F$503,_calc!$E$385))&amp;". ")&amp;IF(LEN(IF(LEN(INDEX('Inspections'!$M$4:$M$503,_calc!$E$385))=0,"",INDEX('Inspections'!$M$4:$M$503,_calc!$E$385)))=0,"","Source: "&amp;IF(LEN(INDEX('Inspections'!$M$4:$M$503,_calc!$E$385))=0,"",INDEX('Inspections'!$M$4:$M$503,_calc!$E$385))&amp;". ")&amp;IF(LEN(IF(LEN(INDEX('Inspections'!$N$4:$N$503,_calc!$E$385))=0,"",INDEX('Inspections'!$N$4:$N$503,_calc!$E$385)))=0,"","Owner: "&amp;IF(LEN(INDEX('Inspections'!$N$4:$N$503,_calc!$E$385))=0,"",INDEX('Inspections'!$N$4:$N$503,_calc!$E$385))&amp;". ")&amp;IF(LEN(IF(LEN(INDEX('Inspections'!$O$4:$O$503,_calc!$E$385))=0,"",INDEX('Inspections'!$O$4:$O$503,_calc!$E$385)))=0,"","Backup: "&amp;IF(LEN(INDEX('Inspections'!$O$4:$O$503,_calc!$E$385))=0,"",INDEX('Inspections'!$O$4:$O$503,_calc!$E$385))&amp;". ")&amp;IF(LEN(IF(LEN(INDEX('Inspections'!$R$4:$R$503,_calc!$E$385))=0,"",INDEX('Inspections'!$R$4:$R$503,_calc!$E$385)))=0,"",IF(LEN(INDEX('Inspections'!$R$4:$R$503,_calc!$E$385))=0,"",INDEX('Inspections'!$R$4:$R$503,_calc!$E$385)))))</f>
        <v/>
      </c>
      <c r="G383" s="55">
        <f>IF(_calc!$E$385="","",IF(LEN(INDEX('Inspections'!$Q$4:$Q$503,_calc!$E$385))=0,"",INDEX('Inspections'!$Q$4:$Q$503,_calc!$E$385)))</f>
        <v/>
      </c>
      <c r="K383" s="55">
        <f>IF(_calc!$E$385="","",IF(LEN(INDEX('Inspections'!$P$4:$P$503,_calc!$E$385))=0,"",INDEX('Inspections'!$P$4:$P$503,_calc!$E$385)))</f>
        <v/>
      </c>
    </row>
    <row r="384">
      <c r="A384" s="55">
        <f>IF(_calc!$E$386="","",IF(LEN(INDEX('Inspections'!$C$4:$C$503,_calc!$E$386))=0,"",INDEX('Inspections'!$C$4:$C$503,_calc!$E$386))&amp;" – "&amp;IF(LEN(INDEX('Inspections'!$A$4:$A$503,_calc!$E$386))=0,"",INDEX('Inspections'!$A$4:$A$503,_calc!$E$386)))</f>
        <v/>
      </c>
      <c r="B384" s="55">
        <f>IF(_calc!$E$386="","",IF(ISNUMBER(INDEX('Inspections'!$H$4:$H$503,_calc!$E$386)),TEXT(INDEX('Inspections'!$H$4:$H$503,_calc!$E$386),"yyyy-mm-dd"),""))</f>
        <v/>
      </c>
      <c r="C384" s="55">
        <f>IF(_calc!$E$386="","","Inspection")</f>
        <v/>
      </c>
      <c r="D384" s="55">
        <f>IF(_calc!$E$386="","",IF(ISNUMBER(INDEX('Inspections'!$G$4:$G$503,_calc!$E$386)),TEXT(INDEX('Inspections'!$G$4:$G$503,_calc!$E$386),"yyyy-mm-dd"),""))</f>
        <v/>
      </c>
      <c r="F384" s="55">
        <f>IF(_calc!$E$386="","",TRIM(IF(LEN(IF(LEN(INDEX('Inspections'!$B$4:$B$503,_calc!$E$386))=0,"",INDEX('Inspections'!$B$4:$B$503,_calc!$E$386)))=0,"","System: "&amp;IF(LEN(INDEX('Inspections'!$B$4:$B$503,_calc!$E$386))=0,"",INDEX('Inspections'!$B$4:$B$503,_calc!$E$386))&amp;". ")&amp;IF(LEN(IF(LEN(INDEX('Inspections'!$D$4:$D$503,_calc!$E$386))=0,"",INDEX('Inspections'!$D$4:$D$503,_calc!$E$386)))=0,"","Every: "&amp;IF(LEN(INDEX('Inspections'!$D$4:$D$503,_calc!$E$386))=0,"",INDEX('Inspections'!$D$4:$D$503,_calc!$E$386))&amp;". ")&amp;IF(LEN(IF(LEN(INDEX('Inspections'!$E$4:$E$503,_calc!$E$386))=0,"",INDEX('Inspections'!$E$4:$E$503,_calc!$E$386)))=0,"","Unit: "&amp;IF(LEN(INDEX('Inspections'!$E$4:$E$503,_calc!$E$386))=0,"",INDEX('Inspections'!$E$4:$E$503,_calc!$E$386))&amp;". ")&amp;IF(LEN(IF(LEN(INDEX('Inspections'!$F$4:$F$503,_calc!$E$386))=0,"",INDEX('Inspections'!$F$4:$F$503,_calc!$E$386)))=0,"","Done by: "&amp;IF(LEN(INDEX('Inspections'!$F$4:$F$503,_calc!$E$386))=0,"",INDEX('Inspections'!$F$4:$F$503,_calc!$E$386))&amp;". ")&amp;IF(LEN(IF(LEN(INDEX('Inspections'!$M$4:$M$503,_calc!$E$386))=0,"",INDEX('Inspections'!$M$4:$M$503,_calc!$E$386)))=0,"","Source: "&amp;IF(LEN(INDEX('Inspections'!$M$4:$M$503,_calc!$E$386))=0,"",INDEX('Inspections'!$M$4:$M$503,_calc!$E$386))&amp;". ")&amp;IF(LEN(IF(LEN(INDEX('Inspections'!$N$4:$N$503,_calc!$E$386))=0,"",INDEX('Inspections'!$N$4:$N$503,_calc!$E$386)))=0,"","Owner: "&amp;IF(LEN(INDEX('Inspections'!$N$4:$N$503,_calc!$E$386))=0,"",INDEX('Inspections'!$N$4:$N$503,_calc!$E$386))&amp;". ")&amp;IF(LEN(IF(LEN(INDEX('Inspections'!$O$4:$O$503,_calc!$E$386))=0,"",INDEX('Inspections'!$O$4:$O$503,_calc!$E$386)))=0,"","Backup: "&amp;IF(LEN(INDEX('Inspections'!$O$4:$O$503,_calc!$E$386))=0,"",INDEX('Inspections'!$O$4:$O$503,_calc!$E$386))&amp;". ")&amp;IF(LEN(IF(LEN(INDEX('Inspections'!$R$4:$R$503,_calc!$E$386))=0,"",INDEX('Inspections'!$R$4:$R$503,_calc!$E$386)))=0,"",IF(LEN(INDEX('Inspections'!$R$4:$R$503,_calc!$E$386))=0,"",INDEX('Inspections'!$R$4:$R$503,_calc!$E$386)))))</f>
        <v/>
      </c>
      <c r="G384" s="55">
        <f>IF(_calc!$E$386="","",IF(LEN(INDEX('Inspections'!$Q$4:$Q$503,_calc!$E$386))=0,"",INDEX('Inspections'!$Q$4:$Q$503,_calc!$E$386)))</f>
        <v/>
      </c>
      <c r="K384" s="55">
        <f>IF(_calc!$E$386="","",IF(LEN(INDEX('Inspections'!$P$4:$P$503,_calc!$E$386))=0,"",INDEX('Inspections'!$P$4:$P$503,_calc!$E$386)))</f>
        <v/>
      </c>
    </row>
    <row r="385">
      <c r="A385" s="55">
        <f>IF(_calc!$E$387="","",IF(LEN(INDEX('Inspections'!$C$4:$C$503,_calc!$E$387))=0,"",INDEX('Inspections'!$C$4:$C$503,_calc!$E$387))&amp;" – "&amp;IF(LEN(INDEX('Inspections'!$A$4:$A$503,_calc!$E$387))=0,"",INDEX('Inspections'!$A$4:$A$503,_calc!$E$387)))</f>
        <v/>
      </c>
      <c r="B385" s="55">
        <f>IF(_calc!$E$387="","",IF(ISNUMBER(INDEX('Inspections'!$H$4:$H$503,_calc!$E$387)),TEXT(INDEX('Inspections'!$H$4:$H$503,_calc!$E$387),"yyyy-mm-dd"),""))</f>
        <v/>
      </c>
      <c r="C385" s="55">
        <f>IF(_calc!$E$387="","","Inspection")</f>
        <v/>
      </c>
      <c r="D385" s="55">
        <f>IF(_calc!$E$387="","",IF(ISNUMBER(INDEX('Inspections'!$G$4:$G$503,_calc!$E$387)),TEXT(INDEX('Inspections'!$G$4:$G$503,_calc!$E$387),"yyyy-mm-dd"),""))</f>
        <v/>
      </c>
      <c r="F385" s="55">
        <f>IF(_calc!$E$387="","",TRIM(IF(LEN(IF(LEN(INDEX('Inspections'!$B$4:$B$503,_calc!$E$387))=0,"",INDEX('Inspections'!$B$4:$B$503,_calc!$E$387)))=0,"","System: "&amp;IF(LEN(INDEX('Inspections'!$B$4:$B$503,_calc!$E$387))=0,"",INDEX('Inspections'!$B$4:$B$503,_calc!$E$387))&amp;". ")&amp;IF(LEN(IF(LEN(INDEX('Inspections'!$D$4:$D$503,_calc!$E$387))=0,"",INDEX('Inspections'!$D$4:$D$503,_calc!$E$387)))=0,"","Every: "&amp;IF(LEN(INDEX('Inspections'!$D$4:$D$503,_calc!$E$387))=0,"",INDEX('Inspections'!$D$4:$D$503,_calc!$E$387))&amp;". ")&amp;IF(LEN(IF(LEN(INDEX('Inspections'!$E$4:$E$503,_calc!$E$387))=0,"",INDEX('Inspections'!$E$4:$E$503,_calc!$E$387)))=0,"","Unit: "&amp;IF(LEN(INDEX('Inspections'!$E$4:$E$503,_calc!$E$387))=0,"",INDEX('Inspections'!$E$4:$E$503,_calc!$E$387))&amp;". ")&amp;IF(LEN(IF(LEN(INDEX('Inspections'!$F$4:$F$503,_calc!$E$387))=0,"",INDEX('Inspections'!$F$4:$F$503,_calc!$E$387)))=0,"","Done by: "&amp;IF(LEN(INDEX('Inspections'!$F$4:$F$503,_calc!$E$387))=0,"",INDEX('Inspections'!$F$4:$F$503,_calc!$E$387))&amp;". ")&amp;IF(LEN(IF(LEN(INDEX('Inspections'!$M$4:$M$503,_calc!$E$387))=0,"",INDEX('Inspections'!$M$4:$M$503,_calc!$E$387)))=0,"","Source: "&amp;IF(LEN(INDEX('Inspections'!$M$4:$M$503,_calc!$E$387))=0,"",INDEX('Inspections'!$M$4:$M$503,_calc!$E$387))&amp;". ")&amp;IF(LEN(IF(LEN(INDEX('Inspections'!$N$4:$N$503,_calc!$E$387))=0,"",INDEX('Inspections'!$N$4:$N$503,_calc!$E$387)))=0,"","Owner: "&amp;IF(LEN(INDEX('Inspections'!$N$4:$N$503,_calc!$E$387))=0,"",INDEX('Inspections'!$N$4:$N$503,_calc!$E$387))&amp;". ")&amp;IF(LEN(IF(LEN(INDEX('Inspections'!$O$4:$O$503,_calc!$E$387))=0,"",INDEX('Inspections'!$O$4:$O$503,_calc!$E$387)))=0,"","Backup: "&amp;IF(LEN(INDEX('Inspections'!$O$4:$O$503,_calc!$E$387))=0,"",INDEX('Inspections'!$O$4:$O$503,_calc!$E$387))&amp;". ")&amp;IF(LEN(IF(LEN(INDEX('Inspections'!$R$4:$R$503,_calc!$E$387))=0,"",INDEX('Inspections'!$R$4:$R$503,_calc!$E$387)))=0,"",IF(LEN(INDEX('Inspections'!$R$4:$R$503,_calc!$E$387))=0,"",INDEX('Inspections'!$R$4:$R$503,_calc!$E$387)))))</f>
        <v/>
      </c>
      <c r="G385" s="55">
        <f>IF(_calc!$E$387="","",IF(LEN(INDEX('Inspections'!$Q$4:$Q$503,_calc!$E$387))=0,"",INDEX('Inspections'!$Q$4:$Q$503,_calc!$E$387)))</f>
        <v/>
      </c>
      <c r="K385" s="55">
        <f>IF(_calc!$E$387="","",IF(LEN(INDEX('Inspections'!$P$4:$P$503,_calc!$E$387))=0,"",INDEX('Inspections'!$P$4:$P$503,_calc!$E$387)))</f>
        <v/>
      </c>
    </row>
    <row r="386">
      <c r="A386" s="55">
        <f>IF(_calc!$E$388="","",IF(LEN(INDEX('Inspections'!$C$4:$C$503,_calc!$E$388))=0,"",INDEX('Inspections'!$C$4:$C$503,_calc!$E$388))&amp;" – "&amp;IF(LEN(INDEX('Inspections'!$A$4:$A$503,_calc!$E$388))=0,"",INDEX('Inspections'!$A$4:$A$503,_calc!$E$388)))</f>
        <v/>
      </c>
      <c r="B386" s="55">
        <f>IF(_calc!$E$388="","",IF(ISNUMBER(INDEX('Inspections'!$H$4:$H$503,_calc!$E$388)),TEXT(INDEX('Inspections'!$H$4:$H$503,_calc!$E$388),"yyyy-mm-dd"),""))</f>
        <v/>
      </c>
      <c r="C386" s="55">
        <f>IF(_calc!$E$388="","","Inspection")</f>
        <v/>
      </c>
      <c r="D386" s="55">
        <f>IF(_calc!$E$388="","",IF(ISNUMBER(INDEX('Inspections'!$G$4:$G$503,_calc!$E$388)),TEXT(INDEX('Inspections'!$G$4:$G$503,_calc!$E$388),"yyyy-mm-dd"),""))</f>
        <v/>
      </c>
      <c r="F386" s="55">
        <f>IF(_calc!$E$388="","",TRIM(IF(LEN(IF(LEN(INDEX('Inspections'!$B$4:$B$503,_calc!$E$388))=0,"",INDEX('Inspections'!$B$4:$B$503,_calc!$E$388)))=0,"","System: "&amp;IF(LEN(INDEX('Inspections'!$B$4:$B$503,_calc!$E$388))=0,"",INDEX('Inspections'!$B$4:$B$503,_calc!$E$388))&amp;". ")&amp;IF(LEN(IF(LEN(INDEX('Inspections'!$D$4:$D$503,_calc!$E$388))=0,"",INDEX('Inspections'!$D$4:$D$503,_calc!$E$388)))=0,"","Every: "&amp;IF(LEN(INDEX('Inspections'!$D$4:$D$503,_calc!$E$388))=0,"",INDEX('Inspections'!$D$4:$D$503,_calc!$E$388))&amp;". ")&amp;IF(LEN(IF(LEN(INDEX('Inspections'!$E$4:$E$503,_calc!$E$388))=0,"",INDEX('Inspections'!$E$4:$E$503,_calc!$E$388)))=0,"","Unit: "&amp;IF(LEN(INDEX('Inspections'!$E$4:$E$503,_calc!$E$388))=0,"",INDEX('Inspections'!$E$4:$E$503,_calc!$E$388))&amp;". ")&amp;IF(LEN(IF(LEN(INDEX('Inspections'!$F$4:$F$503,_calc!$E$388))=0,"",INDEX('Inspections'!$F$4:$F$503,_calc!$E$388)))=0,"","Done by: "&amp;IF(LEN(INDEX('Inspections'!$F$4:$F$503,_calc!$E$388))=0,"",INDEX('Inspections'!$F$4:$F$503,_calc!$E$388))&amp;". ")&amp;IF(LEN(IF(LEN(INDEX('Inspections'!$M$4:$M$503,_calc!$E$388))=0,"",INDEX('Inspections'!$M$4:$M$503,_calc!$E$388)))=0,"","Source: "&amp;IF(LEN(INDEX('Inspections'!$M$4:$M$503,_calc!$E$388))=0,"",INDEX('Inspections'!$M$4:$M$503,_calc!$E$388))&amp;". ")&amp;IF(LEN(IF(LEN(INDEX('Inspections'!$N$4:$N$503,_calc!$E$388))=0,"",INDEX('Inspections'!$N$4:$N$503,_calc!$E$388)))=0,"","Owner: "&amp;IF(LEN(INDEX('Inspections'!$N$4:$N$503,_calc!$E$388))=0,"",INDEX('Inspections'!$N$4:$N$503,_calc!$E$388))&amp;". ")&amp;IF(LEN(IF(LEN(INDEX('Inspections'!$O$4:$O$503,_calc!$E$388))=0,"",INDEX('Inspections'!$O$4:$O$503,_calc!$E$388)))=0,"","Backup: "&amp;IF(LEN(INDEX('Inspections'!$O$4:$O$503,_calc!$E$388))=0,"",INDEX('Inspections'!$O$4:$O$503,_calc!$E$388))&amp;". ")&amp;IF(LEN(IF(LEN(INDEX('Inspections'!$R$4:$R$503,_calc!$E$388))=0,"",INDEX('Inspections'!$R$4:$R$503,_calc!$E$388)))=0,"",IF(LEN(INDEX('Inspections'!$R$4:$R$503,_calc!$E$388))=0,"",INDEX('Inspections'!$R$4:$R$503,_calc!$E$388)))))</f>
        <v/>
      </c>
      <c r="G386" s="55">
        <f>IF(_calc!$E$388="","",IF(LEN(INDEX('Inspections'!$Q$4:$Q$503,_calc!$E$388))=0,"",INDEX('Inspections'!$Q$4:$Q$503,_calc!$E$388)))</f>
        <v/>
      </c>
      <c r="K386" s="55">
        <f>IF(_calc!$E$388="","",IF(LEN(INDEX('Inspections'!$P$4:$P$503,_calc!$E$388))=0,"",INDEX('Inspections'!$P$4:$P$503,_calc!$E$388)))</f>
        <v/>
      </c>
    </row>
    <row r="387">
      <c r="A387" s="55">
        <f>IF(_calc!$E$389="","",IF(LEN(INDEX('Inspections'!$C$4:$C$503,_calc!$E$389))=0,"",INDEX('Inspections'!$C$4:$C$503,_calc!$E$389))&amp;" – "&amp;IF(LEN(INDEX('Inspections'!$A$4:$A$503,_calc!$E$389))=0,"",INDEX('Inspections'!$A$4:$A$503,_calc!$E$389)))</f>
        <v/>
      </c>
      <c r="B387" s="55">
        <f>IF(_calc!$E$389="","",IF(ISNUMBER(INDEX('Inspections'!$H$4:$H$503,_calc!$E$389)),TEXT(INDEX('Inspections'!$H$4:$H$503,_calc!$E$389),"yyyy-mm-dd"),""))</f>
        <v/>
      </c>
      <c r="C387" s="55">
        <f>IF(_calc!$E$389="","","Inspection")</f>
        <v/>
      </c>
      <c r="D387" s="55">
        <f>IF(_calc!$E$389="","",IF(ISNUMBER(INDEX('Inspections'!$G$4:$G$503,_calc!$E$389)),TEXT(INDEX('Inspections'!$G$4:$G$503,_calc!$E$389),"yyyy-mm-dd"),""))</f>
        <v/>
      </c>
      <c r="F387" s="55">
        <f>IF(_calc!$E$389="","",TRIM(IF(LEN(IF(LEN(INDEX('Inspections'!$B$4:$B$503,_calc!$E$389))=0,"",INDEX('Inspections'!$B$4:$B$503,_calc!$E$389)))=0,"","System: "&amp;IF(LEN(INDEX('Inspections'!$B$4:$B$503,_calc!$E$389))=0,"",INDEX('Inspections'!$B$4:$B$503,_calc!$E$389))&amp;". ")&amp;IF(LEN(IF(LEN(INDEX('Inspections'!$D$4:$D$503,_calc!$E$389))=0,"",INDEX('Inspections'!$D$4:$D$503,_calc!$E$389)))=0,"","Every: "&amp;IF(LEN(INDEX('Inspections'!$D$4:$D$503,_calc!$E$389))=0,"",INDEX('Inspections'!$D$4:$D$503,_calc!$E$389))&amp;". ")&amp;IF(LEN(IF(LEN(INDEX('Inspections'!$E$4:$E$503,_calc!$E$389))=0,"",INDEX('Inspections'!$E$4:$E$503,_calc!$E$389)))=0,"","Unit: "&amp;IF(LEN(INDEX('Inspections'!$E$4:$E$503,_calc!$E$389))=0,"",INDEX('Inspections'!$E$4:$E$503,_calc!$E$389))&amp;". ")&amp;IF(LEN(IF(LEN(INDEX('Inspections'!$F$4:$F$503,_calc!$E$389))=0,"",INDEX('Inspections'!$F$4:$F$503,_calc!$E$389)))=0,"","Done by: "&amp;IF(LEN(INDEX('Inspections'!$F$4:$F$503,_calc!$E$389))=0,"",INDEX('Inspections'!$F$4:$F$503,_calc!$E$389))&amp;". ")&amp;IF(LEN(IF(LEN(INDEX('Inspections'!$M$4:$M$503,_calc!$E$389))=0,"",INDEX('Inspections'!$M$4:$M$503,_calc!$E$389)))=0,"","Source: "&amp;IF(LEN(INDEX('Inspections'!$M$4:$M$503,_calc!$E$389))=0,"",INDEX('Inspections'!$M$4:$M$503,_calc!$E$389))&amp;". ")&amp;IF(LEN(IF(LEN(INDEX('Inspections'!$N$4:$N$503,_calc!$E$389))=0,"",INDEX('Inspections'!$N$4:$N$503,_calc!$E$389)))=0,"","Owner: "&amp;IF(LEN(INDEX('Inspections'!$N$4:$N$503,_calc!$E$389))=0,"",INDEX('Inspections'!$N$4:$N$503,_calc!$E$389))&amp;". ")&amp;IF(LEN(IF(LEN(INDEX('Inspections'!$O$4:$O$503,_calc!$E$389))=0,"",INDEX('Inspections'!$O$4:$O$503,_calc!$E$389)))=0,"","Backup: "&amp;IF(LEN(INDEX('Inspections'!$O$4:$O$503,_calc!$E$389))=0,"",INDEX('Inspections'!$O$4:$O$503,_calc!$E$389))&amp;". ")&amp;IF(LEN(IF(LEN(INDEX('Inspections'!$R$4:$R$503,_calc!$E$389))=0,"",INDEX('Inspections'!$R$4:$R$503,_calc!$E$389)))=0,"",IF(LEN(INDEX('Inspections'!$R$4:$R$503,_calc!$E$389))=0,"",INDEX('Inspections'!$R$4:$R$503,_calc!$E$389)))))</f>
        <v/>
      </c>
      <c r="G387" s="55">
        <f>IF(_calc!$E$389="","",IF(LEN(INDEX('Inspections'!$Q$4:$Q$503,_calc!$E$389))=0,"",INDEX('Inspections'!$Q$4:$Q$503,_calc!$E$389)))</f>
        <v/>
      </c>
      <c r="K387" s="55">
        <f>IF(_calc!$E$389="","",IF(LEN(INDEX('Inspections'!$P$4:$P$503,_calc!$E$389))=0,"",INDEX('Inspections'!$P$4:$P$503,_calc!$E$389)))</f>
        <v/>
      </c>
    </row>
    <row r="388">
      <c r="A388" s="55">
        <f>IF(_calc!$E$390="","",IF(LEN(INDEX('Inspections'!$C$4:$C$503,_calc!$E$390))=0,"",INDEX('Inspections'!$C$4:$C$503,_calc!$E$390))&amp;" – "&amp;IF(LEN(INDEX('Inspections'!$A$4:$A$503,_calc!$E$390))=0,"",INDEX('Inspections'!$A$4:$A$503,_calc!$E$390)))</f>
        <v/>
      </c>
      <c r="B388" s="55">
        <f>IF(_calc!$E$390="","",IF(ISNUMBER(INDEX('Inspections'!$H$4:$H$503,_calc!$E$390)),TEXT(INDEX('Inspections'!$H$4:$H$503,_calc!$E$390),"yyyy-mm-dd"),""))</f>
        <v/>
      </c>
      <c r="C388" s="55">
        <f>IF(_calc!$E$390="","","Inspection")</f>
        <v/>
      </c>
      <c r="D388" s="55">
        <f>IF(_calc!$E$390="","",IF(ISNUMBER(INDEX('Inspections'!$G$4:$G$503,_calc!$E$390)),TEXT(INDEX('Inspections'!$G$4:$G$503,_calc!$E$390),"yyyy-mm-dd"),""))</f>
        <v/>
      </c>
      <c r="F388" s="55">
        <f>IF(_calc!$E$390="","",TRIM(IF(LEN(IF(LEN(INDEX('Inspections'!$B$4:$B$503,_calc!$E$390))=0,"",INDEX('Inspections'!$B$4:$B$503,_calc!$E$390)))=0,"","System: "&amp;IF(LEN(INDEX('Inspections'!$B$4:$B$503,_calc!$E$390))=0,"",INDEX('Inspections'!$B$4:$B$503,_calc!$E$390))&amp;". ")&amp;IF(LEN(IF(LEN(INDEX('Inspections'!$D$4:$D$503,_calc!$E$390))=0,"",INDEX('Inspections'!$D$4:$D$503,_calc!$E$390)))=0,"","Every: "&amp;IF(LEN(INDEX('Inspections'!$D$4:$D$503,_calc!$E$390))=0,"",INDEX('Inspections'!$D$4:$D$503,_calc!$E$390))&amp;". ")&amp;IF(LEN(IF(LEN(INDEX('Inspections'!$E$4:$E$503,_calc!$E$390))=0,"",INDEX('Inspections'!$E$4:$E$503,_calc!$E$390)))=0,"","Unit: "&amp;IF(LEN(INDEX('Inspections'!$E$4:$E$503,_calc!$E$390))=0,"",INDEX('Inspections'!$E$4:$E$503,_calc!$E$390))&amp;". ")&amp;IF(LEN(IF(LEN(INDEX('Inspections'!$F$4:$F$503,_calc!$E$390))=0,"",INDEX('Inspections'!$F$4:$F$503,_calc!$E$390)))=0,"","Done by: "&amp;IF(LEN(INDEX('Inspections'!$F$4:$F$503,_calc!$E$390))=0,"",INDEX('Inspections'!$F$4:$F$503,_calc!$E$390))&amp;". ")&amp;IF(LEN(IF(LEN(INDEX('Inspections'!$M$4:$M$503,_calc!$E$390))=0,"",INDEX('Inspections'!$M$4:$M$503,_calc!$E$390)))=0,"","Source: "&amp;IF(LEN(INDEX('Inspections'!$M$4:$M$503,_calc!$E$390))=0,"",INDEX('Inspections'!$M$4:$M$503,_calc!$E$390))&amp;". ")&amp;IF(LEN(IF(LEN(INDEX('Inspections'!$N$4:$N$503,_calc!$E$390))=0,"",INDEX('Inspections'!$N$4:$N$503,_calc!$E$390)))=0,"","Owner: "&amp;IF(LEN(INDEX('Inspections'!$N$4:$N$503,_calc!$E$390))=0,"",INDEX('Inspections'!$N$4:$N$503,_calc!$E$390))&amp;". ")&amp;IF(LEN(IF(LEN(INDEX('Inspections'!$O$4:$O$503,_calc!$E$390))=0,"",INDEX('Inspections'!$O$4:$O$503,_calc!$E$390)))=0,"","Backup: "&amp;IF(LEN(INDEX('Inspections'!$O$4:$O$503,_calc!$E$390))=0,"",INDEX('Inspections'!$O$4:$O$503,_calc!$E$390))&amp;". ")&amp;IF(LEN(IF(LEN(INDEX('Inspections'!$R$4:$R$503,_calc!$E$390))=0,"",INDEX('Inspections'!$R$4:$R$503,_calc!$E$390)))=0,"",IF(LEN(INDEX('Inspections'!$R$4:$R$503,_calc!$E$390))=0,"",INDEX('Inspections'!$R$4:$R$503,_calc!$E$390)))))</f>
        <v/>
      </c>
      <c r="G388" s="55">
        <f>IF(_calc!$E$390="","",IF(LEN(INDEX('Inspections'!$Q$4:$Q$503,_calc!$E$390))=0,"",INDEX('Inspections'!$Q$4:$Q$503,_calc!$E$390)))</f>
        <v/>
      </c>
      <c r="K388" s="55">
        <f>IF(_calc!$E$390="","",IF(LEN(INDEX('Inspections'!$P$4:$P$503,_calc!$E$390))=0,"",INDEX('Inspections'!$P$4:$P$503,_calc!$E$390)))</f>
        <v/>
      </c>
    </row>
    <row r="389">
      <c r="A389" s="55">
        <f>IF(_calc!$E$391="","",IF(LEN(INDEX('Inspections'!$C$4:$C$503,_calc!$E$391))=0,"",INDEX('Inspections'!$C$4:$C$503,_calc!$E$391))&amp;" – "&amp;IF(LEN(INDEX('Inspections'!$A$4:$A$503,_calc!$E$391))=0,"",INDEX('Inspections'!$A$4:$A$503,_calc!$E$391)))</f>
        <v/>
      </c>
      <c r="B389" s="55">
        <f>IF(_calc!$E$391="","",IF(ISNUMBER(INDEX('Inspections'!$H$4:$H$503,_calc!$E$391)),TEXT(INDEX('Inspections'!$H$4:$H$503,_calc!$E$391),"yyyy-mm-dd"),""))</f>
        <v/>
      </c>
      <c r="C389" s="55">
        <f>IF(_calc!$E$391="","","Inspection")</f>
        <v/>
      </c>
      <c r="D389" s="55">
        <f>IF(_calc!$E$391="","",IF(ISNUMBER(INDEX('Inspections'!$G$4:$G$503,_calc!$E$391)),TEXT(INDEX('Inspections'!$G$4:$G$503,_calc!$E$391),"yyyy-mm-dd"),""))</f>
        <v/>
      </c>
      <c r="F389" s="55">
        <f>IF(_calc!$E$391="","",TRIM(IF(LEN(IF(LEN(INDEX('Inspections'!$B$4:$B$503,_calc!$E$391))=0,"",INDEX('Inspections'!$B$4:$B$503,_calc!$E$391)))=0,"","System: "&amp;IF(LEN(INDEX('Inspections'!$B$4:$B$503,_calc!$E$391))=0,"",INDEX('Inspections'!$B$4:$B$503,_calc!$E$391))&amp;". ")&amp;IF(LEN(IF(LEN(INDEX('Inspections'!$D$4:$D$503,_calc!$E$391))=0,"",INDEX('Inspections'!$D$4:$D$503,_calc!$E$391)))=0,"","Every: "&amp;IF(LEN(INDEX('Inspections'!$D$4:$D$503,_calc!$E$391))=0,"",INDEX('Inspections'!$D$4:$D$503,_calc!$E$391))&amp;". ")&amp;IF(LEN(IF(LEN(INDEX('Inspections'!$E$4:$E$503,_calc!$E$391))=0,"",INDEX('Inspections'!$E$4:$E$503,_calc!$E$391)))=0,"","Unit: "&amp;IF(LEN(INDEX('Inspections'!$E$4:$E$503,_calc!$E$391))=0,"",INDEX('Inspections'!$E$4:$E$503,_calc!$E$391))&amp;". ")&amp;IF(LEN(IF(LEN(INDEX('Inspections'!$F$4:$F$503,_calc!$E$391))=0,"",INDEX('Inspections'!$F$4:$F$503,_calc!$E$391)))=0,"","Done by: "&amp;IF(LEN(INDEX('Inspections'!$F$4:$F$503,_calc!$E$391))=0,"",INDEX('Inspections'!$F$4:$F$503,_calc!$E$391))&amp;". ")&amp;IF(LEN(IF(LEN(INDEX('Inspections'!$M$4:$M$503,_calc!$E$391))=0,"",INDEX('Inspections'!$M$4:$M$503,_calc!$E$391)))=0,"","Source: "&amp;IF(LEN(INDEX('Inspections'!$M$4:$M$503,_calc!$E$391))=0,"",INDEX('Inspections'!$M$4:$M$503,_calc!$E$391))&amp;". ")&amp;IF(LEN(IF(LEN(INDEX('Inspections'!$N$4:$N$503,_calc!$E$391))=0,"",INDEX('Inspections'!$N$4:$N$503,_calc!$E$391)))=0,"","Owner: "&amp;IF(LEN(INDEX('Inspections'!$N$4:$N$503,_calc!$E$391))=0,"",INDEX('Inspections'!$N$4:$N$503,_calc!$E$391))&amp;". ")&amp;IF(LEN(IF(LEN(INDEX('Inspections'!$O$4:$O$503,_calc!$E$391))=0,"",INDEX('Inspections'!$O$4:$O$503,_calc!$E$391)))=0,"","Backup: "&amp;IF(LEN(INDEX('Inspections'!$O$4:$O$503,_calc!$E$391))=0,"",INDEX('Inspections'!$O$4:$O$503,_calc!$E$391))&amp;". ")&amp;IF(LEN(IF(LEN(INDEX('Inspections'!$R$4:$R$503,_calc!$E$391))=0,"",INDEX('Inspections'!$R$4:$R$503,_calc!$E$391)))=0,"",IF(LEN(INDEX('Inspections'!$R$4:$R$503,_calc!$E$391))=0,"",INDEX('Inspections'!$R$4:$R$503,_calc!$E$391)))))</f>
        <v/>
      </c>
      <c r="G389" s="55">
        <f>IF(_calc!$E$391="","",IF(LEN(INDEX('Inspections'!$Q$4:$Q$503,_calc!$E$391))=0,"",INDEX('Inspections'!$Q$4:$Q$503,_calc!$E$391)))</f>
        <v/>
      </c>
      <c r="K389" s="55">
        <f>IF(_calc!$E$391="","",IF(LEN(INDEX('Inspections'!$P$4:$P$503,_calc!$E$391))=0,"",INDEX('Inspections'!$P$4:$P$503,_calc!$E$391)))</f>
        <v/>
      </c>
    </row>
    <row r="390">
      <c r="A390" s="55">
        <f>IF(_calc!$E$392="","",IF(LEN(INDEX('Inspections'!$C$4:$C$503,_calc!$E$392))=0,"",INDEX('Inspections'!$C$4:$C$503,_calc!$E$392))&amp;" – "&amp;IF(LEN(INDEX('Inspections'!$A$4:$A$503,_calc!$E$392))=0,"",INDEX('Inspections'!$A$4:$A$503,_calc!$E$392)))</f>
        <v/>
      </c>
      <c r="B390" s="55">
        <f>IF(_calc!$E$392="","",IF(ISNUMBER(INDEX('Inspections'!$H$4:$H$503,_calc!$E$392)),TEXT(INDEX('Inspections'!$H$4:$H$503,_calc!$E$392),"yyyy-mm-dd"),""))</f>
        <v/>
      </c>
      <c r="C390" s="55">
        <f>IF(_calc!$E$392="","","Inspection")</f>
        <v/>
      </c>
      <c r="D390" s="55">
        <f>IF(_calc!$E$392="","",IF(ISNUMBER(INDEX('Inspections'!$G$4:$G$503,_calc!$E$392)),TEXT(INDEX('Inspections'!$G$4:$G$503,_calc!$E$392),"yyyy-mm-dd"),""))</f>
        <v/>
      </c>
      <c r="F390" s="55">
        <f>IF(_calc!$E$392="","",TRIM(IF(LEN(IF(LEN(INDEX('Inspections'!$B$4:$B$503,_calc!$E$392))=0,"",INDEX('Inspections'!$B$4:$B$503,_calc!$E$392)))=0,"","System: "&amp;IF(LEN(INDEX('Inspections'!$B$4:$B$503,_calc!$E$392))=0,"",INDEX('Inspections'!$B$4:$B$503,_calc!$E$392))&amp;". ")&amp;IF(LEN(IF(LEN(INDEX('Inspections'!$D$4:$D$503,_calc!$E$392))=0,"",INDEX('Inspections'!$D$4:$D$503,_calc!$E$392)))=0,"","Every: "&amp;IF(LEN(INDEX('Inspections'!$D$4:$D$503,_calc!$E$392))=0,"",INDEX('Inspections'!$D$4:$D$503,_calc!$E$392))&amp;". ")&amp;IF(LEN(IF(LEN(INDEX('Inspections'!$E$4:$E$503,_calc!$E$392))=0,"",INDEX('Inspections'!$E$4:$E$503,_calc!$E$392)))=0,"","Unit: "&amp;IF(LEN(INDEX('Inspections'!$E$4:$E$503,_calc!$E$392))=0,"",INDEX('Inspections'!$E$4:$E$503,_calc!$E$392))&amp;". ")&amp;IF(LEN(IF(LEN(INDEX('Inspections'!$F$4:$F$503,_calc!$E$392))=0,"",INDEX('Inspections'!$F$4:$F$503,_calc!$E$392)))=0,"","Done by: "&amp;IF(LEN(INDEX('Inspections'!$F$4:$F$503,_calc!$E$392))=0,"",INDEX('Inspections'!$F$4:$F$503,_calc!$E$392))&amp;". ")&amp;IF(LEN(IF(LEN(INDEX('Inspections'!$M$4:$M$503,_calc!$E$392))=0,"",INDEX('Inspections'!$M$4:$M$503,_calc!$E$392)))=0,"","Source: "&amp;IF(LEN(INDEX('Inspections'!$M$4:$M$503,_calc!$E$392))=0,"",INDEX('Inspections'!$M$4:$M$503,_calc!$E$392))&amp;". ")&amp;IF(LEN(IF(LEN(INDEX('Inspections'!$N$4:$N$503,_calc!$E$392))=0,"",INDEX('Inspections'!$N$4:$N$503,_calc!$E$392)))=0,"","Owner: "&amp;IF(LEN(INDEX('Inspections'!$N$4:$N$503,_calc!$E$392))=0,"",INDEX('Inspections'!$N$4:$N$503,_calc!$E$392))&amp;". ")&amp;IF(LEN(IF(LEN(INDEX('Inspections'!$O$4:$O$503,_calc!$E$392))=0,"",INDEX('Inspections'!$O$4:$O$503,_calc!$E$392)))=0,"","Backup: "&amp;IF(LEN(INDEX('Inspections'!$O$4:$O$503,_calc!$E$392))=0,"",INDEX('Inspections'!$O$4:$O$503,_calc!$E$392))&amp;". ")&amp;IF(LEN(IF(LEN(INDEX('Inspections'!$R$4:$R$503,_calc!$E$392))=0,"",INDEX('Inspections'!$R$4:$R$503,_calc!$E$392)))=0,"",IF(LEN(INDEX('Inspections'!$R$4:$R$503,_calc!$E$392))=0,"",INDEX('Inspections'!$R$4:$R$503,_calc!$E$392)))))</f>
        <v/>
      </c>
      <c r="G390" s="55">
        <f>IF(_calc!$E$392="","",IF(LEN(INDEX('Inspections'!$Q$4:$Q$503,_calc!$E$392))=0,"",INDEX('Inspections'!$Q$4:$Q$503,_calc!$E$392)))</f>
        <v/>
      </c>
      <c r="K390" s="55">
        <f>IF(_calc!$E$392="","",IF(LEN(INDEX('Inspections'!$P$4:$P$503,_calc!$E$392))=0,"",INDEX('Inspections'!$P$4:$P$503,_calc!$E$392)))</f>
        <v/>
      </c>
    </row>
    <row r="391">
      <c r="A391" s="55">
        <f>IF(_calc!$E$393="","",IF(LEN(INDEX('Inspections'!$C$4:$C$503,_calc!$E$393))=0,"",INDEX('Inspections'!$C$4:$C$503,_calc!$E$393))&amp;" – "&amp;IF(LEN(INDEX('Inspections'!$A$4:$A$503,_calc!$E$393))=0,"",INDEX('Inspections'!$A$4:$A$503,_calc!$E$393)))</f>
        <v/>
      </c>
      <c r="B391" s="55">
        <f>IF(_calc!$E$393="","",IF(ISNUMBER(INDEX('Inspections'!$H$4:$H$503,_calc!$E$393)),TEXT(INDEX('Inspections'!$H$4:$H$503,_calc!$E$393),"yyyy-mm-dd"),""))</f>
        <v/>
      </c>
      <c r="C391" s="55">
        <f>IF(_calc!$E$393="","","Inspection")</f>
        <v/>
      </c>
      <c r="D391" s="55">
        <f>IF(_calc!$E$393="","",IF(ISNUMBER(INDEX('Inspections'!$G$4:$G$503,_calc!$E$393)),TEXT(INDEX('Inspections'!$G$4:$G$503,_calc!$E$393),"yyyy-mm-dd"),""))</f>
        <v/>
      </c>
      <c r="F391" s="55">
        <f>IF(_calc!$E$393="","",TRIM(IF(LEN(IF(LEN(INDEX('Inspections'!$B$4:$B$503,_calc!$E$393))=0,"",INDEX('Inspections'!$B$4:$B$503,_calc!$E$393)))=0,"","System: "&amp;IF(LEN(INDEX('Inspections'!$B$4:$B$503,_calc!$E$393))=0,"",INDEX('Inspections'!$B$4:$B$503,_calc!$E$393))&amp;". ")&amp;IF(LEN(IF(LEN(INDEX('Inspections'!$D$4:$D$503,_calc!$E$393))=0,"",INDEX('Inspections'!$D$4:$D$503,_calc!$E$393)))=0,"","Every: "&amp;IF(LEN(INDEX('Inspections'!$D$4:$D$503,_calc!$E$393))=0,"",INDEX('Inspections'!$D$4:$D$503,_calc!$E$393))&amp;". ")&amp;IF(LEN(IF(LEN(INDEX('Inspections'!$E$4:$E$503,_calc!$E$393))=0,"",INDEX('Inspections'!$E$4:$E$503,_calc!$E$393)))=0,"","Unit: "&amp;IF(LEN(INDEX('Inspections'!$E$4:$E$503,_calc!$E$393))=0,"",INDEX('Inspections'!$E$4:$E$503,_calc!$E$393))&amp;". ")&amp;IF(LEN(IF(LEN(INDEX('Inspections'!$F$4:$F$503,_calc!$E$393))=0,"",INDEX('Inspections'!$F$4:$F$503,_calc!$E$393)))=0,"","Done by: "&amp;IF(LEN(INDEX('Inspections'!$F$4:$F$503,_calc!$E$393))=0,"",INDEX('Inspections'!$F$4:$F$503,_calc!$E$393))&amp;". ")&amp;IF(LEN(IF(LEN(INDEX('Inspections'!$M$4:$M$503,_calc!$E$393))=0,"",INDEX('Inspections'!$M$4:$M$503,_calc!$E$393)))=0,"","Source: "&amp;IF(LEN(INDEX('Inspections'!$M$4:$M$503,_calc!$E$393))=0,"",INDEX('Inspections'!$M$4:$M$503,_calc!$E$393))&amp;". ")&amp;IF(LEN(IF(LEN(INDEX('Inspections'!$N$4:$N$503,_calc!$E$393))=0,"",INDEX('Inspections'!$N$4:$N$503,_calc!$E$393)))=0,"","Owner: "&amp;IF(LEN(INDEX('Inspections'!$N$4:$N$503,_calc!$E$393))=0,"",INDEX('Inspections'!$N$4:$N$503,_calc!$E$393))&amp;". ")&amp;IF(LEN(IF(LEN(INDEX('Inspections'!$O$4:$O$503,_calc!$E$393))=0,"",INDEX('Inspections'!$O$4:$O$503,_calc!$E$393)))=0,"","Backup: "&amp;IF(LEN(INDEX('Inspections'!$O$4:$O$503,_calc!$E$393))=0,"",INDEX('Inspections'!$O$4:$O$503,_calc!$E$393))&amp;". ")&amp;IF(LEN(IF(LEN(INDEX('Inspections'!$R$4:$R$503,_calc!$E$393))=0,"",INDEX('Inspections'!$R$4:$R$503,_calc!$E$393)))=0,"",IF(LEN(INDEX('Inspections'!$R$4:$R$503,_calc!$E$393))=0,"",INDEX('Inspections'!$R$4:$R$503,_calc!$E$393)))))</f>
        <v/>
      </c>
      <c r="G391" s="55">
        <f>IF(_calc!$E$393="","",IF(LEN(INDEX('Inspections'!$Q$4:$Q$503,_calc!$E$393))=0,"",INDEX('Inspections'!$Q$4:$Q$503,_calc!$E$393)))</f>
        <v/>
      </c>
      <c r="K391" s="55">
        <f>IF(_calc!$E$393="","",IF(LEN(INDEX('Inspections'!$P$4:$P$503,_calc!$E$393))=0,"",INDEX('Inspections'!$P$4:$P$503,_calc!$E$393)))</f>
        <v/>
      </c>
    </row>
    <row r="392">
      <c r="A392" s="55">
        <f>IF(_calc!$E$394="","",IF(LEN(INDEX('Inspections'!$C$4:$C$503,_calc!$E$394))=0,"",INDEX('Inspections'!$C$4:$C$503,_calc!$E$394))&amp;" – "&amp;IF(LEN(INDEX('Inspections'!$A$4:$A$503,_calc!$E$394))=0,"",INDEX('Inspections'!$A$4:$A$503,_calc!$E$394)))</f>
        <v/>
      </c>
      <c r="B392" s="55">
        <f>IF(_calc!$E$394="","",IF(ISNUMBER(INDEX('Inspections'!$H$4:$H$503,_calc!$E$394)),TEXT(INDEX('Inspections'!$H$4:$H$503,_calc!$E$394),"yyyy-mm-dd"),""))</f>
        <v/>
      </c>
      <c r="C392" s="55">
        <f>IF(_calc!$E$394="","","Inspection")</f>
        <v/>
      </c>
      <c r="D392" s="55">
        <f>IF(_calc!$E$394="","",IF(ISNUMBER(INDEX('Inspections'!$G$4:$G$503,_calc!$E$394)),TEXT(INDEX('Inspections'!$G$4:$G$503,_calc!$E$394),"yyyy-mm-dd"),""))</f>
        <v/>
      </c>
      <c r="F392" s="55">
        <f>IF(_calc!$E$394="","",TRIM(IF(LEN(IF(LEN(INDEX('Inspections'!$B$4:$B$503,_calc!$E$394))=0,"",INDEX('Inspections'!$B$4:$B$503,_calc!$E$394)))=0,"","System: "&amp;IF(LEN(INDEX('Inspections'!$B$4:$B$503,_calc!$E$394))=0,"",INDEX('Inspections'!$B$4:$B$503,_calc!$E$394))&amp;". ")&amp;IF(LEN(IF(LEN(INDEX('Inspections'!$D$4:$D$503,_calc!$E$394))=0,"",INDEX('Inspections'!$D$4:$D$503,_calc!$E$394)))=0,"","Every: "&amp;IF(LEN(INDEX('Inspections'!$D$4:$D$503,_calc!$E$394))=0,"",INDEX('Inspections'!$D$4:$D$503,_calc!$E$394))&amp;". ")&amp;IF(LEN(IF(LEN(INDEX('Inspections'!$E$4:$E$503,_calc!$E$394))=0,"",INDEX('Inspections'!$E$4:$E$503,_calc!$E$394)))=0,"","Unit: "&amp;IF(LEN(INDEX('Inspections'!$E$4:$E$503,_calc!$E$394))=0,"",INDEX('Inspections'!$E$4:$E$503,_calc!$E$394))&amp;". ")&amp;IF(LEN(IF(LEN(INDEX('Inspections'!$F$4:$F$503,_calc!$E$394))=0,"",INDEX('Inspections'!$F$4:$F$503,_calc!$E$394)))=0,"","Done by: "&amp;IF(LEN(INDEX('Inspections'!$F$4:$F$503,_calc!$E$394))=0,"",INDEX('Inspections'!$F$4:$F$503,_calc!$E$394))&amp;". ")&amp;IF(LEN(IF(LEN(INDEX('Inspections'!$M$4:$M$503,_calc!$E$394))=0,"",INDEX('Inspections'!$M$4:$M$503,_calc!$E$394)))=0,"","Source: "&amp;IF(LEN(INDEX('Inspections'!$M$4:$M$503,_calc!$E$394))=0,"",INDEX('Inspections'!$M$4:$M$503,_calc!$E$394))&amp;". ")&amp;IF(LEN(IF(LEN(INDEX('Inspections'!$N$4:$N$503,_calc!$E$394))=0,"",INDEX('Inspections'!$N$4:$N$503,_calc!$E$394)))=0,"","Owner: "&amp;IF(LEN(INDEX('Inspections'!$N$4:$N$503,_calc!$E$394))=0,"",INDEX('Inspections'!$N$4:$N$503,_calc!$E$394))&amp;". ")&amp;IF(LEN(IF(LEN(INDEX('Inspections'!$O$4:$O$503,_calc!$E$394))=0,"",INDEX('Inspections'!$O$4:$O$503,_calc!$E$394)))=0,"","Backup: "&amp;IF(LEN(INDEX('Inspections'!$O$4:$O$503,_calc!$E$394))=0,"",INDEX('Inspections'!$O$4:$O$503,_calc!$E$394))&amp;". ")&amp;IF(LEN(IF(LEN(INDEX('Inspections'!$R$4:$R$503,_calc!$E$394))=0,"",INDEX('Inspections'!$R$4:$R$503,_calc!$E$394)))=0,"",IF(LEN(INDEX('Inspections'!$R$4:$R$503,_calc!$E$394))=0,"",INDEX('Inspections'!$R$4:$R$503,_calc!$E$394)))))</f>
        <v/>
      </c>
      <c r="G392" s="55">
        <f>IF(_calc!$E$394="","",IF(LEN(INDEX('Inspections'!$Q$4:$Q$503,_calc!$E$394))=0,"",INDEX('Inspections'!$Q$4:$Q$503,_calc!$E$394)))</f>
        <v/>
      </c>
      <c r="K392" s="55">
        <f>IF(_calc!$E$394="","",IF(LEN(INDEX('Inspections'!$P$4:$P$503,_calc!$E$394))=0,"",INDEX('Inspections'!$P$4:$P$503,_calc!$E$394)))</f>
        <v/>
      </c>
    </row>
    <row r="393">
      <c r="A393" s="55">
        <f>IF(_calc!$E$395="","",IF(LEN(INDEX('Inspections'!$C$4:$C$503,_calc!$E$395))=0,"",INDEX('Inspections'!$C$4:$C$503,_calc!$E$395))&amp;" – "&amp;IF(LEN(INDEX('Inspections'!$A$4:$A$503,_calc!$E$395))=0,"",INDEX('Inspections'!$A$4:$A$503,_calc!$E$395)))</f>
        <v/>
      </c>
      <c r="B393" s="55">
        <f>IF(_calc!$E$395="","",IF(ISNUMBER(INDEX('Inspections'!$H$4:$H$503,_calc!$E$395)),TEXT(INDEX('Inspections'!$H$4:$H$503,_calc!$E$395),"yyyy-mm-dd"),""))</f>
        <v/>
      </c>
      <c r="C393" s="55">
        <f>IF(_calc!$E$395="","","Inspection")</f>
        <v/>
      </c>
      <c r="D393" s="55">
        <f>IF(_calc!$E$395="","",IF(ISNUMBER(INDEX('Inspections'!$G$4:$G$503,_calc!$E$395)),TEXT(INDEX('Inspections'!$G$4:$G$503,_calc!$E$395),"yyyy-mm-dd"),""))</f>
        <v/>
      </c>
      <c r="F393" s="55">
        <f>IF(_calc!$E$395="","",TRIM(IF(LEN(IF(LEN(INDEX('Inspections'!$B$4:$B$503,_calc!$E$395))=0,"",INDEX('Inspections'!$B$4:$B$503,_calc!$E$395)))=0,"","System: "&amp;IF(LEN(INDEX('Inspections'!$B$4:$B$503,_calc!$E$395))=0,"",INDEX('Inspections'!$B$4:$B$503,_calc!$E$395))&amp;". ")&amp;IF(LEN(IF(LEN(INDEX('Inspections'!$D$4:$D$503,_calc!$E$395))=0,"",INDEX('Inspections'!$D$4:$D$503,_calc!$E$395)))=0,"","Every: "&amp;IF(LEN(INDEX('Inspections'!$D$4:$D$503,_calc!$E$395))=0,"",INDEX('Inspections'!$D$4:$D$503,_calc!$E$395))&amp;". ")&amp;IF(LEN(IF(LEN(INDEX('Inspections'!$E$4:$E$503,_calc!$E$395))=0,"",INDEX('Inspections'!$E$4:$E$503,_calc!$E$395)))=0,"","Unit: "&amp;IF(LEN(INDEX('Inspections'!$E$4:$E$503,_calc!$E$395))=0,"",INDEX('Inspections'!$E$4:$E$503,_calc!$E$395))&amp;". ")&amp;IF(LEN(IF(LEN(INDEX('Inspections'!$F$4:$F$503,_calc!$E$395))=0,"",INDEX('Inspections'!$F$4:$F$503,_calc!$E$395)))=0,"","Done by: "&amp;IF(LEN(INDEX('Inspections'!$F$4:$F$503,_calc!$E$395))=0,"",INDEX('Inspections'!$F$4:$F$503,_calc!$E$395))&amp;". ")&amp;IF(LEN(IF(LEN(INDEX('Inspections'!$M$4:$M$503,_calc!$E$395))=0,"",INDEX('Inspections'!$M$4:$M$503,_calc!$E$395)))=0,"","Source: "&amp;IF(LEN(INDEX('Inspections'!$M$4:$M$503,_calc!$E$395))=0,"",INDEX('Inspections'!$M$4:$M$503,_calc!$E$395))&amp;". ")&amp;IF(LEN(IF(LEN(INDEX('Inspections'!$N$4:$N$503,_calc!$E$395))=0,"",INDEX('Inspections'!$N$4:$N$503,_calc!$E$395)))=0,"","Owner: "&amp;IF(LEN(INDEX('Inspections'!$N$4:$N$503,_calc!$E$395))=0,"",INDEX('Inspections'!$N$4:$N$503,_calc!$E$395))&amp;". ")&amp;IF(LEN(IF(LEN(INDEX('Inspections'!$O$4:$O$503,_calc!$E$395))=0,"",INDEX('Inspections'!$O$4:$O$503,_calc!$E$395)))=0,"","Backup: "&amp;IF(LEN(INDEX('Inspections'!$O$4:$O$503,_calc!$E$395))=0,"",INDEX('Inspections'!$O$4:$O$503,_calc!$E$395))&amp;". ")&amp;IF(LEN(IF(LEN(INDEX('Inspections'!$R$4:$R$503,_calc!$E$395))=0,"",INDEX('Inspections'!$R$4:$R$503,_calc!$E$395)))=0,"",IF(LEN(INDEX('Inspections'!$R$4:$R$503,_calc!$E$395))=0,"",INDEX('Inspections'!$R$4:$R$503,_calc!$E$395)))))</f>
        <v/>
      </c>
      <c r="G393" s="55">
        <f>IF(_calc!$E$395="","",IF(LEN(INDEX('Inspections'!$Q$4:$Q$503,_calc!$E$395))=0,"",INDEX('Inspections'!$Q$4:$Q$503,_calc!$E$395)))</f>
        <v/>
      </c>
      <c r="K393" s="55">
        <f>IF(_calc!$E$395="","",IF(LEN(INDEX('Inspections'!$P$4:$P$503,_calc!$E$395))=0,"",INDEX('Inspections'!$P$4:$P$503,_calc!$E$395)))</f>
        <v/>
      </c>
    </row>
    <row r="394">
      <c r="A394" s="55">
        <f>IF(_calc!$E$396="","",IF(LEN(INDEX('Inspections'!$C$4:$C$503,_calc!$E$396))=0,"",INDEX('Inspections'!$C$4:$C$503,_calc!$E$396))&amp;" – "&amp;IF(LEN(INDEX('Inspections'!$A$4:$A$503,_calc!$E$396))=0,"",INDEX('Inspections'!$A$4:$A$503,_calc!$E$396)))</f>
        <v/>
      </c>
      <c r="B394" s="55">
        <f>IF(_calc!$E$396="","",IF(ISNUMBER(INDEX('Inspections'!$H$4:$H$503,_calc!$E$396)),TEXT(INDEX('Inspections'!$H$4:$H$503,_calc!$E$396),"yyyy-mm-dd"),""))</f>
        <v/>
      </c>
      <c r="C394" s="55">
        <f>IF(_calc!$E$396="","","Inspection")</f>
        <v/>
      </c>
      <c r="D394" s="55">
        <f>IF(_calc!$E$396="","",IF(ISNUMBER(INDEX('Inspections'!$G$4:$G$503,_calc!$E$396)),TEXT(INDEX('Inspections'!$G$4:$G$503,_calc!$E$396),"yyyy-mm-dd"),""))</f>
        <v/>
      </c>
      <c r="F394" s="55">
        <f>IF(_calc!$E$396="","",TRIM(IF(LEN(IF(LEN(INDEX('Inspections'!$B$4:$B$503,_calc!$E$396))=0,"",INDEX('Inspections'!$B$4:$B$503,_calc!$E$396)))=0,"","System: "&amp;IF(LEN(INDEX('Inspections'!$B$4:$B$503,_calc!$E$396))=0,"",INDEX('Inspections'!$B$4:$B$503,_calc!$E$396))&amp;". ")&amp;IF(LEN(IF(LEN(INDEX('Inspections'!$D$4:$D$503,_calc!$E$396))=0,"",INDEX('Inspections'!$D$4:$D$503,_calc!$E$396)))=0,"","Every: "&amp;IF(LEN(INDEX('Inspections'!$D$4:$D$503,_calc!$E$396))=0,"",INDEX('Inspections'!$D$4:$D$503,_calc!$E$396))&amp;". ")&amp;IF(LEN(IF(LEN(INDEX('Inspections'!$E$4:$E$503,_calc!$E$396))=0,"",INDEX('Inspections'!$E$4:$E$503,_calc!$E$396)))=0,"","Unit: "&amp;IF(LEN(INDEX('Inspections'!$E$4:$E$503,_calc!$E$396))=0,"",INDEX('Inspections'!$E$4:$E$503,_calc!$E$396))&amp;". ")&amp;IF(LEN(IF(LEN(INDEX('Inspections'!$F$4:$F$503,_calc!$E$396))=0,"",INDEX('Inspections'!$F$4:$F$503,_calc!$E$396)))=0,"","Done by: "&amp;IF(LEN(INDEX('Inspections'!$F$4:$F$503,_calc!$E$396))=0,"",INDEX('Inspections'!$F$4:$F$503,_calc!$E$396))&amp;". ")&amp;IF(LEN(IF(LEN(INDEX('Inspections'!$M$4:$M$503,_calc!$E$396))=0,"",INDEX('Inspections'!$M$4:$M$503,_calc!$E$396)))=0,"","Source: "&amp;IF(LEN(INDEX('Inspections'!$M$4:$M$503,_calc!$E$396))=0,"",INDEX('Inspections'!$M$4:$M$503,_calc!$E$396))&amp;". ")&amp;IF(LEN(IF(LEN(INDEX('Inspections'!$N$4:$N$503,_calc!$E$396))=0,"",INDEX('Inspections'!$N$4:$N$503,_calc!$E$396)))=0,"","Owner: "&amp;IF(LEN(INDEX('Inspections'!$N$4:$N$503,_calc!$E$396))=0,"",INDEX('Inspections'!$N$4:$N$503,_calc!$E$396))&amp;". ")&amp;IF(LEN(IF(LEN(INDEX('Inspections'!$O$4:$O$503,_calc!$E$396))=0,"",INDEX('Inspections'!$O$4:$O$503,_calc!$E$396)))=0,"","Backup: "&amp;IF(LEN(INDEX('Inspections'!$O$4:$O$503,_calc!$E$396))=0,"",INDEX('Inspections'!$O$4:$O$503,_calc!$E$396))&amp;". ")&amp;IF(LEN(IF(LEN(INDEX('Inspections'!$R$4:$R$503,_calc!$E$396))=0,"",INDEX('Inspections'!$R$4:$R$503,_calc!$E$396)))=0,"",IF(LEN(INDEX('Inspections'!$R$4:$R$503,_calc!$E$396))=0,"",INDEX('Inspections'!$R$4:$R$503,_calc!$E$396)))))</f>
        <v/>
      </c>
      <c r="G394" s="55">
        <f>IF(_calc!$E$396="","",IF(LEN(INDEX('Inspections'!$Q$4:$Q$503,_calc!$E$396))=0,"",INDEX('Inspections'!$Q$4:$Q$503,_calc!$E$396)))</f>
        <v/>
      </c>
      <c r="K394" s="55">
        <f>IF(_calc!$E$396="","",IF(LEN(INDEX('Inspections'!$P$4:$P$503,_calc!$E$396))=0,"",INDEX('Inspections'!$P$4:$P$503,_calc!$E$396)))</f>
        <v/>
      </c>
    </row>
    <row r="395">
      <c r="A395" s="55">
        <f>IF(_calc!$E$397="","",IF(LEN(INDEX('Inspections'!$C$4:$C$503,_calc!$E$397))=0,"",INDEX('Inspections'!$C$4:$C$503,_calc!$E$397))&amp;" – "&amp;IF(LEN(INDEX('Inspections'!$A$4:$A$503,_calc!$E$397))=0,"",INDEX('Inspections'!$A$4:$A$503,_calc!$E$397)))</f>
        <v/>
      </c>
      <c r="B395" s="55">
        <f>IF(_calc!$E$397="","",IF(ISNUMBER(INDEX('Inspections'!$H$4:$H$503,_calc!$E$397)),TEXT(INDEX('Inspections'!$H$4:$H$503,_calc!$E$397),"yyyy-mm-dd"),""))</f>
        <v/>
      </c>
      <c r="C395" s="55">
        <f>IF(_calc!$E$397="","","Inspection")</f>
        <v/>
      </c>
      <c r="D395" s="55">
        <f>IF(_calc!$E$397="","",IF(ISNUMBER(INDEX('Inspections'!$G$4:$G$503,_calc!$E$397)),TEXT(INDEX('Inspections'!$G$4:$G$503,_calc!$E$397),"yyyy-mm-dd"),""))</f>
        <v/>
      </c>
      <c r="F395" s="55">
        <f>IF(_calc!$E$397="","",TRIM(IF(LEN(IF(LEN(INDEX('Inspections'!$B$4:$B$503,_calc!$E$397))=0,"",INDEX('Inspections'!$B$4:$B$503,_calc!$E$397)))=0,"","System: "&amp;IF(LEN(INDEX('Inspections'!$B$4:$B$503,_calc!$E$397))=0,"",INDEX('Inspections'!$B$4:$B$503,_calc!$E$397))&amp;". ")&amp;IF(LEN(IF(LEN(INDEX('Inspections'!$D$4:$D$503,_calc!$E$397))=0,"",INDEX('Inspections'!$D$4:$D$503,_calc!$E$397)))=0,"","Every: "&amp;IF(LEN(INDEX('Inspections'!$D$4:$D$503,_calc!$E$397))=0,"",INDEX('Inspections'!$D$4:$D$503,_calc!$E$397))&amp;". ")&amp;IF(LEN(IF(LEN(INDEX('Inspections'!$E$4:$E$503,_calc!$E$397))=0,"",INDEX('Inspections'!$E$4:$E$503,_calc!$E$397)))=0,"","Unit: "&amp;IF(LEN(INDEX('Inspections'!$E$4:$E$503,_calc!$E$397))=0,"",INDEX('Inspections'!$E$4:$E$503,_calc!$E$397))&amp;". ")&amp;IF(LEN(IF(LEN(INDEX('Inspections'!$F$4:$F$503,_calc!$E$397))=0,"",INDEX('Inspections'!$F$4:$F$503,_calc!$E$397)))=0,"","Done by: "&amp;IF(LEN(INDEX('Inspections'!$F$4:$F$503,_calc!$E$397))=0,"",INDEX('Inspections'!$F$4:$F$503,_calc!$E$397))&amp;". ")&amp;IF(LEN(IF(LEN(INDEX('Inspections'!$M$4:$M$503,_calc!$E$397))=0,"",INDEX('Inspections'!$M$4:$M$503,_calc!$E$397)))=0,"","Source: "&amp;IF(LEN(INDEX('Inspections'!$M$4:$M$503,_calc!$E$397))=0,"",INDEX('Inspections'!$M$4:$M$503,_calc!$E$397))&amp;". ")&amp;IF(LEN(IF(LEN(INDEX('Inspections'!$N$4:$N$503,_calc!$E$397))=0,"",INDEX('Inspections'!$N$4:$N$503,_calc!$E$397)))=0,"","Owner: "&amp;IF(LEN(INDEX('Inspections'!$N$4:$N$503,_calc!$E$397))=0,"",INDEX('Inspections'!$N$4:$N$503,_calc!$E$397))&amp;". ")&amp;IF(LEN(IF(LEN(INDEX('Inspections'!$O$4:$O$503,_calc!$E$397))=0,"",INDEX('Inspections'!$O$4:$O$503,_calc!$E$397)))=0,"","Backup: "&amp;IF(LEN(INDEX('Inspections'!$O$4:$O$503,_calc!$E$397))=0,"",INDEX('Inspections'!$O$4:$O$503,_calc!$E$397))&amp;". ")&amp;IF(LEN(IF(LEN(INDEX('Inspections'!$R$4:$R$503,_calc!$E$397))=0,"",INDEX('Inspections'!$R$4:$R$503,_calc!$E$397)))=0,"",IF(LEN(INDEX('Inspections'!$R$4:$R$503,_calc!$E$397))=0,"",INDEX('Inspections'!$R$4:$R$503,_calc!$E$397)))))</f>
        <v/>
      </c>
      <c r="G395" s="55">
        <f>IF(_calc!$E$397="","",IF(LEN(INDEX('Inspections'!$Q$4:$Q$503,_calc!$E$397))=0,"",INDEX('Inspections'!$Q$4:$Q$503,_calc!$E$397)))</f>
        <v/>
      </c>
      <c r="K395" s="55">
        <f>IF(_calc!$E$397="","",IF(LEN(INDEX('Inspections'!$P$4:$P$503,_calc!$E$397))=0,"",INDEX('Inspections'!$P$4:$P$503,_calc!$E$397)))</f>
        <v/>
      </c>
    </row>
    <row r="396">
      <c r="A396" s="55">
        <f>IF(_calc!$E$398="","",IF(LEN(INDEX('Inspections'!$C$4:$C$503,_calc!$E$398))=0,"",INDEX('Inspections'!$C$4:$C$503,_calc!$E$398))&amp;" – "&amp;IF(LEN(INDEX('Inspections'!$A$4:$A$503,_calc!$E$398))=0,"",INDEX('Inspections'!$A$4:$A$503,_calc!$E$398)))</f>
        <v/>
      </c>
      <c r="B396" s="55">
        <f>IF(_calc!$E$398="","",IF(ISNUMBER(INDEX('Inspections'!$H$4:$H$503,_calc!$E$398)),TEXT(INDEX('Inspections'!$H$4:$H$503,_calc!$E$398),"yyyy-mm-dd"),""))</f>
        <v/>
      </c>
      <c r="C396" s="55">
        <f>IF(_calc!$E$398="","","Inspection")</f>
        <v/>
      </c>
      <c r="D396" s="55">
        <f>IF(_calc!$E$398="","",IF(ISNUMBER(INDEX('Inspections'!$G$4:$G$503,_calc!$E$398)),TEXT(INDEX('Inspections'!$G$4:$G$503,_calc!$E$398),"yyyy-mm-dd"),""))</f>
        <v/>
      </c>
      <c r="F396" s="55">
        <f>IF(_calc!$E$398="","",TRIM(IF(LEN(IF(LEN(INDEX('Inspections'!$B$4:$B$503,_calc!$E$398))=0,"",INDEX('Inspections'!$B$4:$B$503,_calc!$E$398)))=0,"","System: "&amp;IF(LEN(INDEX('Inspections'!$B$4:$B$503,_calc!$E$398))=0,"",INDEX('Inspections'!$B$4:$B$503,_calc!$E$398))&amp;". ")&amp;IF(LEN(IF(LEN(INDEX('Inspections'!$D$4:$D$503,_calc!$E$398))=0,"",INDEX('Inspections'!$D$4:$D$503,_calc!$E$398)))=0,"","Every: "&amp;IF(LEN(INDEX('Inspections'!$D$4:$D$503,_calc!$E$398))=0,"",INDEX('Inspections'!$D$4:$D$503,_calc!$E$398))&amp;". ")&amp;IF(LEN(IF(LEN(INDEX('Inspections'!$E$4:$E$503,_calc!$E$398))=0,"",INDEX('Inspections'!$E$4:$E$503,_calc!$E$398)))=0,"","Unit: "&amp;IF(LEN(INDEX('Inspections'!$E$4:$E$503,_calc!$E$398))=0,"",INDEX('Inspections'!$E$4:$E$503,_calc!$E$398))&amp;". ")&amp;IF(LEN(IF(LEN(INDEX('Inspections'!$F$4:$F$503,_calc!$E$398))=0,"",INDEX('Inspections'!$F$4:$F$503,_calc!$E$398)))=0,"","Done by: "&amp;IF(LEN(INDEX('Inspections'!$F$4:$F$503,_calc!$E$398))=0,"",INDEX('Inspections'!$F$4:$F$503,_calc!$E$398))&amp;". ")&amp;IF(LEN(IF(LEN(INDEX('Inspections'!$M$4:$M$503,_calc!$E$398))=0,"",INDEX('Inspections'!$M$4:$M$503,_calc!$E$398)))=0,"","Source: "&amp;IF(LEN(INDEX('Inspections'!$M$4:$M$503,_calc!$E$398))=0,"",INDEX('Inspections'!$M$4:$M$503,_calc!$E$398))&amp;". ")&amp;IF(LEN(IF(LEN(INDEX('Inspections'!$N$4:$N$503,_calc!$E$398))=0,"",INDEX('Inspections'!$N$4:$N$503,_calc!$E$398)))=0,"","Owner: "&amp;IF(LEN(INDEX('Inspections'!$N$4:$N$503,_calc!$E$398))=0,"",INDEX('Inspections'!$N$4:$N$503,_calc!$E$398))&amp;". ")&amp;IF(LEN(IF(LEN(INDEX('Inspections'!$O$4:$O$503,_calc!$E$398))=0,"",INDEX('Inspections'!$O$4:$O$503,_calc!$E$398)))=0,"","Backup: "&amp;IF(LEN(INDEX('Inspections'!$O$4:$O$503,_calc!$E$398))=0,"",INDEX('Inspections'!$O$4:$O$503,_calc!$E$398))&amp;". ")&amp;IF(LEN(IF(LEN(INDEX('Inspections'!$R$4:$R$503,_calc!$E$398))=0,"",INDEX('Inspections'!$R$4:$R$503,_calc!$E$398)))=0,"",IF(LEN(INDEX('Inspections'!$R$4:$R$503,_calc!$E$398))=0,"",INDEX('Inspections'!$R$4:$R$503,_calc!$E$398)))))</f>
        <v/>
      </c>
      <c r="G396" s="55">
        <f>IF(_calc!$E$398="","",IF(LEN(INDEX('Inspections'!$Q$4:$Q$503,_calc!$E$398))=0,"",INDEX('Inspections'!$Q$4:$Q$503,_calc!$E$398)))</f>
        <v/>
      </c>
      <c r="K396" s="55">
        <f>IF(_calc!$E$398="","",IF(LEN(INDEX('Inspections'!$P$4:$P$503,_calc!$E$398))=0,"",INDEX('Inspections'!$P$4:$P$503,_calc!$E$398)))</f>
        <v/>
      </c>
    </row>
    <row r="397">
      <c r="A397" s="55">
        <f>IF(_calc!$E$399="","",IF(LEN(INDEX('Inspections'!$C$4:$C$503,_calc!$E$399))=0,"",INDEX('Inspections'!$C$4:$C$503,_calc!$E$399))&amp;" – "&amp;IF(LEN(INDEX('Inspections'!$A$4:$A$503,_calc!$E$399))=0,"",INDEX('Inspections'!$A$4:$A$503,_calc!$E$399)))</f>
        <v/>
      </c>
      <c r="B397" s="55">
        <f>IF(_calc!$E$399="","",IF(ISNUMBER(INDEX('Inspections'!$H$4:$H$503,_calc!$E$399)),TEXT(INDEX('Inspections'!$H$4:$H$503,_calc!$E$399),"yyyy-mm-dd"),""))</f>
        <v/>
      </c>
      <c r="C397" s="55">
        <f>IF(_calc!$E$399="","","Inspection")</f>
        <v/>
      </c>
      <c r="D397" s="55">
        <f>IF(_calc!$E$399="","",IF(ISNUMBER(INDEX('Inspections'!$G$4:$G$503,_calc!$E$399)),TEXT(INDEX('Inspections'!$G$4:$G$503,_calc!$E$399),"yyyy-mm-dd"),""))</f>
        <v/>
      </c>
      <c r="F397" s="55">
        <f>IF(_calc!$E$399="","",TRIM(IF(LEN(IF(LEN(INDEX('Inspections'!$B$4:$B$503,_calc!$E$399))=0,"",INDEX('Inspections'!$B$4:$B$503,_calc!$E$399)))=0,"","System: "&amp;IF(LEN(INDEX('Inspections'!$B$4:$B$503,_calc!$E$399))=0,"",INDEX('Inspections'!$B$4:$B$503,_calc!$E$399))&amp;". ")&amp;IF(LEN(IF(LEN(INDEX('Inspections'!$D$4:$D$503,_calc!$E$399))=0,"",INDEX('Inspections'!$D$4:$D$503,_calc!$E$399)))=0,"","Every: "&amp;IF(LEN(INDEX('Inspections'!$D$4:$D$503,_calc!$E$399))=0,"",INDEX('Inspections'!$D$4:$D$503,_calc!$E$399))&amp;". ")&amp;IF(LEN(IF(LEN(INDEX('Inspections'!$E$4:$E$503,_calc!$E$399))=0,"",INDEX('Inspections'!$E$4:$E$503,_calc!$E$399)))=0,"","Unit: "&amp;IF(LEN(INDEX('Inspections'!$E$4:$E$503,_calc!$E$399))=0,"",INDEX('Inspections'!$E$4:$E$503,_calc!$E$399))&amp;". ")&amp;IF(LEN(IF(LEN(INDEX('Inspections'!$F$4:$F$503,_calc!$E$399))=0,"",INDEX('Inspections'!$F$4:$F$503,_calc!$E$399)))=0,"","Done by: "&amp;IF(LEN(INDEX('Inspections'!$F$4:$F$503,_calc!$E$399))=0,"",INDEX('Inspections'!$F$4:$F$503,_calc!$E$399))&amp;". ")&amp;IF(LEN(IF(LEN(INDEX('Inspections'!$M$4:$M$503,_calc!$E$399))=0,"",INDEX('Inspections'!$M$4:$M$503,_calc!$E$399)))=0,"","Source: "&amp;IF(LEN(INDEX('Inspections'!$M$4:$M$503,_calc!$E$399))=0,"",INDEX('Inspections'!$M$4:$M$503,_calc!$E$399))&amp;". ")&amp;IF(LEN(IF(LEN(INDEX('Inspections'!$N$4:$N$503,_calc!$E$399))=0,"",INDEX('Inspections'!$N$4:$N$503,_calc!$E$399)))=0,"","Owner: "&amp;IF(LEN(INDEX('Inspections'!$N$4:$N$503,_calc!$E$399))=0,"",INDEX('Inspections'!$N$4:$N$503,_calc!$E$399))&amp;". ")&amp;IF(LEN(IF(LEN(INDEX('Inspections'!$O$4:$O$503,_calc!$E$399))=0,"",INDEX('Inspections'!$O$4:$O$503,_calc!$E$399)))=0,"","Backup: "&amp;IF(LEN(INDEX('Inspections'!$O$4:$O$503,_calc!$E$399))=0,"",INDEX('Inspections'!$O$4:$O$503,_calc!$E$399))&amp;". ")&amp;IF(LEN(IF(LEN(INDEX('Inspections'!$R$4:$R$503,_calc!$E$399))=0,"",INDEX('Inspections'!$R$4:$R$503,_calc!$E$399)))=0,"",IF(LEN(INDEX('Inspections'!$R$4:$R$503,_calc!$E$399))=0,"",INDEX('Inspections'!$R$4:$R$503,_calc!$E$399)))))</f>
        <v/>
      </c>
      <c r="G397" s="55">
        <f>IF(_calc!$E$399="","",IF(LEN(INDEX('Inspections'!$Q$4:$Q$503,_calc!$E$399))=0,"",INDEX('Inspections'!$Q$4:$Q$503,_calc!$E$399)))</f>
        <v/>
      </c>
      <c r="K397" s="55">
        <f>IF(_calc!$E$399="","",IF(LEN(INDEX('Inspections'!$P$4:$P$503,_calc!$E$399))=0,"",INDEX('Inspections'!$P$4:$P$503,_calc!$E$399)))</f>
        <v/>
      </c>
    </row>
    <row r="398">
      <c r="A398" s="55">
        <f>IF(_calc!$E$400="","",IF(LEN(INDEX('Inspections'!$C$4:$C$503,_calc!$E$400))=0,"",INDEX('Inspections'!$C$4:$C$503,_calc!$E$400))&amp;" – "&amp;IF(LEN(INDEX('Inspections'!$A$4:$A$503,_calc!$E$400))=0,"",INDEX('Inspections'!$A$4:$A$503,_calc!$E$400)))</f>
        <v/>
      </c>
      <c r="B398" s="55">
        <f>IF(_calc!$E$400="","",IF(ISNUMBER(INDEX('Inspections'!$H$4:$H$503,_calc!$E$400)),TEXT(INDEX('Inspections'!$H$4:$H$503,_calc!$E$400),"yyyy-mm-dd"),""))</f>
        <v/>
      </c>
      <c r="C398" s="55">
        <f>IF(_calc!$E$400="","","Inspection")</f>
        <v/>
      </c>
      <c r="D398" s="55">
        <f>IF(_calc!$E$400="","",IF(ISNUMBER(INDEX('Inspections'!$G$4:$G$503,_calc!$E$400)),TEXT(INDEX('Inspections'!$G$4:$G$503,_calc!$E$400),"yyyy-mm-dd"),""))</f>
        <v/>
      </c>
      <c r="F398" s="55">
        <f>IF(_calc!$E$400="","",TRIM(IF(LEN(IF(LEN(INDEX('Inspections'!$B$4:$B$503,_calc!$E$400))=0,"",INDEX('Inspections'!$B$4:$B$503,_calc!$E$400)))=0,"","System: "&amp;IF(LEN(INDEX('Inspections'!$B$4:$B$503,_calc!$E$400))=0,"",INDEX('Inspections'!$B$4:$B$503,_calc!$E$400))&amp;". ")&amp;IF(LEN(IF(LEN(INDEX('Inspections'!$D$4:$D$503,_calc!$E$400))=0,"",INDEX('Inspections'!$D$4:$D$503,_calc!$E$400)))=0,"","Every: "&amp;IF(LEN(INDEX('Inspections'!$D$4:$D$503,_calc!$E$400))=0,"",INDEX('Inspections'!$D$4:$D$503,_calc!$E$400))&amp;". ")&amp;IF(LEN(IF(LEN(INDEX('Inspections'!$E$4:$E$503,_calc!$E$400))=0,"",INDEX('Inspections'!$E$4:$E$503,_calc!$E$400)))=0,"","Unit: "&amp;IF(LEN(INDEX('Inspections'!$E$4:$E$503,_calc!$E$400))=0,"",INDEX('Inspections'!$E$4:$E$503,_calc!$E$400))&amp;". ")&amp;IF(LEN(IF(LEN(INDEX('Inspections'!$F$4:$F$503,_calc!$E$400))=0,"",INDEX('Inspections'!$F$4:$F$503,_calc!$E$400)))=0,"","Done by: "&amp;IF(LEN(INDEX('Inspections'!$F$4:$F$503,_calc!$E$400))=0,"",INDEX('Inspections'!$F$4:$F$503,_calc!$E$400))&amp;". ")&amp;IF(LEN(IF(LEN(INDEX('Inspections'!$M$4:$M$503,_calc!$E$400))=0,"",INDEX('Inspections'!$M$4:$M$503,_calc!$E$400)))=0,"","Source: "&amp;IF(LEN(INDEX('Inspections'!$M$4:$M$503,_calc!$E$400))=0,"",INDEX('Inspections'!$M$4:$M$503,_calc!$E$400))&amp;". ")&amp;IF(LEN(IF(LEN(INDEX('Inspections'!$N$4:$N$503,_calc!$E$400))=0,"",INDEX('Inspections'!$N$4:$N$503,_calc!$E$400)))=0,"","Owner: "&amp;IF(LEN(INDEX('Inspections'!$N$4:$N$503,_calc!$E$400))=0,"",INDEX('Inspections'!$N$4:$N$503,_calc!$E$400))&amp;". ")&amp;IF(LEN(IF(LEN(INDEX('Inspections'!$O$4:$O$503,_calc!$E$400))=0,"",INDEX('Inspections'!$O$4:$O$503,_calc!$E$400)))=0,"","Backup: "&amp;IF(LEN(INDEX('Inspections'!$O$4:$O$503,_calc!$E$400))=0,"",INDEX('Inspections'!$O$4:$O$503,_calc!$E$400))&amp;". ")&amp;IF(LEN(IF(LEN(INDEX('Inspections'!$R$4:$R$503,_calc!$E$400))=0,"",INDEX('Inspections'!$R$4:$R$503,_calc!$E$400)))=0,"",IF(LEN(INDEX('Inspections'!$R$4:$R$503,_calc!$E$400))=0,"",INDEX('Inspections'!$R$4:$R$503,_calc!$E$400)))))</f>
        <v/>
      </c>
      <c r="G398" s="55">
        <f>IF(_calc!$E$400="","",IF(LEN(INDEX('Inspections'!$Q$4:$Q$503,_calc!$E$400))=0,"",INDEX('Inspections'!$Q$4:$Q$503,_calc!$E$400)))</f>
        <v/>
      </c>
      <c r="K398" s="55">
        <f>IF(_calc!$E$400="","",IF(LEN(INDEX('Inspections'!$P$4:$P$503,_calc!$E$400))=0,"",INDEX('Inspections'!$P$4:$P$503,_calc!$E$400)))</f>
        <v/>
      </c>
    </row>
    <row r="399">
      <c r="A399" s="55">
        <f>IF(_calc!$E$401="","",IF(LEN(INDEX('Inspections'!$C$4:$C$503,_calc!$E$401))=0,"",INDEX('Inspections'!$C$4:$C$503,_calc!$E$401))&amp;" – "&amp;IF(LEN(INDEX('Inspections'!$A$4:$A$503,_calc!$E$401))=0,"",INDEX('Inspections'!$A$4:$A$503,_calc!$E$401)))</f>
        <v/>
      </c>
      <c r="B399" s="55">
        <f>IF(_calc!$E$401="","",IF(ISNUMBER(INDEX('Inspections'!$H$4:$H$503,_calc!$E$401)),TEXT(INDEX('Inspections'!$H$4:$H$503,_calc!$E$401),"yyyy-mm-dd"),""))</f>
        <v/>
      </c>
      <c r="C399" s="55">
        <f>IF(_calc!$E$401="","","Inspection")</f>
        <v/>
      </c>
      <c r="D399" s="55">
        <f>IF(_calc!$E$401="","",IF(ISNUMBER(INDEX('Inspections'!$G$4:$G$503,_calc!$E$401)),TEXT(INDEX('Inspections'!$G$4:$G$503,_calc!$E$401),"yyyy-mm-dd"),""))</f>
        <v/>
      </c>
      <c r="F399" s="55">
        <f>IF(_calc!$E$401="","",TRIM(IF(LEN(IF(LEN(INDEX('Inspections'!$B$4:$B$503,_calc!$E$401))=0,"",INDEX('Inspections'!$B$4:$B$503,_calc!$E$401)))=0,"","System: "&amp;IF(LEN(INDEX('Inspections'!$B$4:$B$503,_calc!$E$401))=0,"",INDEX('Inspections'!$B$4:$B$503,_calc!$E$401))&amp;". ")&amp;IF(LEN(IF(LEN(INDEX('Inspections'!$D$4:$D$503,_calc!$E$401))=0,"",INDEX('Inspections'!$D$4:$D$503,_calc!$E$401)))=0,"","Every: "&amp;IF(LEN(INDEX('Inspections'!$D$4:$D$503,_calc!$E$401))=0,"",INDEX('Inspections'!$D$4:$D$503,_calc!$E$401))&amp;". ")&amp;IF(LEN(IF(LEN(INDEX('Inspections'!$E$4:$E$503,_calc!$E$401))=0,"",INDEX('Inspections'!$E$4:$E$503,_calc!$E$401)))=0,"","Unit: "&amp;IF(LEN(INDEX('Inspections'!$E$4:$E$503,_calc!$E$401))=0,"",INDEX('Inspections'!$E$4:$E$503,_calc!$E$401))&amp;". ")&amp;IF(LEN(IF(LEN(INDEX('Inspections'!$F$4:$F$503,_calc!$E$401))=0,"",INDEX('Inspections'!$F$4:$F$503,_calc!$E$401)))=0,"","Done by: "&amp;IF(LEN(INDEX('Inspections'!$F$4:$F$503,_calc!$E$401))=0,"",INDEX('Inspections'!$F$4:$F$503,_calc!$E$401))&amp;". ")&amp;IF(LEN(IF(LEN(INDEX('Inspections'!$M$4:$M$503,_calc!$E$401))=0,"",INDEX('Inspections'!$M$4:$M$503,_calc!$E$401)))=0,"","Source: "&amp;IF(LEN(INDEX('Inspections'!$M$4:$M$503,_calc!$E$401))=0,"",INDEX('Inspections'!$M$4:$M$503,_calc!$E$401))&amp;". ")&amp;IF(LEN(IF(LEN(INDEX('Inspections'!$N$4:$N$503,_calc!$E$401))=0,"",INDEX('Inspections'!$N$4:$N$503,_calc!$E$401)))=0,"","Owner: "&amp;IF(LEN(INDEX('Inspections'!$N$4:$N$503,_calc!$E$401))=0,"",INDEX('Inspections'!$N$4:$N$503,_calc!$E$401))&amp;". ")&amp;IF(LEN(IF(LEN(INDEX('Inspections'!$O$4:$O$503,_calc!$E$401))=0,"",INDEX('Inspections'!$O$4:$O$503,_calc!$E$401)))=0,"","Backup: "&amp;IF(LEN(INDEX('Inspections'!$O$4:$O$503,_calc!$E$401))=0,"",INDEX('Inspections'!$O$4:$O$503,_calc!$E$401))&amp;". ")&amp;IF(LEN(IF(LEN(INDEX('Inspections'!$R$4:$R$503,_calc!$E$401))=0,"",INDEX('Inspections'!$R$4:$R$503,_calc!$E$401)))=0,"",IF(LEN(INDEX('Inspections'!$R$4:$R$503,_calc!$E$401))=0,"",INDEX('Inspections'!$R$4:$R$503,_calc!$E$401)))))</f>
        <v/>
      </c>
      <c r="G399" s="55">
        <f>IF(_calc!$E$401="","",IF(LEN(INDEX('Inspections'!$Q$4:$Q$503,_calc!$E$401))=0,"",INDEX('Inspections'!$Q$4:$Q$503,_calc!$E$401)))</f>
        <v/>
      </c>
      <c r="K399" s="55">
        <f>IF(_calc!$E$401="","",IF(LEN(INDEX('Inspections'!$P$4:$P$503,_calc!$E$401))=0,"",INDEX('Inspections'!$P$4:$P$503,_calc!$E$401)))</f>
        <v/>
      </c>
    </row>
    <row r="400">
      <c r="A400" s="55">
        <f>IF(_calc!$E$402="","",IF(LEN(INDEX('Inspections'!$C$4:$C$503,_calc!$E$402))=0,"",INDEX('Inspections'!$C$4:$C$503,_calc!$E$402))&amp;" – "&amp;IF(LEN(INDEX('Inspections'!$A$4:$A$503,_calc!$E$402))=0,"",INDEX('Inspections'!$A$4:$A$503,_calc!$E$402)))</f>
        <v/>
      </c>
      <c r="B400" s="55">
        <f>IF(_calc!$E$402="","",IF(ISNUMBER(INDEX('Inspections'!$H$4:$H$503,_calc!$E$402)),TEXT(INDEX('Inspections'!$H$4:$H$503,_calc!$E$402),"yyyy-mm-dd"),""))</f>
        <v/>
      </c>
      <c r="C400" s="55">
        <f>IF(_calc!$E$402="","","Inspection")</f>
        <v/>
      </c>
      <c r="D400" s="55">
        <f>IF(_calc!$E$402="","",IF(ISNUMBER(INDEX('Inspections'!$G$4:$G$503,_calc!$E$402)),TEXT(INDEX('Inspections'!$G$4:$G$503,_calc!$E$402),"yyyy-mm-dd"),""))</f>
        <v/>
      </c>
      <c r="F400" s="55">
        <f>IF(_calc!$E$402="","",TRIM(IF(LEN(IF(LEN(INDEX('Inspections'!$B$4:$B$503,_calc!$E$402))=0,"",INDEX('Inspections'!$B$4:$B$503,_calc!$E$402)))=0,"","System: "&amp;IF(LEN(INDEX('Inspections'!$B$4:$B$503,_calc!$E$402))=0,"",INDEX('Inspections'!$B$4:$B$503,_calc!$E$402))&amp;". ")&amp;IF(LEN(IF(LEN(INDEX('Inspections'!$D$4:$D$503,_calc!$E$402))=0,"",INDEX('Inspections'!$D$4:$D$503,_calc!$E$402)))=0,"","Every: "&amp;IF(LEN(INDEX('Inspections'!$D$4:$D$503,_calc!$E$402))=0,"",INDEX('Inspections'!$D$4:$D$503,_calc!$E$402))&amp;". ")&amp;IF(LEN(IF(LEN(INDEX('Inspections'!$E$4:$E$503,_calc!$E$402))=0,"",INDEX('Inspections'!$E$4:$E$503,_calc!$E$402)))=0,"","Unit: "&amp;IF(LEN(INDEX('Inspections'!$E$4:$E$503,_calc!$E$402))=0,"",INDEX('Inspections'!$E$4:$E$503,_calc!$E$402))&amp;". ")&amp;IF(LEN(IF(LEN(INDEX('Inspections'!$F$4:$F$503,_calc!$E$402))=0,"",INDEX('Inspections'!$F$4:$F$503,_calc!$E$402)))=0,"","Done by: "&amp;IF(LEN(INDEX('Inspections'!$F$4:$F$503,_calc!$E$402))=0,"",INDEX('Inspections'!$F$4:$F$503,_calc!$E$402))&amp;". ")&amp;IF(LEN(IF(LEN(INDEX('Inspections'!$M$4:$M$503,_calc!$E$402))=0,"",INDEX('Inspections'!$M$4:$M$503,_calc!$E$402)))=0,"","Source: "&amp;IF(LEN(INDEX('Inspections'!$M$4:$M$503,_calc!$E$402))=0,"",INDEX('Inspections'!$M$4:$M$503,_calc!$E$402))&amp;". ")&amp;IF(LEN(IF(LEN(INDEX('Inspections'!$N$4:$N$503,_calc!$E$402))=0,"",INDEX('Inspections'!$N$4:$N$503,_calc!$E$402)))=0,"","Owner: "&amp;IF(LEN(INDEX('Inspections'!$N$4:$N$503,_calc!$E$402))=0,"",INDEX('Inspections'!$N$4:$N$503,_calc!$E$402))&amp;". ")&amp;IF(LEN(IF(LEN(INDEX('Inspections'!$O$4:$O$503,_calc!$E$402))=0,"",INDEX('Inspections'!$O$4:$O$503,_calc!$E$402)))=0,"","Backup: "&amp;IF(LEN(INDEX('Inspections'!$O$4:$O$503,_calc!$E$402))=0,"",INDEX('Inspections'!$O$4:$O$503,_calc!$E$402))&amp;". ")&amp;IF(LEN(IF(LEN(INDEX('Inspections'!$R$4:$R$503,_calc!$E$402))=0,"",INDEX('Inspections'!$R$4:$R$503,_calc!$E$402)))=0,"",IF(LEN(INDEX('Inspections'!$R$4:$R$503,_calc!$E$402))=0,"",INDEX('Inspections'!$R$4:$R$503,_calc!$E$402)))))</f>
        <v/>
      </c>
      <c r="G400" s="55">
        <f>IF(_calc!$E$402="","",IF(LEN(INDEX('Inspections'!$Q$4:$Q$503,_calc!$E$402))=0,"",INDEX('Inspections'!$Q$4:$Q$503,_calc!$E$402)))</f>
        <v/>
      </c>
      <c r="K400" s="55">
        <f>IF(_calc!$E$402="","",IF(LEN(INDEX('Inspections'!$P$4:$P$503,_calc!$E$402))=0,"",INDEX('Inspections'!$P$4:$P$503,_calc!$E$402)))</f>
        <v/>
      </c>
    </row>
    <row r="401">
      <c r="A401" s="55">
        <f>IF(_calc!$E$403="","",IF(LEN(INDEX('Inspections'!$C$4:$C$503,_calc!$E$403))=0,"",INDEX('Inspections'!$C$4:$C$503,_calc!$E$403))&amp;" – "&amp;IF(LEN(INDEX('Inspections'!$A$4:$A$503,_calc!$E$403))=0,"",INDEX('Inspections'!$A$4:$A$503,_calc!$E$403)))</f>
        <v/>
      </c>
      <c r="B401" s="55">
        <f>IF(_calc!$E$403="","",IF(ISNUMBER(INDEX('Inspections'!$H$4:$H$503,_calc!$E$403)),TEXT(INDEX('Inspections'!$H$4:$H$503,_calc!$E$403),"yyyy-mm-dd"),""))</f>
        <v/>
      </c>
      <c r="C401" s="55">
        <f>IF(_calc!$E$403="","","Inspection")</f>
        <v/>
      </c>
      <c r="D401" s="55">
        <f>IF(_calc!$E$403="","",IF(ISNUMBER(INDEX('Inspections'!$G$4:$G$503,_calc!$E$403)),TEXT(INDEX('Inspections'!$G$4:$G$503,_calc!$E$403),"yyyy-mm-dd"),""))</f>
        <v/>
      </c>
      <c r="F401" s="55">
        <f>IF(_calc!$E$403="","",TRIM(IF(LEN(IF(LEN(INDEX('Inspections'!$B$4:$B$503,_calc!$E$403))=0,"",INDEX('Inspections'!$B$4:$B$503,_calc!$E$403)))=0,"","System: "&amp;IF(LEN(INDEX('Inspections'!$B$4:$B$503,_calc!$E$403))=0,"",INDEX('Inspections'!$B$4:$B$503,_calc!$E$403))&amp;". ")&amp;IF(LEN(IF(LEN(INDEX('Inspections'!$D$4:$D$503,_calc!$E$403))=0,"",INDEX('Inspections'!$D$4:$D$503,_calc!$E$403)))=0,"","Every: "&amp;IF(LEN(INDEX('Inspections'!$D$4:$D$503,_calc!$E$403))=0,"",INDEX('Inspections'!$D$4:$D$503,_calc!$E$403))&amp;". ")&amp;IF(LEN(IF(LEN(INDEX('Inspections'!$E$4:$E$503,_calc!$E$403))=0,"",INDEX('Inspections'!$E$4:$E$503,_calc!$E$403)))=0,"","Unit: "&amp;IF(LEN(INDEX('Inspections'!$E$4:$E$503,_calc!$E$403))=0,"",INDEX('Inspections'!$E$4:$E$503,_calc!$E$403))&amp;". ")&amp;IF(LEN(IF(LEN(INDEX('Inspections'!$F$4:$F$503,_calc!$E$403))=0,"",INDEX('Inspections'!$F$4:$F$503,_calc!$E$403)))=0,"","Done by: "&amp;IF(LEN(INDEX('Inspections'!$F$4:$F$503,_calc!$E$403))=0,"",INDEX('Inspections'!$F$4:$F$503,_calc!$E$403))&amp;". ")&amp;IF(LEN(IF(LEN(INDEX('Inspections'!$M$4:$M$503,_calc!$E$403))=0,"",INDEX('Inspections'!$M$4:$M$503,_calc!$E$403)))=0,"","Source: "&amp;IF(LEN(INDEX('Inspections'!$M$4:$M$503,_calc!$E$403))=0,"",INDEX('Inspections'!$M$4:$M$503,_calc!$E$403))&amp;". ")&amp;IF(LEN(IF(LEN(INDEX('Inspections'!$N$4:$N$503,_calc!$E$403))=0,"",INDEX('Inspections'!$N$4:$N$503,_calc!$E$403)))=0,"","Owner: "&amp;IF(LEN(INDEX('Inspections'!$N$4:$N$503,_calc!$E$403))=0,"",INDEX('Inspections'!$N$4:$N$503,_calc!$E$403))&amp;". ")&amp;IF(LEN(IF(LEN(INDEX('Inspections'!$O$4:$O$503,_calc!$E$403))=0,"",INDEX('Inspections'!$O$4:$O$503,_calc!$E$403)))=0,"","Backup: "&amp;IF(LEN(INDEX('Inspections'!$O$4:$O$503,_calc!$E$403))=0,"",INDEX('Inspections'!$O$4:$O$503,_calc!$E$403))&amp;". ")&amp;IF(LEN(IF(LEN(INDEX('Inspections'!$R$4:$R$503,_calc!$E$403))=0,"",INDEX('Inspections'!$R$4:$R$503,_calc!$E$403)))=0,"",IF(LEN(INDEX('Inspections'!$R$4:$R$503,_calc!$E$403))=0,"",INDEX('Inspections'!$R$4:$R$503,_calc!$E$403)))))</f>
        <v/>
      </c>
      <c r="G401" s="55">
        <f>IF(_calc!$E$403="","",IF(LEN(INDEX('Inspections'!$Q$4:$Q$503,_calc!$E$403))=0,"",INDEX('Inspections'!$Q$4:$Q$503,_calc!$E$403)))</f>
        <v/>
      </c>
      <c r="K401" s="55">
        <f>IF(_calc!$E$403="","",IF(LEN(INDEX('Inspections'!$P$4:$P$503,_calc!$E$403))=0,"",INDEX('Inspections'!$P$4:$P$503,_calc!$E$403)))</f>
        <v/>
      </c>
    </row>
    <row r="402">
      <c r="A402" s="55">
        <f>IF(_calc!$E$404="","",IF(LEN(INDEX('Inspections'!$C$4:$C$503,_calc!$E$404))=0,"",INDEX('Inspections'!$C$4:$C$503,_calc!$E$404))&amp;" – "&amp;IF(LEN(INDEX('Inspections'!$A$4:$A$503,_calc!$E$404))=0,"",INDEX('Inspections'!$A$4:$A$503,_calc!$E$404)))</f>
        <v/>
      </c>
      <c r="B402" s="55">
        <f>IF(_calc!$E$404="","",IF(ISNUMBER(INDEX('Inspections'!$H$4:$H$503,_calc!$E$404)),TEXT(INDEX('Inspections'!$H$4:$H$503,_calc!$E$404),"yyyy-mm-dd"),""))</f>
        <v/>
      </c>
      <c r="C402" s="55">
        <f>IF(_calc!$E$404="","","Inspection")</f>
        <v/>
      </c>
      <c r="D402" s="55">
        <f>IF(_calc!$E$404="","",IF(ISNUMBER(INDEX('Inspections'!$G$4:$G$503,_calc!$E$404)),TEXT(INDEX('Inspections'!$G$4:$G$503,_calc!$E$404),"yyyy-mm-dd"),""))</f>
        <v/>
      </c>
      <c r="F402" s="55">
        <f>IF(_calc!$E$404="","",TRIM(IF(LEN(IF(LEN(INDEX('Inspections'!$B$4:$B$503,_calc!$E$404))=0,"",INDEX('Inspections'!$B$4:$B$503,_calc!$E$404)))=0,"","System: "&amp;IF(LEN(INDEX('Inspections'!$B$4:$B$503,_calc!$E$404))=0,"",INDEX('Inspections'!$B$4:$B$503,_calc!$E$404))&amp;". ")&amp;IF(LEN(IF(LEN(INDEX('Inspections'!$D$4:$D$503,_calc!$E$404))=0,"",INDEX('Inspections'!$D$4:$D$503,_calc!$E$404)))=0,"","Every: "&amp;IF(LEN(INDEX('Inspections'!$D$4:$D$503,_calc!$E$404))=0,"",INDEX('Inspections'!$D$4:$D$503,_calc!$E$404))&amp;". ")&amp;IF(LEN(IF(LEN(INDEX('Inspections'!$E$4:$E$503,_calc!$E$404))=0,"",INDEX('Inspections'!$E$4:$E$503,_calc!$E$404)))=0,"","Unit: "&amp;IF(LEN(INDEX('Inspections'!$E$4:$E$503,_calc!$E$404))=0,"",INDEX('Inspections'!$E$4:$E$503,_calc!$E$404))&amp;". ")&amp;IF(LEN(IF(LEN(INDEX('Inspections'!$F$4:$F$503,_calc!$E$404))=0,"",INDEX('Inspections'!$F$4:$F$503,_calc!$E$404)))=0,"","Done by: "&amp;IF(LEN(INDEX('Inspections'!$F$4:$F$503,_calc!$E$404))=0,"",INDEX('Inspections'!$F$4:$F$503,_calc!$E$404))&amp;". ")&amp;IF(LEN(IF(LEN(INDEX('Inspections'!$M$4:$M$503,_calc!$E$404))=0,"",INDEX('Inspections'!$M$4:$M$503,_calc!$E$404)))=0,"","Source: "&amp;IF(LEN(INDEX('Inspections'!$M$4:$M$503,_calc!$E$404))=0,"",INDEX('Inspections'!$M$4:$M$503,_calc!$E$404))&amp;". ")&amp;IF(LEN(IF(LEN(INDEX('Inspections'!$N$4:$N$503,_calc!$E$404))=0,"",INDEX('Inspections'!$N$4:$N$503,_calc!$E$404)))=0,"","Owner: "&amp;IF(LEN(INDEX('Inspections'!$N$4:$N$503,_calc!$E$404))=0,"",INDEX('Inspections'!$N$4:$N$503,_calc!$E$404))&amp;". ")&amp;IF(LEN(IF(LEN(INDEX('Inspections'!$O$4:$O$503,_calc!$E$404))=0,"",INDEX('Inspections'!$O$4:$O$503,_calc!$E$404)))=0,"","Backup: "&amp;IF(LEN(INDEX('Inspections'!$O$4:$O$503,_calc!$E$404))=0,"",INDEX('Inspections'!$O$4:$O$503,_calc!$E$404))&amp;". ")&amp;IF(LEN(IF(LEN(INDEX('Inspections'!$R$4:$R$503,_calc!$E$404))=0,"",INDEX('Inspections'!$R$4:$R$503,_calc!$E$404)))=0,"",IF(LEN(INDEX('Inspections'!$R$4:$R$503,_calc!$E$404))=0,"",INDEX('Inspections'!$R$4:$R$503,_calc!$E$404)))))</f>
        <v/>
      </c>
      <c r="G402" s="55">
        <f>IF(_calc!$E$404="","",IF(LEN(INDEX('Inspections'!$Q$4:$Q$503,_calc!$E$404))=0,"",INDEX('Inspections'!$Q$4:$Q$503,_calc!$E$404)))</f>
        <v/>
      </c>
      <c r="K402" s="55">
        <f>IF(_calc!$E$404="","",IF(LEN(INDEX('Inspections'!$P$4:$P$503,_calc!$E$404))=0,"",INDEX('Inspections'!$P$4:$P$503,_calc!$E$404)))</f>
        <v/>
      </c>
    </row>
    <row r="403">
      <c r="A403" s="55">
        <f>IF(_calc!$E$405="","",IF(LEN(INDEX('Inspections'!$C$4:$C$503,_calc!$E$405))=0,"",INDEX('Inspections'!$C$4:$C$503,_calc!$E$405))&amp;" – "&amp;IF(LEN(INDEX('Inspections'!$A$4:$A$503,_calc!$E$405))=0,"",INDEX('Inspections'!$A$4:$A$503,_calc!$E$405)))</f>
        <v/>
      </c>
      <c r="B403" s="55">
        <f>IF(_calc!$E$405="","",IF(ISNUMBER(INDEX('Inspections'!$H$4:$H$503,_calc!$E$405)),TEXT(INDEX('Inspections'!$H$4:$H$503,_calc!$E$405),"yyyy-mm-dd"),""))</f>
        <v/>
      </c>
      <c r="C403" s="55">
        <f>IF(_calc!$E$405="","","Inspection")</f>
        <v/>
      </c>
      <c r="D403" s="55">
        <f>IF(_calc!$E$405="","",IF(ISNUMBER(INDEX('Inspections'!$G$4:$G$503,_calc!$E$405)),TEXT(INDEX('Inspections'!$G$4:$G$503,_calc!$E$405),"yyyy-mm-dd"),""))</f>
        <v/>
      </c>
      <c r="F403" s="55">
        <f>IF(_calc!$E$405="","",TRIM(IF(LEN(IF(LEN(INDEX('Inspections'!$B$4:$B$503,_calc!$E$405))=0,"",INDEX('Inspections'!$B$4:$B$503,_calc!$E$405)))=0,"","System: "&amp;IF(LEN(INDEX('Inspections'!$B$4:$B$503,_calc!$E$405))=0,"",INDEX('Inspections'!$B$4:$B$503,_calc!$E$405))&amp;". ")&amp;IF(LEN(IF(LEN(INDEX('Inspections'!$D$4:$D$503,_calc!$E$405))=0,"",INDEX('Inspections'!$D$4:$D$503,_calc!$E$405)))=0,"","Every: "&amp;IF(LEN(INDEX('Inspections'!$D$4:$D$503,_calc!$E$405))=0,"",INDEX('Inspections'!$D$4:$D$503,_calc!$E$405))&amp;". ")&amp;IF(LEN(IF(LEN(INDEX('Inspections'!$E$4:$E$503,_calc!$E$405))=0,"",INDEX('Inspections'!$E$4:$E$503,_calc!$E$405)))=0,"","Unit: "&amp;IF(LEN(INDEX('Inspections'!$E$4:$E$503,_calc!$E$405))=0,"",INDEX('Inspections'!$E$4:$E$503,_calc!$E$405))&amp;". ")&amp;IF(LEN(IF(LEN(INDEX('Inspections'!$F$4:$F$503,_calc!$E$405))=0,"",INDEX('Inspections'!$F$4:$F$503,_calc!$E$405)))=0,"","Done by: "&amp;IF(LEN(INDEX('Inspections'!$F$4:$F$503,_calc!$E$405))=0,"",INDEX('Inspections'!$F$4:$F$503,_calc!$E$405))&amp;". ")&amp;IF(LEN(IF(LEN(INDEX('Inspections'!$M$4:$M$503,_calc!$E$405))=0,"",INDEX('Inspections'!$M$4:$M$503,_calc!$E$405)))=0,"","Source: "&amp;IF(LEN(INDEX('Inspections'!$M$4:$M$503,_calc!$E$405))=0,"",INDEX('Inspections'!$M$4:$M$503,_calc!$E$405))&amp;". ")&amp;IF(LEN(IF(LEN(INDEX('Inspections'!$N$4:$N$503,_calc!$E$405))=0,"",INDEX('Inspections'!$N$4:$N$503,_calc!$E$405)))=0,"","Owner: "&amp;IF(LEN(INDEX('Inspections'!$N$4:$N$503,_calc!$E$405))=0,"",INDEX('Inspections'!$N$4:$N$503,_calc!$E$405))&amp;". ")&amp;IF(LEN(IF(LEN(INDEX('Inspections'!$O$4:$O$503,_calc!$E$405))=0,"",INDEX('Inspections'!$O$4:$O$503,_calc!$E$405)))=0,"","Backup: "&amp;IF(LEN(INDEX('Inspections'!$O$4:$O$503,_calc!$E$405))=0,"",INDEX('Inspections'!$O$4:$O$503,_calc!$E$405))&amp;". ")&amp;IF(LEN(IF(LEN(INDEX('Inspections'!$R$4:$R$503,_calc!$E$405))=0,"",INDEX('Inspections'!$R$4:$R$503,_calc!$E$405)))=0,"",IF(LEN(INDEX('Inspections'!$R$4:$R$503,_calc!$E$405))=0,"",INDEX('Inspections'!$R$4:$R$503,_calc!$E$405)))))</f>
        <v/>
      </c>
      <c r="G403" s="55">
        <f>IF(_calc!$E$405="","",IF(LEN(INDEX('Inspections'!$Q$4:$Q$503,_calc!$E$405))=0,"",INDEX('Inspections'!$Q$4:$Q$503,_calc!$E$405)))</f>
        <v/>
      </c>
      <c r="K403" s="55">
        <f>IF(_calc!$E$405="","",IF(LEN(INDEX('Inspections'!$P$4:$P$503,_calc!$E$405))=0,"",INDEX('Inspections'!$P$4:$P$503,_calc!$E$405)))</f>
        <v/>
      </c>
    </row>
    <row r="404">
      <c r="A404" s="55">
        <f>IF(_calc!$E$406="","",IF(LEN(INDEX('Inspections'!$C$4:$C$503,_calc!$E$406))=0,"",INDEX('Inspections'!$C$4:$C$503,_calc!$E$406))&amp;" – "&amp;IF(LEN(INDEX('Inspections'!$A$4:$A$503,_calc!$E$406))=0,"",INDEX('Inspections'!$A$4:$A$503,_calc!$E$406)))</f>
        <v/>
      </c>
      <c r="B404" s="55">
        <f>IF(_calc!$E$406="","",IF(ISNUMBER(INDEX('Inspections'!$H$4:$H$503,_calc!$E$406)),TEXT(INDEX('Inspections'!$H$4:$H$503,_calc!$E$406),"yyyy-mm-dd"),""))</f>
        <v/>
      </c>
      <c r="C404" s="55">
        <f>IF(_calc!$E$406="","","Inspection")</f>
        <v/>
      </c>
      <c r="D404" s="55">
        <f>IF(_calc!$E$406="","",IF(ISNUMBER(INDEX('Inspections'!$G$4:$G$503,_calc!$E$406)),TEXT(INDEX('Inspections'!$G$4:$G$503,_calc!$E$406),"yyyy-mm-dd"),""))</f>
        <v/>
      </c>
      <c r="F404" s="55">
        <f>IF(_calc!$E$406="","",TRIM(IF(LEN(IF(LEN(INDEX('Inspections'!$B$4:$B$503,_calc!$E$406))=0,"",INDEX('Inspections'!$B$4:$B$503,_calc!$E$406)))=0,"","System: "&amp;IF(LEN(INDEX('Inspections'!$B$4:$B$503,_calc!$E$406))=0,"",INDEX('Inspections'!$B$4:$B$503,_calc!$E$406))&amp;". ")&amp;IF(LEN(IF(LEN(INDEX('Inspections'!$D$4:$D$503,_calc!$E$406))=0,"",INDEX('Inspections'!$D$4:$D$503,_calc!$E$406)))=0,"","Every: "&amp;IF(LEN(INDEX('Inspections'!$D$4:$D$503,_calc!$E$406))=0,"",INDEX('Inspections'!$D$4:$D$503,_calc!$E$406))&amp;". ")&amp;IF(LEN(IF(LEN(INDEX('Inspections'!$E$4:$E$503,_calc!$E$406))=0,"",INDEX('Inspections'!$E$4:$E$503,_calc!$E$406)))=0,"","Unit: "&amp;IF(LEN(INDEX('Inspections'!$E$4:$E$503,_calc!$E$406))=0,"",INDEX('Inspections'!$E$4:$E$503,_calc!$E$406))&amp;". ")&amp;IF(LEN(IF(LEN(INDEX('Inspections'!$F$4:$F$503,_calc!$E$406))=0,"",INDEX('Inspections'!$F$4:$F$503,_calc!$E$406)))=0,"","Done by: "&amp;IF(LEN(INDEX('Inspections'!$F$4:$F$503,_calc!$E$406))=0,"",INDEX('Inspections'!$F$4:$F$503,_calc!$E$406))&amp;". ")&amp;IF(LEN(IF(LEN(INDEX('Inspections'!$M$4:$M$503,_calc!$E$406))=0,"",INDEX('Inspections'!$M$4:$M$503,_calc!$E$406)))=0,"","Source: "&amp;IF(LEN(INDEX('Inspections'!$M$4:$M$503,_calc!$E$406))=0,"",INDEX('Inspections'!$M$4:$M$503,_calc!$E$406))&amp;". ")&amp;IF(LEN(IF(LEN(INDEX('Inspections'!$N$4:$N$503,_calc!$E$406))=0,"",INDEX('Inspections'!$N$4:$N$503,_calc!$E$406)))=0,"","Owner: "&amp;IF(LEN(INDEX('Inspections'!$N$4:$N$503,_calc!$E$406))=0,"",INDEX('Inspections'!$N$4:$N$503,_calc!$E$406))&amp;". ")&amp;IF(LEN(IF(LEN(INDEX('Inspections'!$O$4:$O$503,_calc!$E$406))=0,"",INDEX('Inspections'!$O$4:$O$503,_calc!$E$406)))=0,"","Backup: "&amp;IF(LEN(INDEX('Inspections'!$O$4:$O$503,_calc!$E$406))=0,"",INDEX('Inspections'!$O$4:$O$503,_calc!$E$406))&amp;". ")&amp;IF(LEN(IF(LEN(INDEX('Inspections'!$R$4:$R$503,_calc!$E$406))=0,"",INDEX('Inspections'!$R$4:$R$503,_calc!$E$406)))=0,"",IF(LEN(INDEX('Inspections'!$R$4:$R$503,_calc!$E$406))=0,"",INDEX('Inspections'!$R$4:$R$503,_calc!$E$406)))))</f>
        <v/>
      </c>
      <c r="G404" s="55">
        <f>IF(_calc!$E$406="","",IF(LEN(INDEX('Inspections'!$Q$4:$Q$503,_calc!$E$406))=0,"",INDEX('Inspections'!$Q$4:$Q$503,_calc!$E$406)))</f>
        <v/>
      </c>
      <c r="K404" s="55">
        <f>IF(_calc!$E$406="","",IF(LEN(INDEX('Inspections'!$P$4:$P$503,_calc!$E$406))=0,"",INDEX('Inspections'!$P$4:$P$503,_calc!$E$406)))</f>
        <v/>
      </c>
    </row>
    <row r="405">
      <c r="A405" s="55">
        <f>IF(_calc!$E$407="","",IF(LEN(INDEX('Inspections'!$C$4:$C$503,_calc!$E$407))=0,"",INDEX('Inspections'!$C$4:$C$503,_calc!$E$407))&amp;" – "&amp;IF(LEN(INDEX('Inspections'!$A$4:$A$503,_calc!$E$407))=0,"",INDEX('Inspections'!$A$4:$A$503,_calc!$E$407)))</f>
        <v/>
      </c>
      <c r="B405" s="55">
        <f>IF(_calc!$E$407="","",IF(ISNUMBER(INDEX('Inspections'!$H$4:$H$503,_calc!$E$407)),TEXT(INDEX('Inspections'!$H$4:$H$503,_calc!$E$407),"yyyy-mm-dd"),""))</f>
        <v/>
      </c>
      <c r="C405" s="55">
        <f>IF(_calc!$E$407="","","Inspection")</f>
        <v/>
      </c>
      <c r="D405" s="55">
        <f>IF(_calc!$E$407="","",IF(ISNUMBER(INDEX('Inspections'!$G$4:$G$503,_calc!$E$407)),TEXT(INDEX('Inspections'!$G$4:$G$503,_calc!$E$407),"yyyy-mm-dd"),""))</f>
        <v/>
      </c>
      <c r="F405" s="55">
        <f>IF(_calc!$E$407="","",TRIM(IF(LEN(IF(LEN(INDEX('Inspections'!$B$4:$B$503,_calc!$E$407))=0,"",INDEX('Inspections'!$B$4:$B$503,_calc!$E$407)))=0,"","System: "&amp;IF(LEN(INDEX('Inspections'!$B$4:$B$503,_calc!$E$407))=0,"",INDEX('Inspections'!$B$4:$B$503,_calc!$E$407))&amp;". ")&amp;IF(LEN(IF(LEN(INDEX('Inspections'!$D$4:$D$503,_calc!$E$407))=0,"",INDEX('Inspections'!$D$4:$D$503,_calc!$E$407)))=0,"","Every: "&amp;IF(LEN(INDEX('Inspections'!$D$4:$D$503,_calc!$E$407))=0,"",INDEX('Inspections'!$D$4:$D$503,_calc!$E$407))&amp;". ")&amp;IF(LEN(IF(LEN(INDEX('Inspections'!$E$4:$E$503,_calc!$E$407))=0,"",INDEX('Inspections'!$E$4:$E$503,_calc!$E$407)))=0,"","Unit: "&amp;IF(LEN(INDEX('Inspections'!$E$4:$E$503,_calc!$E$407))=0,"",INDEX('Inspections'!$E$4:$E$503,_calc!$E$407))&amp;". ")&amp;IF(LEN(IF(LEN(INDEX('Inspections'!$F$4:$F$503,_calc!$E$407))=0,"",INDEX('Inspections'!$F$4:$F$503,_calc!$E$407)))=0,"","Done by: "&amp;IF(LEN(INDEX('Inspections'!$F$4:$F$503,_calc!$E$407))=0,"",INDEX('Inspections'!$F$4:$F$503,_calc!$E$407))&amp;". ")&amp;IF(LEN(IF(LEN(INDEX('Inspections'!$M$4:$M$503,_calc!$E$407))=0,"",INDEX('Inspections'!$M$4:$M$503,_calc!$E$407)))=0,"","Source: "&amp;IF(LEN(INDEX('Inspections'!$M$4:$M$503,_calc!$E$407))=0,"",INDEX('Inspections'!$M$4:$M$503,_calc!$E$407))&amp;". ")&amp;IF(LEN(IF(LEN(INDEX('Inspections'!$N$4:$N$503,_calc!$E$407))=0,"",INDEX('Inspections'!$N$4:$N$503,_calc!$E$407)))=0,"","Owner: "&amp;IF(LEN(INDEX('Inspections'!$N$4:$N$503,_calc!$E$407))=0,"",INDEX('Inspections'!$N$4:$N$503,_calc!$E$407))&amp;". ")&amp;IF(LEN(IF(LEN(INDEX('Inspections'!$O$4:$O$503,_calc!$E$407))=0,"",INDEX('Inspections'!$O$4:$O$503,_calc!$E$407)))=0,"","Backup: "&amp;IF(LEN(INDEX('Inspections'!$O$4:$O$503,_calc!$E$407))=0,"",INDEX('Inspections'!$O$4:$O$503,_calc!$E$407))&amp;". ")&amp;IF(LEN(IF(LEN(INDEX('Inspections'!$R$4:$R$503,_calc!$E$407))=0,"",INDEX('Inspections'!$R$4:$R$503,_calc!$E$407)))=0,"",IF(LEN(INDEX('Inspections'!$R$4:$R$503,_calc!$E$407))=0,"",INDEX('Inspections'!$R$4:$R$503,_calc!$E$407)))))</f>
        <v/>
      </c>
      <c r="G405" s="55">
        <f>IF(_calc!$E$407="","",IF(LEN(INDEX('Inspections'!$Q$4:$Q$503,_calc!$E$407))=0,"",INDEX('Inspections'!$Q$4:$Q$503,_calc!$E$407)))</f>
        <v/>
      </c>
      <c r="K405" s="55">
        <f>IF(_calc!$E$407="","",IF(LEN(INDEX('Inspections'!$P$4:$P$503,_calc!$E$407))=0,"",INDEX('Inspections'!$P$4:$P$503,_calc!$E$407)))</f>
        <v/>
      </c>
    </row>
    <row r="406">
      <c r="A406" s="55">
        <f>IF(_calc!$E$408="","",IF(LEN(INDEX('Inspections'!$C$4:$C$503,_calc!$E$408))=0,"",INDEX('Inspections'!$C$4:$C$503,_calc!$E$408))&amp;" – "&amp;IF(LEN(INDEX('Inspections'!$A$4:$A$503,_calc!$E$408))=0,"",INDEX('Inspections'!$A$4:$A$503,_calc!$E$408)))</f>
        <v/>
      </c>
      <c r="B406" s="55">
        <f>IF(_calc!$E$408="","",IF(ISNUMBER(INDEX('Inspections'!$H$4:$H$503,_calc!$E$408)),TEXT(INDEX('Inspections'!$H$4:$H$503,_calc!$E$408),"yyyy-mm-dd"),""))</f>
        <v/>
      </c>
      <c r="C406" s="55">
        <f>IF(_calc!$E$408="","","Inspection")</f>
        <v/>
      </c>
      <c r="D406" s="55">
        <f>IF(_calc!$E$408="","",IF(ISNUMBER(INDEX('Inspections'!$G$4:$G$503,_calc!$E$408)),TEXT(INDEX('Inspections'!$G$4:$G$503,_calc!$E$408),"yyyy-mm-dd"),""))</f>
        <v/>
      </c>
      <c r="F406" s="55">
        <f>IF(_calc!$E$408="","",TRIM(IF(LEN(IF(LEN(INDEX('Inspections'!$B$4:$B$503,_calc!$E$408))=0,"",INDEX('Inspections'!$B$4:$B$503,_calc!$E$408)))=0,"","System: "&amp;IF(LEN(INDEX('Inspections'!$B$4:$B$503,_calc!$E$408))=0,"",INDEX('Inspections'!$B$4:$B$503,_calc!$E$408))&amp;". ")&amp;IF(LEN(IF(LEN(INDEX('Inspections'!$D$4:$D$503,_calc!$E$408))=0,"",INDEX('Inspections'!$D$4:$D$503,_calc!$E$408)))=0,"","Every: "&amp;IF(LEN(INDEX('Inspections'!$D$4:$D$503,_calc!$E$408))=0,"",INDEX('Inspections'!$D$4:$D$503,_calc!$E$408))&amp;". ")&amp;IF(LEN(IF(LEN(INDEX('Inspections'!$E$4:$E$503,_calc!$E$408))=0,"",INDEX('Inspections'!$E$4:$E$503,_calc!$E$408)))=0,"","Unit: "&amp;IF(LEN(INDEX('Inspections'!$E$4:$E$503,_calc!$E$408))=0,"",INDEX('Inspections'!$E$4:$E$503,_calc!$E$408))&amp;". ")&amp;IF(LEN(IF(LEN(INDEX('Inspections'!$F$4:$F$503,_calc!$E$408))=0,"",INDEX('Inspections'!$F$4:$F$503,_calc!$E$408)))=0,"","Done by: "&amp;IF(LEN(INDEX('Inspections'!$F$4:$F$503,_calc!$E$408))=0,"",INDEX('Inspections'!$F$4:$F$503,_calc!$E$408))&amp;". ")&amp;IF(LEN(IF(LEN(INDEX('Inspections'!$M$4:$M$503,_calc!$E$408))=0,"",INDEX('Inspections'!$M$4:$M$503,_calc!$E$408)))=0,"","Source: "&amp;IF(LEN(INDEX('Inspections'!$M$4:$M$503,_calc!$E$408))=0,"",INDEX('Inspections'!$M$4:$M$503,_calc!$E$408))&amp;". ")&amp;IF(LEN(IF(LEN(INDEX('Inspections'!$N$4:$N$503,_calc!$E$408))=0,"",INDEX('Inspections'!$N$4:$N$503,_calc!$E$408)))=0,"","Owner: "&amp;IF(LEN(INDEX('Inspections'!$N$4:$N$503,_calc!$E$408))=0,"",INDEX('Inspections'!$N$4:$N$503,_calc!$E$408))&amp;". ")&amp;IF(LEN(IF(LEN(INDEX('Inspections'!$O$4:$O$503,_calc!$E$408))=0,"",INDEX('Inspections'!$O$4:$O$503,_calc!$E$408)))=0,"","Backup: "&amp;IF(LEN(INDEX('Inspections'!$O$4:$O$503,_calc!$E$408))=0,"",INDEX('Inspections'!$O$4:$O$503,_calc!$E$408))&amp;". ")&amp;IF(LEN(IF(LEN(INDEX('Inspections'!$R$4:$R$503,_calc!$E$408))=0,"",INDEX('Inspections'!$R$4:$R$503,_calc!$E$408)))=0,"",IF(LEN(INDEX('Inspections'!$R$4:$R$503,_calc!$E$408))=0,"",INDEX('Inspections'!$R$4:$R$503,_calc!$E$408)))))</f>
        <v/>
      </c>
      <c r="G406" s="55">
        <f>IF(_calc!$E$408="","",IF(LEN(INDEX('Inspections'!$Q$4:$Q$503,_calc!$E$408))=0,"",INDEX('Inspections'!$Q$4:$Q$503,_calc!$E$408)))</f>
        <v/>
      </c>
      <c r="K406" s="55">
        <f>IF(_calc!$E$408="","",IF(LEN(INDEX('Inspections'!$P$4:$P$503,_calc!$E$408))=0,"",INDEX('Inspections'!$P$4:$P$503,_calc!$E$408)))</f>
        <v/>
      </c>
    </row>
    <row r="407">
      <c r="A407" s="55">
        <f>IF(_calc!$E$409="","",IF(LEN(INDEX('Inspections'!$C$4:$C$503,_calc!$E$409))=0,"",INDEX('Inspections'!$C$4:$C$503,_calc!$E$409))&amp;" – "&amp;IF(LEN(INDEX('Inspections'!$A$4:$A$503,_calc!$E$409))=0,"",INDEX('Inspections'!$A$4:$A$503,_calc!$E$409)))</f>
        <v/>
      </c>
      <c r="B407" s="55">
        <f>IF(_calc!$E$409="","",IF(ISNUMBER(INDEX('Inspections'!$H$4:$H$503,_calc!$E$409)),TEXT(INDEX('Inspections'!$H$4:$H$503,_calc!$E$409),"yyyy-mm-dd"),""))</f>
        <v/>
      </c>
      <c r="C407" s="55">
        <f>IF(_calc!$E$409="","","Inspection")</f>
        <v/>
      </c>
      <c r="D407" s="55">
        <f>IF(_calc!$E$409="","",IF(ISNUMBER(INDEX('Inspections'!$G$4:$G$503,_calc!$E$409)),TEXT(INDEX('Inspections'!$G$4:$G$503,_calc!$E$409),"yyyy-mm-dd"),""))</f>
        <v/>
      </c>
      <c r="F407" s="55">
        <f>IF(_calc!$E$409="","",TRIM(IF(LEN(IF(LEN(INDEX('Inspections'!$B$4:$B$503,_calc!$E$409))=0,"",INDEX('Inspections'!$B$4:$B$503,_calc!$E$409)))=0,"","System: "&amp;IF(LEN(INDEX('Inspections'!$B$4:$B$503,_calc!$E$409))=0,"",INDEX('Inspections'!$B$4:$B$503,_calc!$E$409))&amp;". ")&amp;IF(LEN(IF(LEN(INDEX('Inspections'!$D$4:$D$503,_calc!$E$409))=0,"",INDEX('Inspections'!$D$4:$D$503,_calc!$E$409)))=0,"","Every: "&amp;IF(LEN(INDEX('Inspections'!$D$4:$D$503,_calc!$E$409))=0,"",INDEX('Inspections'!$D$4:$D$503,_calc!$E$409))&amp;". ")&amp;IF(LEN(IF(LEN(INDEX('Inspections'!$E$4:$E$503,_calc!$E$409))=0,"",INDEX('Inspections'!$E$4:$E$503,_calc!$E$409)))=0,"","Unit: "&amp;IF(LEN(INDEX('Inspections'!$E$4:$E$503,_calc!$E$409))=0,"",INDEX('Inspections'!$E$4:$E$503,_calc!$E$409))&amp;". ")&amp;IF(LEN(IF(LEN(INDEX('Inspections'!$F$4:$F$503,_calc!$E$409))=0,"",INDEX('Inspections'!$F$4:$F$503,_calc!$E$409)))=0,"","Done by: "&amp;IF(LEN(INDEX('Inspections'!$F$4:$F$503,_calc!$E$409))=0,"",INDEX('Inspections'!$F$4:$F$503,_calc!$E$409))&amp;". ")&amp;IF(LEN(IF(LEN(INDEX('Inspections'!$M$4:$M$503,_calc!$E$409))=0,"",INDEX('Inspections'!$M$4:$M$503,_calc!$E$409)))=0,"","Source: "&amp;IF(LEN(INDEX('Inspections'!$M$4:$M$503,_calc!$E$409))=0,"",INDEX('Inspections'!$M$4:$M$503,_calc!$E$409))&amp;". ")&amp;IF(LEN(IF(LEN(INDEX('Inspections'!$N$4:$N$503,_calc!$E$409))=0,"",INDEX('Inspections'!$N$4:$N$503,_calc!$E$409)))=0,"","Owner: "&amp;IF(LEN(INDEX('Inspections'!$N$4:$N$503,_calc!$E$409))=0,"",INDEX('Inspections'!$N$4:$N$503,_calc!$E$409))&amp;". ")&amp;IF(LEN(IF(LEN(INDEX('Inspections'!$O$4:$O$503,_calc!$E$409))=0,"",INDEX('Inspections'!$O$4:$O$503,_calc!$E$409)))=0,"","Backup: "&amp;IF(LEN(INDEX('Inspections'!$O$4:$O$503,_calc!$E$409))=0,"",INDEX('Inspections'!$O$4:$O$503,_calc!$E$409))&amp;". ")&amp;IF(LEN(IF(LEN(INDEX('Inspections'!$R$4:$R$503,_calc!$E$409))=0,"",INDEX('Inspections'!$R$4:$R$503,_calc!$E$409)))=0,"",IF(LEN(INDEX('Inspections'!$R$4:$R$503,_calc!$E$409))=0,"",INDEX('Inspections'!$R$4:$R$503,_calc!$E$409)))))</f>
        <v/>
      </c>
      <c r="G407" s="55">
        <f>IF(_calc!$E$409="","",IF(LEN(INDEX('Inspections'!$Q$4:$Q$503,_calc!$E$409))=0,"",INDEX('Inspections'!$Q$4:$Q$503,_calc!$E$409)))</f>
        <v/>
      </c>
      <c r="K407" s="55">
        <f>IF(_calc!$E$409="","",IF(LEN(INDEX('Inspections'!$P$4:$P$503,_calc!$E$409))=0,"",INDEX('Inspections'!$P$4:$P$503,_calc!$E$409)))</f>
        <v/>
      </c>
    </row>
    <row r="408">
      <c r="A408" s="55">
        <f>IF(_calc!$E$410="","",IF(LEN(INDEX('Inspections'!$C$4:$C$503,_calc!$E$410))=0,"",INDEX('Inspections'!$C$4:$C$503,_calc!$E$410))&amp;" – "&amp;IF(LEN(INDEX('Inspections'!$A$4:$A$503,_calc!$E$410))=0,"",INDEX('Inspections'!$A$4:$A$503,_calc!$E$410)))</f>
        <v/>
      </c>
      <c r="B408" s="55">
        <f>IF(_calc!$E$410="","",IF(ISNUMBER(INDEX('Inspections'!$H$4:$H$503,_calc!$E$410)),TEXT(INDEX('Inspections'!$H$4:$H$503,_calc!$E$410),"yyyy-mm-dd"),""))</f>
        <v/>
      </c>
      <c r="C408" s="55">
        <f>IF(_calc!$E$410="","","Inspection")</f>
        <v/>
      </c>
      <c r="D408" s="55">
        <f>IF(_calc!$E$410="","",IF(ISNUMBER(INDEX('Inspections'!$G$4:$G$503,_calc!$E$410)),TEXT(INDEX('Inspections'!$G$4:$G$503,_calc!$E$410),"yyyy-mm-dd"),""))</f>
        <v/>
      </c>
      <c r="F408" s="55">
        <f>IF(_calc!$E$410="","",TRIM(IF(LEN(IF(LEN(INDEX('Inspections'!$B$4:$B$503,_calc!$E$410))=0,"",INDEX('Inspections'!$B$4:$B$503,_calc!$E$410)))=0,"","System: "&amp;IF(LEN(INDEX('Inspections'!$B$4:$B$503,_calc!$E$410))=0,"",INDEX('Inspections'!$B$4:$B$503,_calc!$E$410))&amp;". ")&amp;IF(LEN(IF(LEN(INDEX('Inspections'!$D$4:$D$503,_calc!$E$410))=0,"",INDEX('Inspections'!$D$4:$D$503,_calc!$E$410)))=0,"","Every: "&amp;IF(LEN(INDEX('Inspections'!$D$4:$D$503,_calc!$E$410))=0,"",INDEX('Inspections'!$D$4:$D$503,_calc!$E$410))&amp;". ")&amp;IF(LEN(IF(LEN(INDEX('Inspections'!$E$4:$E$503,_calc!$E$410))=0,"",INDEX('Inspections'!$E$4:$E$503,_calc!$E$410)))=0,"","Unit: "&amp;IF(LEN(INDEX('Inspections'!$E$4:$E$503,_calc!$E$410))=0,"",INDEX('Inspections'!$E$4:$E$503,_calc!$E$410))&amp;". ")&amp;IF(LEN(IF(LEN(INDEX('Inspections'!$F$4:$F$503,_calc!$E$410))=0,"",INDEX('Inspections'!$F$4:$F$503,_calc!$E$410)))=0,"","Done by: "&amp;IF(LEN(INDEX('Inspections'!$F$4:$F$503,_calc!$E$410))=0,"",INDEX('Inspections'!$F$4:$F$503,_calc!$E$410))&amp;". ")&amp;IF(LEN(IF(LEN(INDEX('Inspections'!$M$4:$M$503,_calc!$E$410))=0,"",INDEX('Inspections'!$M$4:$M$503,_calc!$E$410)))=0,"","Source: "&amp;IF(LEN(INDEX('Inspections'!$M$4:$M$503,_calc!$E$410))=0,"",INDEX('Inspections'!$M$4:$M$503,_calc!$E$410))&amp;". ")&amp;IF(LEN(IF(LEN(INDEX('Inspections'!$N$4:$N$503,_calc!$E$410))=0,"",INDEX('Inspections'!$N$4:$N$503,_calc!$E$410)))=0,"","Owner: "&amp;IF(LEN(INDEX('Inspections'!$N$4:$N$503,_calc!$E$410))=0,"",INDEX('Inspections'!$N$4:$N$503,_calc!$E$410))&amp;". ")&amp;IF(LEN(IF(LEN(INDEX('Inspections'!$O$4:$O$503,_calc!$E$410))=0,"",INDEX('Inspections'!$O$4:$O$503,_calc!$E$410)))=0,"","Backup: "&amp;IF(LEN(INDEX('Inspections'!$O$4:$O$503,_calc!$E$410))=0,"",INDEX('Inspections'!$O$4:$O$503,_calc!$E$410))&amp;". ")&amp;IF(LEN(IF(LEN(INDEX('Inspections'!$R$4:$R$503,_calc!$E$410))=0,"",INDEX('Inspections'!$R$4:$R$503,_calc!$E$410)))=0,"",IF(LEN(INDEX('Inspections'!$R$4:$R$503,_calc!$E$410))=0,"",INDEX('Inspections'!$R$4:$R$503,_calc!$E$410)))))</f>
        <v/>
      </c>
      <c r="G408" s="55">
        <f>IF(_calc!$E$410="","",IF(LEN(INDEX('Inspections'!$Q$4:$Q$503,_calc!$E$410))=0,"",INDEX('Inspections'!$Q$4:$Q$503,_calc!$E$410)))</f>
        <v/>
      </c>
      <c r="K408" s="55">
        <f>IF(_calc!$E$410="","",IF(LEN(INDEX('Inspections'!$P$4:$P$503,_calc!$E$410))=0,"",INDEX('Inspections'!$P$4:$P$503,_calc!$E$410)))</f>
        <v/>
      </c>
    </row>
    <row r="409">
      <c r="A409" s="55">
        <f>IF(_calc!$E$411="","",IF(LEN(INDEX('Inspections'!$C$4:$C$503,_calc!$E$411))=0,"",INDEX('Inspections'!$C$4:$C$503,_calc!$E$411))&amp;" – "&amp;IF(LEN(INDEX('Inspections'!$A$4:$A$503,_calc!$E$411))=0,"",INDEX('Inspections'!$A$4:$A$503,_calc!$E$411)))</f>
        <v/>
      </c>
      <c r="B409" s="55">
        <f>IF(_calc!$E$411="","",IF(ISNUMBER(INDEX('Inspections'!$H$4:$H$503,_calc!$E$411)),TEXT(INDEX('Inspections'!$H$4:$H$503,_calc!$E$411),"yyyy-mm-dd"),""))</f>
        <v/>
      </c>
      <c r="C409" s="55">
        <f>IF(_calc!$E$411="","","Inspection")</f>
        <v/>
      </c>
      <c r="D409" s="55">
        <f>IF(_calc!$E$411="","",IF(ISNUMBER(INDEX('Inspections'!$G$4:$G$503,_calc!$E$411)),TEXT(INDEX('Inspections'!$G$4:$G$503,_calc!$E$411),"yyyy-mm-dd"),""))</f>
        <v/>
      </c>
      <c r="F409" s="55">
        <f>IF(_calc!$E$411="","",TRIM(IF(LEN(IF(LEN(INDEX('Inspections'!$B$4:$B$503,_calc!$E$411))=0,"",INDEX('Inspections'!$B$4:$B$503,_calc!$E$411)))=0,"","System: "&amp;IF(LEN(INDEX('Inspections'!$B$4:$B$503,_calc!$E$411))=0,"",INDEX('Inspections'!$B$4:$B$503,_calc!$E$411))&amp;". ")&amp;IF(LEN(IF(LEN(INDEX('Inspections'!$D$4:$D$503,_calc!$E$411))=0,"",INDEX('Inspections'!$D$4:$D$503,_calc!$E$411)))=0,"","Every: "&amp;IF(LEN(INDEX('Inspections'!$D$4:$D$503,_calc!$E$411))=0,"",INDEX('Inspections'!$D$4:$D$503,_calc!$E$411))&amp;". ")&amp;IF(LEN(IF(LEN(INDEX('Inspections'!$E$4:$E$503,_calc!$E$411))=0,"",INDEX('Inspections'!$E$4:$E$503,_calc!$E$411)))=0,"","Unit: "&amp;IF(LEN(INDEX('Inspections'!$E$4:$E$503,_calc!$E$411))=0,"",INDEX('Inspections'!$E$4:$E$503,_calc!$E$411))&amp;". ")&amp;IF(LEN(IF(LEN(INDEX('Inspections'!$F$4:$F$503,_calc!$E$411))=0,"",INDEX('Inspections'!$F$4:$F$503,_calc!$E$411)))=0,"","Done by: "&amp;IF(LEN(INDEX('Inspections'!$F$4:$F$503,_calc!$E$411))=0,"",INDEX('Inspections'!$F$4:$F$503,_calc!$E$411))&amp;". ")&amp;IF(LEN(IF(LEN(INDEX('Inspections'!$M$4:$M$503,_calc!$E$411))=0,"",INDEX('Inspections'!$M$4:$M$503,_calc!$E$411)))=0,"","Source: "&amp;IF(LEN(INDEX('Inspections'!$M$4:$M$503,_calc!$E$411))=0,"",INDEX('Inspections'!$M$4:$M$503,_calc!$E$411))&amp;". ")&amp;IF(LEN(IF(LEN(INDEX('Inspections'!$N$4:$N$503,_calc!$E$411))=0,"",INDEX('Inspections'!$N$4:$N$503,_calc!$E$411)))=0,"","Owner: "&amp;IF(LEN(INDEX('Inspections'!$N$4:$N$503,_calc!$E$411))=0,"",INDEX('Inspections'!$N$4:$N$503,_calc!$E$411))&amp;". ")&amp;IF(LEN(IF(LEN(INDEX('Inspections'!$O$4:$O$503,_calc!$E$411))=0,"",INDEX('Inspections'!$O$4:$O$503,_calc!$E$411)))=0,"","Backup: "&amp;IF(LEN(INDEX('Inspections'!$O$4:$O$503,_calc!$E$411))=0,"",INDEX('Inspections'!$O$4:$O$503,_calc!$E$411))&amp;". ")&amp;IF(LEN(IF(LEN(INDEX('Inspections'!$R$4:$R$503,_calc!$E$411))=0,"",INDEX('Inspections'!$R$4:$R$503,_calc!$E$411)))=0,"",IF(LEN(INDEX('Inspections'!$R$4:$R$503,_calc!$E$411))=0,"",INDEX('Inspections'!$R$4:$R$503,_calc!$E$411)))))</f>
        <v/>
      </c>
      <c r="G409" s="55">
        <f>IF(_calc!$E$411="","",IF(LEN(INDEX('Inspections'!$Q$4:$Q$503,_calc!$E$411))=0,"",INDEX('Inspections'!$Q$4:$Q$503,_calc!$E$411)))</f>
        <v/>
      </c>
      <c r="K409" s="55">
        <f>IF(_calc!$E$411="","",IF(LEN(INDEX('Inspections'!$P$4:$P$503,_calc!$E$411))=0,"",INDEX('Inspections'!$P$4:$P$503,_calc!$E$411)))</f>
        <v/>
      </c>
    </row>
    <row r="410">
      <c r="A410" s="55">
        <f>IF(_calc!$E$412="","",IF(LEN(INDEX('Inspections'!$C$4:$C$503,_calc!$E$412))=0,"",INDEX('Inspections'!$C$4:$C$503,_calc!$E$412))&amp;" – "&amp;IF(LEN(INDEX('Inspections'!$A$4:$A$503,_calc!$E$412))=0,"",INDEX('Inspections'!$A$4:$A$503,_calc!$E$412)))</f>
        <v/>
      </c>
      <c r="B410" s="55">
        <f>IF(_calc!$E$412="","",IF(ISNUMBER(INDEX('Inspections'!$H$4:$H$503,_calc!$E$412)),TEXT(INDEX('Inspections'!$H$4:$H$503,_calc!$E$412),"yyyy-mm-dd"),""))</f>
        <v/>
      </c>
      <c r="C410" s="55">
        <f>IF(_calc!$E$412="","","Inspection")</f>
        <v/>
      </c>
      <c r="D410" s="55">
        <f>IF(_calc!$E$412="","",IF(ISNUMBER(INDEX('Inspections'!$G$4:$G$503,_calc!$E$412)),TEXT(INDEX('Inspections'!$G$4:$G$503,_calc!$E$412),"yyyy-mm-dd"),""))</f>
        <v/>
      </c>
      <c r="F410" s="55">
        <f>IF(_calc!$E$412="","",TRIM(IF(LEN(IF(LEN(INDEX('Inspections'!$B$4:$B$503,_calc!$E$412))=0,"",INDEX('Inspections'!$B$4:$B$503,_calc!$E$412)))=0,"","System: "&amp;IF(LEN(INDEX('Inspections'!$B$4:$B$503,_calc!$E$412))=0,"",INDEX('Inspections'!$B$4:$B$503,_calc!$E$412))&amp;". ")&amp;IF(LEN(IF(LEN(INDEX('Inspections'!$D$4:$D$503,_calc!$E$412))=0,"",INDEX('Inspections'!$D$4:$D$503,_calc!$E$412)))=0,"","Every: "&amp;IF(LEN(INDEX('Inspections'!$D$4:$D$503,_calc!$E$412))=0,"",INDEX('Inspections'!$D$4:$D$503,_calc!$E$412))&amp;". ")&amp;IF(LEN(IF(LEN(INDEX('Inspections'!$E$4:$E$503,_calc!$E$412))=0,"",INDEX('Inspections'!$E$4:$E$503,_calc!$E$412)))=0,"","Unit: "&amp;IF(LEN(INDEX('Inspections'!$E$4:$E$503,_calc!$E$412))=0,"",INDEX('Inspections'!$E$4:$E$503,_calc!$E$412))&amp;". ")&amp;IF(LEN(IF(LEN(INDEX('Inspections'!$F$4:$F$503,_calc!$E$412))=0,"",INDEX('Inspections'!$F$4:$F$503,_calc!$E$412)))=0,"","Done by: "&amp;IF(LEN(INDEX('Inspections'!$F$4:$F$503,_calc!$E$412))=0,"",INDEX('Inspections'!$F$4:$F$503,_calc!$E$412))&amp;". ")&amp;IF(LEN(IF(LEN(INDEX('Inspections'!$M$4:$M$503,_calc!$E$412))=0,"",INDEX('Inspections'!$M$4:$M$503,_calc!$E$412)))=0,"","Source: "&amp;IF(LEN(INDEX('Inspections'!$M$4:$M$503,_calc!$E$412))=0,"",INDEX('Inspections'!$M$4:$M$503,_calc!$E$412))&amp;". ")&amp;IF(LEN(IF(LEN(INDEX('Inspections'!$N$4:$N$503,_calc!$E$412))=0,"",INDEX('Inspections'!$N$4:$N$503,_calc!$E$412)))=0,"","Owner: "&amp;IF(LEN(INDEX('Inspections'!$N$4:$N$503,_calc!$E$412))=0,"",INDEX('Inspections'!$N$4:$N$503,_calc!$E$412))&amp;". ")&amp;IF(LEN(IF(LEN(INDEX('Inspections'!$O$4:$O$503,_calc!$E$412))=0,"",INDEX('Inspections'!$O$4:$O$503,_calc!$E$412)))=0,"","Backup: "&amp;IF(LEN(INDEX('Inspections'!$O$4:$O$503,_calc!$E$412))=0,"",INDEX('Inspections'!$O$4:$O$503,_calc!$E$412))&amp;". ")&amp;IF(LEN(IF(LEN(INDEX('Inspections'!$R$4:$R$503,_calc!$E$412))=0,"",INDEX('Inspections'!$R$4:$R$503,_calc!$E$412)))=0,"",IF(LEN(INDEX('Inspections'!$R$4:$R$503,_calc!$E$412))=0,"",INDEX('Inspections'!$R$4:$R$503,_calc!$E$412)))))</f>
        <v/>
      </c>
      <c r="G410" s="55">
        <f>IF(_calc!$E$412="","",IF(LEN(INDEX('Inspections'!$Q$4:$Q$503,_calc!$E$412))=0,"",INDEX('Inspections'!$Q$4:$Q$503,_calc!$E$412)))</f>
        <v/>
      </c>
      <c r="K410" s="55">
        <f>IF(_calc!$E$412="","",IF(LEN(INDEX('Inspections'!$P$4:$P$503,_calc!$E$412))=0,"",INDEX('Inspections'!$P$4:$P$503,_calc!$E$412)))</f>
        <v/>
      </c>
    </row>
    <row r="411">
      <c r="A411" s="55">
        <f>IF(_calc!$E$413="","",IF(LEN(INDEX('Inspections'!$C$4:$C$503,_calc!$E$413))=0,"",INDEX('Inspections'!$C$4:$C$503,_calc!$E$413))&amp;" – "&amp;IF(LEN(INDEX('Inspections'!$A$4:$A$503,_calc!$E$413))=0,"",INDEX('Inspections'!$A$4:$A$503,_calc!$E$413)))</f>
        <v/>
      </c>
      <c r="B411" s="55">
        <f>IF(_calc!$E$413="","",IF(ISNUMBER(INDEX('Inspections'!$H$4:$H$503,_calc!$E$413)),TEXT(INDEX('Inspections'!$H$4:$H$503,_calc!$E$413),"yyyy-mm-dd"),""))</f>
        <v/>
      </c>
      <c r="C411" s="55">
        <f>IF(_calc!$E$413="","","Inspection")</f>
        <v/>
      </c>
      <c r="D411" s="55">
        <f>IF(_calc!$E$413="","",IF(ISNUMBER(INDEX('Inspections'!$G$4:$G$503,_calc!$E$413)),TEXT(INDEX('Inspections'!$G$4:$G$503,_calc!$E$413),"yyyy-mm-dd"),""))</f>
        <v/>
      </c>
      <c r="F411" s="55">
        <f>IF(_calc!$E$413="","",TRIM(IF(LEN(IF(LEN(INDEX('Inspections'!$B$4:$B$503,_calc!$E$413))=0,"",INDEX('Inspections'!$B$4:$B$503,_calc!$E$413)))=0,"","System: "&amp;IF(LEN(INDEX('Inspections'!$B$4:$B$503,_calc!$E$413))=0,"",INDEX('Inspections'!$B$4:$B$503,_calc!$E$413))&amp;". ")&amp;IF(LEN(IF(LEN(INDEX('Inspections'!$D$4:$D$503,_calc!$E$413))=0,"",INDEX('Inspections'!$D$4:$D$503,_calc!$E$413)))=0,"","Every: "&amp;IF(LEN(INDEX('Inspections'!$D$4:$D$503,_calc!$E$413))=0,"",INDEX('Inspections'!$D$4:$D$503,_calc!$E$413))&amp;". ")&amp;IF(LEN(IF(LEN(INDEX('Inspections'!$E$4:$E$503,_calc!$E$413))=0,"",INDEX('Inspections'!$E$4:$E$503,_calc!$E$413)))=0,"","Unit: "&amp;IF(LEN(INDEX('Inspections'!$E$4:$E$503,_calc!$E$413))=0,"",INDEX('Inspections'!$E$4:$E$503,_calc!$E$413))&amp;". ")&amp;IF(LEN(IF(LEN(INDEX('Inspections'!$F$4:$F$503,_calc!$E$413))=0,"",INDEX('Inspections'!$F$4:$F$503,_calc!$E$413)))=0,"","Done by: "&amp;IF(LEN(INDEX('Inspections'!$F$4:$F$503,_calc!$E$413))=0,"",INDEX('Inspections'!$F$4:$F$503,_calc!$E$413))&amp;". ")&amp;IF(LEN(IF(LEN(INDEX('Inspections'!$M$4:$M$503,_calc!$E$413))=0,"",INDEX('Inspections'!$M$4:$M$503,_calc!$E$413)))=0,"","Source: "&amp;IF(LEN(INDEX('Inspections'!$M$4:$M$503,_calc!$E$413))=0,"",INDEX('Inspections'!$M$4:$M$503,_calc!$E$413))&amp;". ")&amp;IF(LEN(IF(LEN(INDEX('Inspections'!$N$4:$N$503,_calc!$E$413))=0,"",INDEX('Inspections'!$N$4:$N$503,_calc!$E$413)))=0,"","Owner: "&amp;IF(LEN(INDEX('Inspections'!$N$4:$N$503,_calc!$E$413))=0,"",INDEX('Inspections'!$N$4:$N$503,_calc!$E$413))&amp;". ")&amp;IF(LEN(IF(LEN(INDEX('Inspections'!$O$4:$O$503,_calc!$E$413))=0,"",INDEX('Inspections'!$O$4:$O$503,_calc!$E$413)))=0,"","Backup: "&amp;IF(LEN(INDEX('Inspections'!$O$4:$O$503,_calc!$E$413))=0,"",INDEX('Inspections'!$O$4:$O$503,_calc!$E$413))&amp;". ")&amp;IF(LEN(IF(LEN(INDEX('Inspections'!$R$4:$R$503,_calc!$E$413))=0,"",INDEX('Inspections'!$R$4:$R$503,_calc!$E$413)))=0,"",IF(LEN(INDEX('Inspections'!$R$4:$R$503,_calc!$E$413))=0,"",INDEX('Inspections'!$R$4:$R$503,_calc!$E$413)))))</f>
        <v/>
      </c>
      <c r="G411" s="55">
        <f>IF(_calc!$E$413="","",IF(LEN(INDEX('Inspections'!$Q$4:$Q$503,_calc!$E$413))=0,"",INDEX('Inspections'!$Q$4:$Q$503,_calc!$E$413)))</f>
        <v/>
      </c>
      <c r="K411" s="55">
        <f>IF(_calc!$E$413="","",IF(LEN(INDEX('Inspections'!$P$4:$P$503,_calc!$E$413))=0,"",INDEX('Inspections'!$P$4:$P$503,_calc!$E$413)))</f>
        <v/>
      </c>
    </row>
    <row r="412">
      <c r="A412" s="55">
        <f>IF(_calc!$E$414="","",IF(LEN(INDEX('Inspections'!$C$4:$C$503,_calc!$E$414))=0,"",INDEX('Inspections'!$C$4:$C$503,_calc!$E$414))&amp;" – "&amp;IF(LEN(INDEX('Inspections'!$A$4:$A$503,_calc!$E$414))=0,"",INDEX('Inspections'!$A$4:$A$503,_calc!$E$414)))</f>
        <v/>
      </c>
      <c r="B412" s="55">
        <f>IF(_calc!$E$414="","",IF(ISNUMBER(INDEX('Inspections'!$H$4:$H$503,_calc!$E$414)),TEXT(INDEX('Inspections'!$H$4:$H$503,_calc!$E$414),"yyyy-mm-dd"),""))</f>
        <v/>
      </c>
      <c r="C412" s="55">
        <f>IF(_calc!$E$414="","","Inspection")</f>
        <v/>
      </c>
      <c r="D412" s="55">
        <f>IF(_calc!$E$414="","",IF(ISNUMBER(INDEX('Inspections'!$G$4:$G$503,_calc!$E$414)),TEXT(INDEX('Inspections'!$G$4:$G$503,_calc!$E$414),"yyyy-mm-dd"),""))</f>
        <v/>
      </c>
      <c r="F412" s="55">
        <f>IF(_calc!$E$414="","",TRIM(IF(LEN(IF(LEN(INDEX('Inspections'!$B$4:$B$503,_calc!$E$414))=0,"",INDEX('Inspections'!$B$4:$B$503,_calc!$E$414)))=0,"","System: "&amp;IF(LEN(INDEX('Inspections'!$B$4:$B$503,_calc!$E$414))=0,"",INDEX('Inspections'!$B$4:$B$503,_calc!$E$414))&amp;". ")&amp;IF(LEN(IF(LEN(INDEX('Inspections'!$D$4:$D$503,_calc!$E$414))=0,"",INDEX('Inspections'!$D$4:$D$503,_calc!$E$414)))=0,"","Every: "&amp;IF(LEN(INDEX('Inspections'!$D$4:$D$503,_calc!$E$414))=0,"",INDEX('Inspections'!$D$4:$D$503,_calc!$E$414))&amp;". ")&amp;IF(LEN(IF(LEN(INDEX('Inspections'!$E$4:$E$503,_calc!$E$414))=0,"",INDEX('Inspections'!$E$4:$E$503,_calc!$E$414)))=0,"","Unit: "&amp;IF(LEN(INDEX('Inspections'!$E$4:$E$503,_calc!$E$414))=0,"",INDEX('Inspections'!$E$4:$E$503,_calc!$E$414))&amp;". ")&amp;IF(LEN(IF(LEN(INDEX('Inspections'!$F$4:$F$503,_calc!$E$414))=0,"",INDEX('Inspections'!$F$4:$F$503,_calc!$E$414)))=0,"","Done by: "&amp;IF(LEN(INDEX('Inspections'!$F$4:$F$503,_calc!$E$414))=0,"",INDEX('Inspections'!$F$4:$F$503,_calc!$E$414))&amp;". ")&amp;IF(LEN(IF(LEN(INDEX('Inspections'!$M$4:$M$503,_calc!$E$414))=0,"",INDEX('Inspections'!$M$4:$M$503,_calc!$E$414)))=0,"","Source: "&amp;IF(LEN(INDEX('Inspections'!$M$4:$M$503,_calc!$E$414))=0,"",INDEX('Inspections'!$M$4:$M$503,_calc!$E$414))&amp;". ")&amp;IF(LEN(IF(LEN(INDEX('Inspections'!$N$4:$N$503,_calc!$E$414))=0,"",INDEX('Inspections'!$N$4:$N$503,_calc!$E$414)))=0,"","Owner: "&amp;IF(LEN(INDEX('Inspections'!$N$4:$N$503,_calc!$E$414))=0,"",INDEX('Inspections'!$N$4:$N$503,_calc!$E$414))&amp;". ")&amp;IF(LEN(IF(LEN(INDEX('Inspections'!$O$4:$O$503,_calc!$E$414))=0,"",INDEX('Inspections'!$O$4:$O$503,_calc!$E$414)))=0,"","Backup: "&amp;IF(LEN(INDEX('Inspections'!$O$4:$O$503,_calc!$E$414))=0,"",INDEX('Inspections'!$O$4:$O$503,_calc!$E$414))&amp;". ")&amp;IF(LEN(IF(LEN(INDEX('Inspections'!$R$4:$R$503,_calc!$E$414))=0,"",INDEX('Inspections'!$R$4:$R$503,_calc!$E$414)))=0,"",IF(LEN(INDEX('Inspections'!$R$4:$R$503,_calc!$E$414))=0,"",INDEX('Inspections'!$R$4:$R$503,_calc!$E$414)))))</f>
        <v/>
      </c>
      <c r="G412" s="55">
        <f>IF(_calc!$E$414="","",IF(LEN(INDEX('Inspections'!$Q$4:$Q$503,_calc!$E$414))=0,"",INDEX('Inspections'!$Q$4:$Q$503,_calc!$E$414)))</f>
        <v/>
      </c>
      <c r="K412" s="55">
        <f>IF(_calc!$E$414="","",IF(LEN(INDEX('Inspections'!$P$4:$P$503,_calc!$E$414))=0,"",INDEX('Inspections'!$P$4:$P$503,_calc!$E$414)))</f>
        <v/>
      </c>
    </row>
    <row r="413">
      <c r="A413" s="55">
        <f>IF(_calc!$E$415="","",IF(LEN(INDEX('Inspections'!$C$4:$C$503,_calc!$E$415))=0,"",INDEX('Inspections'!$C$4:$C$503,_calc!$E$415))&amp;" – "&amp;IF(LEN(INDEX('Inspections'!$A$4:$A$503,_calc!$E$415))=0,"",INDEX('Inspections'!$A$4:$A$503,_calc!$E$415)))</f>
        <v/>
      </c>
      <c r="B413" s="55">
        <f>IF(_calc!$E$415="","",IF(ISNUMBER(INDEX('Inspections'!$H$4:$H$503,_calc!$E$415)),TEXT(INDEX('Inspections'!$H$4:$H$503,_calc!$E$415),"yyyy-mm-dd"),""))</f>
        <v/>
      </c>
      <c r="C413" s="55">
        <f>IF(_calc!$E$415="","","Inspection")</f>
        <v/>
      </c>
      <c r="D413" s="55">
        <f>IF(_calc!$E$415="","",IF(ISNUMBER(INDEX('Inspections'!$G$4:$G$503,_calc!$E$415)),TEXT(INDEX('Inspections'!$G$4:$G$503,_calc!$E$415),"yyyy-mm-dd"),""))</f>
        <v/>
      </c>
      <c r="F413" s="55">
        <f>IF(_calc!$E$415="","",TRIM(IF(LEN(IF(LEN(INDEX('Inspections'!$B$4:$B$503,_calc!$E$415))=0,"",INDEX('Inspections'!$B$4:$B$503,_calc!$E$415)))=0,"","System: "&amp;IF(LEN(INDEX('Inspections'!$B$4:$B$503,_calc!$E$415))=0,"",INDEX('Inspections'!$B$4:$B$503,_calc!$E$415))&amp;". ")&amp;IF(LEN(IF(LEN(INDEX('Inspections'!$D$4:$D$503,_calc!$E$415))=0,"",INDEX('Inspections'!$D$4:$D$503,_calc!$E$415)))=0,"","Every: "&amp;IF(LEN(INDEX('Inspections'!$D$4:$D$503,_calc!$E$415))=0,"",INDEX('Inspections'!$D$4:$D$503,_calc!$E$415))&amp;". ")&amp;IF(LEN(IF(LEN(INDEX('Inspections'!$E$4:$E$503,_calc!$E$415))=0,"",INDEX('Inspections'!$E$4:$E$503,_calc!$E$415)))=0,"","Unit: "&amp;IF(LEN(INDEX('Inspections'!$E$4:$E$503,_calc!$E$415))=0,"",INDEX('Inspections'!$E$4:$E$503,_calc!$E$415))&amp;". ")&amp;IF(LEN(IF(LEN(INDEX('Inspections'!$F$4:$F$503,_calc!$E$415))=0,"",INDEX('Inspections'!$F$4:$F$503,_calc!$E$415)))=0,"","Done by: "&amp;IF(LEN(INDEX('Inspections'!$F$4:$F$503,_calc!$E$415))=0,"",INDEX('Inspections'!$F$4:$F$503,_calc!$E$415))&amp;". ")&amp;IF(LEN(IF(LEN(INDEX('Inspections'!$M$4:$M$503,_calc!$E$415))=0,"",INDEX('Inspections'!$M$4:$M$503,_calc!$E$415)))=0,"","Source: "&amp;IF(LEN(INDEX('Inspections'!$M$4:$M$503,_calc!$E$415))=0,"",INDEX('Inspections'!$M$4:$M$503,_calc!$E$415))&amp;". ")&amp;IF(LEN(IF(LEN(INDEX('Inspections'!$N$4:$N$503,_calc!$E$415))=0,"",INDEX('Inspections'!$N$4:$N$503,_calc!$E$415)))=0,"","Owner: "&amp;IF(LEN(INDEX('Inspections'!$N$4:$N$503,_calc!$E$415))=0,"",INDEX('Inspections'!$N$4:$N$503,_calc!$E$415))&amp;". ")&amp;IF(LEN(IF(LEN(INDEX('Inspections'!$O$4:$O$503,_calc!$E$415))=0,"",INDEX('Inspections'!$O$4:$O$503,_calc!$E$415)))=0,"","Backup: "&amp;IF(LEN(INDEX('Inspections'!$O$4:$O$503,_calc!$E$415))=0,"",INDEX('Inspections'!$O$4:$O$503,_calc!$E$415))&amp;". ")&amp;IF(LEN(IF(LEN(INDEX('Inspections'!$R$4:$R$503,_calc!$E$415))=0,"",INDEX('Inspections'!$R$4:$R$503,_calc!$E$415)))=0,"",IF(LEN(INDEX('Inspections'!$R$4:$R$503,_calc!$E$415))=0,"",INDEX('Inspections'!$R$4:$R$503,_calc!$E$415)))))</f>
        <v/>
      </c>
      <c r="G413" s="55">
        <f>IF(_calc!$E$415="","",IF(LEN(INDEX('Inspections'!$Q$4:$Q$503,_calc!$E$415))=0,"",INDEX('Inspections'!$Q$4:$Q$503,_calc!$E$415)))</f>
        <v/>
      </c>
      <c r="K413" s="55">
        <f>IF(_calc!$E$415="","",IF(LEN(INDEX('Inspections'!$P$4:$P$503,_calc!$E$415))=0,"",INDEX('Inspections'!$P$4:$P$503,_calc!$E$415)))</f>
        <v/>
      </c>
    </row>
    <row r="414">
      <c r="A414" s="55">
        <f>IF(_calc!$E$416="","",IF(LEN(INDEX('Inspections'!$C$4:$C$503,_calc!$E$416))=0,"",INDEX('Inspections'!$C$4:$C$503,_calc!$E$416))&amp;" – "&amp;IF(LEN(INDEX('Inspections'!$A$4:$A$503,_calc!$E$416))=0,"",INDEX('Inspections'!$A$4:$A$503,_calc!$E$416)))</f>
        <v/>
      </c>
      <c r="B414" s="55">
        <f>IF(_calc!$E$416="","",IF(ISNUMBER(INDEX('Inspections'!$H$4:$H$503,_calc!$E$416)),TEXT(INDEX('Inspections'!$H$4:$H$503,_calc!$E$416),"yyyy-mm-dd"),""))</f>
        <v/>
      </c>
      <c r="C414" s="55">
        <f>IF(_calc!$E$416="","","Inspection")</f>
        <v/>
      </c>
      <c r="D414" s="55">
        <f>IF(_calc!$E$416="","",IF(ISNUMBER(INDEX('Inspections'!$G$4:$G$503,_calc!$E$416)),TEXT(INDEX('Inspections'!$G$4:$G$503,_calc!$E$416),"yyyy-mm-dd"),""))</f>
        <v/>
      </c>
      <c r="F414" s="55">
        <f>IF(_calc!$E$416="","",TRIM(IF(LEN(IF(LEN(INDEX('Inspections'!$B$4:$B$503,_calc!$E$416))=0,"",INDEX('Inspections'!$B$4:$B$503,_calc!$E$416)))=0,"","System: "&amp;IF(LEN(INDEX('Inspections'!$B$4:$B$503,_calc!$E$416))=0,"",INDEX('Inspections'!$B$4:$B$503,_calc!$E$416))&amp;". ")&amp;IF(LEN(IF(LEN(INDEX('Inspections'!$D$4:$D$503,_calc!$E$416))=0,"",INDEX('Inspections'!$D$4:$D$503,_calc!$E$416)))=0,"","Every: "&amp;IF(LEN(INDEX('Inspections'!$D$4:$D$503,_calc!$E$416))=0,"",INDEX('Inspections'!$D$4:$D$503,_calc!$E$416))&amp;". ")&amp;IF(LEN(IF(LEN(INDEX('Inspections'!$E$4:$E$503,_calc!$E$416))=0,"",INDEX('Inspections'!$E$4:$E$503,_calc!$E$416)))=0,"","Unit: "&amp;IF(LEN(INDEX('Inspections'!$E$4:$E$503,_calc!$E$416))=0,"",INDEX('Inspections'!$E$4:$E$503,_calc!$E$416))&amp;". ")&amp;IF(LEN(IF(LEN(INDEX('Inspections'!$F$4:$F$503,_calc!$E$416))=0,"",INDEX('Inspections'!$F$4:$F$503,_calc!$E$416)))=0,"","Done by: "&amp;IF(LEN(INDEX('Inspections'!$F$4:$F$503,_calc!$E$416))=0,"",INDEX('Inspections'!$F$4:$F$503,_calc!$E$416))&amp;". ")&amp;IF(LEN(IF(LEN(INDEX('Inspections'!$M$4:$M$503,_calc!$E$416))=0,"",INDEX('Inspections'!$M$4:$M$503,_calc!$E$416)))=0,"","Source: "&amp;IF(LEN(INDEX('Inspections'!$M$4:$M$503,_calc!$E$416))=0,"",INDEX('Inspections'!$M$4:$M$503,_calc!$E$416))&amp;". ")&amp;IF(LEN(IF(LEN(INDEX('Inspections'!$N$4:$N$503,_calc!$E$416))=0,"",INDEX('Inspections'!$N$4:$N$503,_calc!$E$416)))=0,"","Owner: "&amp;IF(LEN(INDEX('Inspections'!$N$4:$N$503,_calc!$E$416))=0,"",INDEX('Inspections'!$N$4:$N$503,_calc!$E$416))&amp;". ")&amp;IF(LEN(IF(LEN(INDEX('Inspections'!$O$4:$O$503,_calc!$E$416))=0,"",INDEX('Inspections'!$O$4:$O$503,_calc!$E$416)))=0,"","Backup: "&amp;IF(LEN(INDEX('Inspections'!$O$4:$O$503,_calc!$E$416))=0,"",INDEX('Inspections'!$O$4:$O$503,_calc!$E$416))&amp;". ")&amp;IF(LEN(IF(LEN(INDEX('Inspections'!$R$4:$R$503,_calc!$E$416))=0,"",INDEX('Inspections'!$R$4:$R$503,_calc!$E$416)))=0,"",IF(LEN(INDEX('Inspections'!$R$4:$R$503,_calc!$E$416))=0,"",INDEX('Inspections'!$R$4:$R$503,_calc!$E$416)))))</f>
        <v/>
      </c>
      <c r="G414" s="55">
        <f>IF(_calc!$E$416="","",IF(LEN(INDEX('Inspections'!$Q$4:$Q$503,_calc!$E$416))=0,"",INDEX('Inspections'!$Q$4:$Q$503,_calc!$E$416)))</f>
        <v/>
      </c>
      <c r="K414" s="55">
        <f>IF(_calc!$E$416="","",IF(LEN(INDEX('Inspections'!$P$4:$P$503,_calc!$E$416))=0,"",INDEX('Inspections'!$P$4:$P$503,_calc!$E$416)))</f>
        <v/>
      </c>
    </row>
    <row r="415">
      <c r="A415" s="55">
        <f>IF(_calc!$E$417="","",IF(LEN(INDEX('Inspections'!$C$4:$C$503,_calc!$E$417))=0,"",INDEX('Inspections'!$C$4:$C$503,_calc!$E$417))&amp;" – "&amp;IF(LEN(INDEX('Inspections'!$A$4:$A$503,_calc!$E$417))=0,"",INDEX('Inspections'!$A$4:$A$503,_calc!$E$417)))</f>
        <v/>
      </c>
      <c r="B415" s="55">
        <f>IF(_calc!$E$417="","",IF(ISNUMBER(INDEX('Inspections'!$H$4:$H$503,_calc!$E$417)),TEXT(INDEX('Inspections'!$H$4:$H$503,_calc!$E$417),"yyyy-mm-dd"),""))</f>
        <v/>
      </c>
      <c r="C415" s="55">
        <f>IF(_calc!$E$417="","","Inspection")</f>
        <v/>
      </c>
      <c r="D415" s="55">
        <f>IF(_calc!$E$417="","",IF(ISNUMBER(INDEX('Inspections'!$G$4:$G$503,_calc!$E$417)),TEXT(INDEX('Inspections'!$G$4:$G$503,_calc!$E$417),"yyyy-mm-dd"),""))</f>
        <v/>
      </c>
      <c r="F415" s="55">
        <f>IF(_calc!$E$417="","",TRIM(IF(LEN(IF(LEN(INDEX('Inspections'!$B$4:$B$503,_calc!$E$417))=0,"",INDEX('Inspections'!$B$4:$B$503,_calc!$E$417)))=0,"","System: "&amp;IF(LEN(INDEX('Inspections'!$B$4:$B$503,_calc!$E$417))=0,"",INDEX('Inspections'!$B$4:$B$503,_calc!$E$417))&amp;". ")&amp;IF(LEN(IF(LEN(INDEX('Inspections'!$D$4:$D$503,_calc!$E$417))=0,"",INDEX('Inspections'!$D$4:$D$503,_calc!$E$417)))=0,"","Every: "&amp;IF(LEN(INDEX('Inspections'!$D$4:$D$503,_calc!$E$417))=0,"",INDEX('Inspections'!$D$4:$D$503,_calc!$E$417))&amp;". ")&amp;IF(LEN(IF(LEN(INDEX('Inspections'!$E$4:$E$503,_calc!$E$417))=0,"",INDEX('Inspections'!$E$4:$E$503,_calc!$E$417)))=0,"","Unit: "&amp;IF(LEN(INDEX('Inspections'!$E$4:$E$503,_calc!$E$417))=0,"",INDEX('Inspections'!$E$4:$E$503,_calc!$E$417))&amp;". ")&amp;IF(LEN(IF(LEN(INDEX('Inspections'!$F$4:$F$503,_calc!$E$417))=0,"",INDEX('Inspections'!$F$4:$F$503,_calc!$E$417)))=0,"","Done by: "&amp;IF(LEN(INDEX('Inspections'!$F$4:$F$503,_calc!$E$417))=0,"",INDEX('Inspections'!$F$4:$F$503,_calc!$E$417))&amp;". ")&amp;IF(LEN(IF(LEN(INDEX('Inspections'!$M$4:$M$503,_calc!$E$417))=0,"",INDEX('Inspections'!$M$4:$M$503,_calc!$E$417)))=0,"","Source: "&amp;IF(LEN(INDEX('Inspections'!$M$4:$M$503,_calc!$E$417))=0,"",INDEX('Inspections'!$M$4:$M$503,_calc!$E$417))&amp;". ")&amp;IF(LEN(IF(LEN(INDEX('Inspections'!$N$4:$N$503,_calc!$E$417))=0,"",INDEX('Inspections'!$N$4:$N$503,_calc!$E$417)))=0,"","Owner: "&amp;IF(LEN(INDEX('Inspections'!$N$4:$N$503,_calc!$E$417))=0,"",INDEX('Inspections'!$N$4:$N$503,_calc!$E$417))&amp;". ")&amp;IF(LEN(IF(LEN(INDEX('Inspections'!$O$4:$O$503,_calc!$E$417))=0,"",INDEX('Inspections'!$O$4:$O$503,_calc!$E$417)))=0,"","Backup: "&amp;IF(LEN(INDEX('Inspections'!$O$4:$O$503,_calc!$E$417))=0,"",INDEX('Inspections'!$O$4:$O$503,_calc!$E$417))&amp;". ")&amp;IF(LEN(IF(LEN(INDEX('Inspections'!$R$4:$R$503,_calc!$E$417))=0,"",INDEX('Inspections'!$R$4:$R$503,_calc!$E$417)))=0,"",IF(LEN(INDEX('Inspections'!$R$4:$R$503,_calc!$E$417))=0,"",INDEX('Inspections'!$R$4:$R$503,_calc!$E$417)))))</f>
        <v/>
      </c>
      <c r="G415" s="55">
        <f>IF(_calc!$E$417="","",IF(LEN(INDEX('Inspections'!$Q$4:$Q$503,_calc!$E$417))=0,"",INDEX('Inspections'!$Q$4:$Q$503,_calc!$E$417)))</f>
        <v/>
      </c>
      <c r="K415" s="55">
        <f>IF(_calc!$E$417="","",IF(LEN(INDEX('Inspections'!$P$4:$P$503,_calc!$E$417))=0,"",INDEX('Inspections'!$P$4:$P$503,_calc!$E$417)))</f>
        <v/>
      </c>
    </row>
    <row r="416">
      <c r="A416" s="55">
        <f>IF(_calc!$E$418="","",IF(LEN(INDEX('Inspections'!$C$4:$C$503,_calc!$E$418))=0,"",INDEX('Inspections'!$C$4:$C$503,_calc!$E$418))&amp;" – "&amp;IF(LEN(INDEX('Inspections'!$A$4:$A$503,_calc!$E$418))=0,"",INDEX('Inspections'!$A$4:$A$503,_calc!$E$418)))</f>
        <v/>
      </c>
      <c r="B416" s="55">
        <f>IF(_calc!$E$418="","",IF(ISNUMBER(INDEX('Inspections'!$H$4:$H$503,_calc!$E$418)),TEXT(INDEX('Inspections'!$H$4:$H$503,_calc!$E$418),"yyyy-mm-dd"),""))</f>
        <v/>
      </c>
      <c r="C416" s="55">
        <f>IF(_calc!$E$418="","","Inspection")</f>
        <v/>
      </c>
      <c r="D416" s="55">
        <f>IF(_calc!$E$418="","",IF(ISNUMBER(INDEX('Inspections'!$G$4:$G$503,_calc!$E$418)),TEXT(INDEX('Inspections'!$G$4:$G$503,_calc!$E$418),"yyyy-mm-dd"),""))</f>
        <v/>
      </c>
      <c r="F416" s="55">
        <f>IF(_calc!$E$418="","",TRIM(IF(LEN(IF(LEN(INDEX('Inspections'!$B$4:$B$503,_calc!$E$418))=0,"",INDEX('Inspections'!$B$4:$B$503,_calc!$E$418)))=0,"","System: "&amp;IF(LEN(INDEX('Inspections'!$B$4:$B$503,_calc!$E$418))=0,"",INDEX('Inspections'!$B$4:$B$503,_calc!$E$418))&amp;". ")&amp;IF(LEN(IF(LEN(INDEX('Inspections'!$D$4:$D$503,_calc!$E$418))=0,"",INDEX('Inspections'!$D$4:$D$503,_calc!$E$418)))=0,"","Every: "&amp;IF(LEN(INDEX('Inspections'!$D$4:$D$503,_calc!$E$418))=0,"",INDEX('Inspections'!$D$4:$D$503,_calc!$E$418))&amp;". ")&amp;IF(LEN(IF(LEN(INDEX('Inspections'!$E$4:$E$503,_calc!$E$418))=0,"",INDEX('Inspections'!$E$4:$E$503,_calc!$E$418)))=0,"","Unit: "&amp;IF(LEN(INDEX('Inspections'!$E$4:$E$503,_calc!$E$418))=0,"",INDEX('Inspections'!$E$4:$E$503,_calc!$E$418))&amp;". ")&amp;IF(LEN(IF(LEN(INDEX('Inspections'!$F$4:$F$503,_calc!$E$418))=0,"",INDEX('Inspections'!$F$4:$F$503,_calc!$E$418)))=0,"","Done by: "&amp;IF(LEN(INDEX('Inspections'!$F$4:$F$503,_calc!$E$418))=0,"",INDEX('Inspections'!$F$4:$F$503,_calc!$E$418))&amp;". ")&amp;IF(LEN(IF(LEN(INDEX('Inspections'!$M$4:$M$503,_calc!$E$418))=0,"",INDEX('Inspections'!$M$4:$M$503,_calc!$E$418)))=0,"","Source: "&amp;IF(LEN(INDEX('Inspections'!$M$4:$M$503,_calc!$E$418))=0,"",INDEX('Inspections'!$M$4:$M$503,_calc!$E$418))&amp;". ")&amp;IF(LEN(IF(LEN(INDEX('Inspections'!$N$4:$N$503,_calc!$E$418))=0,"",INDEX('Inspections'!$N$4:$N$503,_calc!$E$418)))=0,"","Owner: "&amp;IF(LEN(INDEX('Inspections'!$N$4:$N$503,_calc!$E$418))=0,"",INDEX('Inspections'!$N$4:$N$503,_calc!$E$418))&amp;". ")&amp;IF(LEN(IF(LEN(INDEX('Inspections'!$O$4:$O$503,_calc!$E$418))=0,"",INDEX('Inspections'!$O$4:$O$503,_calc!$E$418)))=0,"","Backup: "&amp;IF(LEN(INDEX('Inspections'!$O$4:$O$503,_calc!$E$418))=0,"",INDEX('Inspections'!$O$4:$O$503,_calc!$E$418))&amp;". ")&amp;IF(LEN(IF(LEN(INDEX('Inspections'!$R$4:$R$503,_calc!$E$418))=0,"",INDEX('Inspections'!$R$4:$R$503,_calc!$E$418)))=0,"",IF(LEN(INDEX('Inspections'!$R$4:$R$503,_calc!$E$418))=0,"",INDEX('Inspections'!$R$4:$R$503,_calc!$E$418)))))</f>
        <v/>
      </c>
      <c r="G416" s="55">
        <f>IF(_calc!$E$418="","",IF(LEN(INDEX('Inspections'!$Q$4:$Q$503,_calc!$E$418))=0,"",INDEX('Inspections'!$Q$4:$Q$503,_calc!$E$418)))</f>
        <v/>
      </c>
      <c r="K416" s="55">
        <f>IF(_calc!$E$418="","",IF(LEN(INDEX('Inspections'!$P$4:$P$503,_calc!$E$418))=0,"",INDEX('Inspections'!$P$4:$P$503,_calc!$E$418)))</f>
        <v/>
      </c>
    </row>
    <row r="417">
      <c r="A417" s="55">
        <f>IF(_calc!$E$419="","",IF(LEN(INDEX('Inspections'!$C$4:$C$503,_calc!$E$419))=0,"",INDEX('Inspections'!$C$4:$C$503,_calc!$E$419))&amp;" – "&amp;IF(LEN(INDEX('Inspections'!$A$4:$A$503,_calc!$E$419))=0,"",INDEX('Inspections'!$A$4:$A$503,_calc!$E$419)))</f>
        <v/>
      </c>
      <c r="B417" s="55">
        <f>IF(_calc!$E$419="","",IF(ISNUMBER(INDEX('Inspections'!$H$4:$H$503,_calc!$E$419)),TEXT(INDEX('Inspections'!$H$4:$H$503,_calc!$E$419),"yyyy-mm-dd"),""))</f>
        <v/>
      </c>
      <c r="C417" s="55">
        <f>IF(_calc!$E$419="","","Inspection")</f>
        <v/>
      </c>
      <c r="D417" s="55">
        <f>IF(_calc!$E$419="","",IF(ISNUMBER(INDEX('Inspections'!$G$4:$G$503,_calc!$E$419)),TEXT(INDEX('Inspections'!$G$4:$G$503,_calc!$E$419),"yyyy-mm-dd"),""))</f>
        <v/>
      </c>
      <c r="F417" s="55">
        <f>IF(_calc!$E$419="","",TRIM(IF(LEN(IF(LEN(INDEX('Inspections'!$B$4:$B$503,_calc!$E$419))=0,"",INDEX('Inspections'!$B$4:$B$503,_calc!$E$419)))=0,"","System: "&amp;IF(LEN(INDEX('Inspections'!$B$4:$B$503,_calc!$E$419))=0,"",INDEX('Inspections'!$B$4:$B$503,_calc!$E$419))&amp;". ")&amp;IF(LEN(IF(LEN(INDEX('Inspections'!$D$4:$D$503,_calc!$E$419))=0,"",INDEX('Inspections'!$D$4:$D$503,_calc!$E$419)))=0,"","Every: "&amp;IF(LEN(INDEX('Inspections'!$D$4:$D$503,_calc!$E$419))=0,"",INDEX('Inspections'!$D$4:$D$503,_calc!$E$419))&amp;". ")&amp;IF(LEN(IF(LEN(INDEX('Inspections'!$E$4:$E$503,_calc!$E$419))=0,"",INDEX('Inspections'!$E$4:$E$503,_calc!$E$419)))=0,"","Unit: "&amp;IF(LEN(INDEX('Inspections'!$E$4:$E$503,_calc!$E$419))=0,"",INDEX('Inspections'!$E$4:$E$503,_calc!$E$419))&amp;". ")&amp;IF(LEN(IF(LEN(INDEX('Inspections'!$F$4:$F$503,_calc!$E$419))=0,"",INDEX('Inspections'!$F$4:$F$503,_calc!$E$419)))=0,"","Done by: "&amp;IF(LEN(INDEX('Inspections'!$F$4:$F$503,_calc!$E$419))=0,"",INDEX('Inspections'!$F$4:$F$503,_calc!$E$419))&amp;". ")&amp;IF(LEN(IF(LEN(INDEX('Inspections'!$M$4:$M$503,_calc!$E$419))=0,"",INDEX('Inspections'!$M$4:$M$503,_calc!$E$419)))=0,"","Source: "&amp;IF(LEN(INDEX('Inspections'!$M$4:$M$503,_calc!$E$419))=0,"",INDEX('Inspections'!$M$4:$M$503,_calc!$E$419))&amp;". ")&amp;IF(LEN(IF(LEN(INDEX('Inspections'!$N$4:$N$503,_calc!$E$419))=0,"",INDEX('Inspections'!$N$4:$N$503,_calc!$E$419)))=0,"","Owner: "&amp;IF(LEN(INDEX('Inspections'!$N$4:$N$503,_calc!$E$419))=0,"",INDEX('Inspections'!$N$4:$N$503,_calc!$E$419))&amp;". ")&amp;IF(LEN(IF(LEN(INDEX('Inspections'!$O$4:$O$503,_calc!$E$419))=0,"",INDEX('Inspections'!$O$4:$O$503,_calc!$E$419)))=0,"","Backup: "&amp;IF(LEN(INDEX('Inspections'!$O$4:$O$503,_calc!$E$419))=0,"",INDEX('Inspections'!$O$4:$O$503,_calc!$E$419))&amp;". ")&amp;IF(LEN(IF(LEN(INDEX('Inspections'!$R$4:$R$503,_calc!$E$419))=0,"",INDEX('Inspections'!$R$4:$R$503,_calc!$E$419)))=0,"",IF(LEN(INDEX('Inspections'!$R$4:$R$503,_calc!$E$419))=0,"",INDEX('Inspections'!$R$4:$R$503,_calc!$E$419)))))</f>
        <v/>
      </c>
      <c r="G417" s="55">
        <f>IF(_calc!$E$419="","",IF(LEN(INDEX('Inspections'!$Q$4:$Q$503,_calc!$E$419))=0,"",INDEX('Inspections'!$Q$4:$Q$503,_calc!$E$419)))</f>
        <v/>
      </c>
      <c r="K417" s="55">
        <f>IF(_calc!$E$419="","",IF(LEN(INDEX('Inspections'!$P$4:$P$503,_calc!$E$419))=0,"",INDEX('Inspections'!$P$4:$P$503,_calc!$E$419)))</f>
        <v/>
      </c>
    </row>
    <row r="418">
      <c r="A418" s="55">
        <f>IF(_calc!$E$420="","",IF(LEN(INDEX('Inspections'!$C$4:$C$503,_calc!$E$420))=0,"",INDEX('Inspections'!$C$4:$C$503,_calc!$E$420))&amp;" – "&amp;IF(LEN(INDEX('Inspections'!$A$4:$A$503,_calc!$E$420))=0,"",INDEX('Inspections'!$A$4:$A$503,_calc!$E$420)))</f>
        <v/>
      </c>
      <c r="B418" s="55">
        <f>IF(_calc!$E$420="","",IF(ISNUMBER(INDEX('Inspections'!$H$4:$H$503,_calc!$E$420)),TEXT(INDEX('Inspections'!$H$4:$H$503,_calc!$E$420),"yyyy-mm-dd"),""))</f>
        <v/>
      </c>
      <c r="C418" s="55">
        <f>IF(_calc!$E$420="","","Inspection")</f>
        <v/>
      </c>
      <c r="D418" s="55">
        <f>IF(_calc!$E$420="","",IF(ISNUMBER(INDEX('Inspections'!$G$4:$G$503,_calc!$E$420)),TEXT(INDEX('Inspections'!$G$4:$G$503,_calc!$E$420),"yyyy-mm-dd"),""))</f>
        <v/>
      </c>
      <c r="F418" s="55">
        <f>IF(_calc!$E$420="","",TRIM(IF(LEN(IF(LEN(INDEX('Inspections'!$B$4:$B$503,_calc!$E$420))=0,"",INDEX('Inspections'!$B$4:$B$503,_calc!$E$420)))=0,"","System: "&amp;IF(LEN(INDEX('Inspections'!$B$4:$B$503,_calc!$E$420))=0,"",INDEX('Inspections'!$B$4:$B$503,_calc!$E$420))&amp;". ")&amp;IF(LEN(IF(LEN(INDEX('Inspections'!$D$4:$D$503,_calc!$E$420))=0,"",INDEX('Inspections'!$D$4:$D$503,_calc!$E$420)))=0,"","Every: "&amp;IF(LEN(INDEX('Inspections'!$D$4:$D$503,_calc!$E$420))=0,"",INDEX('Inspections'!$D$4:$D$503,_calc!$E$420))&amp;". ")&amp;IF(LEN(IF(LEN(INDEX('Inspections'!$E$4:$E$503,_calc!$E$420))=0,"",INDEX('Inspections'!$E$4:$E$503,_calc!$E$420)))=0,"","Unit: "&amp;IF(LEN(INDEX('Inspections'!$E$4:$E$503,_calc!$E$420))=0,"",INDEX('Inspections'!$E$4:$E$503,_calc!$E$420))&amp;". ")&amp;IF(LEN(IF(LEN(INDEX('Inspections'!$F$4:$F$503,_calc!$E$420))=0,"",INDEX('Inspections'!$F$4:$F$503,_calc!$E$420)))=0,"","Done by: "&amp;IF(LEN(INDEX('Inspections'!$F$4:$F$503,_calc!$E$420))=0,"",INDEX('Inspections'!$F$4:$F$503,_calc!$E$420))&amp;". ")&amp;IF(LEN(IF(LEN(INDEX('Inspections'!$M$4:$M$503,_calc!$E$420))=0,"",INDEX('Inspections'!$M$4:$M$503,_calc!$E$420)))=0,"","Source: "&amp;IF(LEN(INDEX('Inspections'!$M$4:$M$503,_calc!$E$420))=0,"",INDEX('Inspections'!$M$4:$M$503,_calc!$E$420))&amp;". ")&amp;IF(LEN(IF(LEN(INDEX('Inspections'!$N$4:$N$503,_calc!$E$420))=0,"",INDEX('Inspections'!$N$4:$N$503,_calc!$E$420)))=0,"","Owner: "&amp;IF(LEN(INDEX('Inspections'!$N$4:$N$503,_calc!$E$420))=0,"",INDEX('Inspections'!$N$4:$N$503,_calc!$E$420))&amp;". ")&amp;IF(LEN(IF(LEN(INDEX('Inspections'!$O$4:$O$503,_calc!$E$420))=0,"",INDEX('Inspections'!$O$4:$O$503,_calc!$E$420)))=0,"","Backup: "&amp;IF(LEN(INDEX('Inspections'!$O$4:$O$503,_calc!$E$420))=0,"",INDEX('Inspections'!$O$4:$O$503,_calc!$E$420))&amp;". ")&amp;IF(LEN(IF(LEN(INDEX('Inspections'!$R$4:$R$503,_calc!$E$420))=0,"",INDEX('Inspections'!$R$4:$R$503,_calc!$E$420)))=0,"",IF(LEN(INDEX('Inspections'!$R$4:$R$503,_calc!$E$420))=0,"",INDEX('Inspections'!$R$4:$R$503,_calc!$E$420)))))</f>
        <v/>
      </c>
      <c r="G418" s="55">
        <f>IF(_calc!$E$420="","",IF(LEN(INDEX('Inspections'!$Q$4:$Q$503,_calc!$E$420))=0,"",INDEX('Inspections'!$Q$4:$Q$503,_calc!$E$420)))</f>
        <v/>
      </c>
      <c r="K418" s="55">
        <f>IF(_calc!$E$420="","",IF(LEN(INDEX('Inspections'!$P$4:$P$503,_calc!$E$420))=0,"",INDEX('Inspections'!$P$4:$P$503,_calc!$E$420)))</f>
        <v/>
      </c>
    </row>
    <row r="419">
      <c r="A419" s="55">
        <f>IF(_calc!$E$421="","",IF(LEN(INDEX('Inspections'!$C$4:$C$503,_calc!$E$421))=0,"",INDEX('Inspections'!$C$4:$C$503,_calc!$E$421))&amp;" – "&amp;IF(LEN(INDEX('Inspections'!$A$4:$A$503,_calc!$E$421))=0,"",INDEX('Inspections'!$A$4:$A$503,_calc!$E$421)))</f>
        <v/>
      </c>
      <c r="B419" s="55">
        <f>IF(_calc!$E$421="","",IF(ISNUMBER(INDEX('Inspections'!$H$4:$H$503,_calc!$E$421)),TEXT(INDEX('Inspections'!$H$4:$H$503,_calc!$E$421),"yyyy-mm-dd"),""))</f>
        <v/>
      </c>
      <c r="C419" s="55">
        <f>IF(_calc!$E$421="","","Inspection")</f>
        <v/>
      </c>
      <c r="D419" s="55">
        <f>IF(_calc!$E$421="","",IF(ISNUMBER(INDEX('Inspections'!$G$4:$G$503,_calc!$E$421)),TEXT(INDEX('Inspections'!$G$4:$G$503,_calc!$E$421),"yyyy-mm-dd"),""))</f>
        <v/>
      </c>
      <c r="F419" s="55">
        <f>IF(_calc!$E$421="","",TRIM(IF(LEN(IF(LEN(INDEX('Inspections'!$B$4:$B$503,_calc!$E$421))=0,"",INDEX('Inspections'!$B$4:$B$503,_calc!$E$421)))=0,"","System: "&amp;IF(LEN(INDEX('Inspections'!$B$4:$B$503,_calc!$E$421))=0,"",INDEX('Inspections'!$B$4:$B$503,_calc!$E$421))&amp;". ")&amp;IF(LEN(IF(LEN(INDEX('Inspections'!$D$4:$D$503,_calc!$E$421))=0,"",INDEX('Inspections'!$D$4:$D$503,_calc!$E$421)))=0,"","Every: "&amp;IF(LEN(INDEX('Inspections'!$D$4:$D$503,_calc!$E$421))=0,"",INDEX('Inspections'!$D$4:$D$503,_calc!$E$421))&amp;". ")&amp;IF(LEN(IF(LEN(INDEX('Inspections'!$E$4:$E$503,_calc!$E$421))=0,"",INDEX('Inspections'!$E$4:$E$503,_calc!$E$421)))=0,"","Unit: "&amp;IF(LEN(INDEX('Inspections'!$E$4:$E$503,_calc!$E$421))=0,"",INDEX('Inspections'!$E$4:$E$503,_calc!$E$421))&amp;". ")&amp;IF(LEN(IF(LEN(INDEX('Inspections'!$F$4:$F$503,_calc!$E$421))=0,"",INDEX('Inspections'!$F$4:$F$503,_calc!$E$421)))=0,"","Done by: "&amp;IF(LEN(INDEX('Inspections'!$F$4:$F$503,_calc!$E$421))=0,"",INDEX('Inspections'!$F$4:$F$503,_calc!$E$421))&amp;". ")&amp;IF(LEN(IF(LEN(INDEX('Inspections'!$M$4:$M$503,_calc!$E$421))=0,"",INDEX('Inspections'!$M$4:$M$503,_calc!$E$421)))=0,"","Source: "&amp;IF(LEN(INDEX('Inspections'!$M$4:$M$503,_calc!$E$421))=0,"",INDEX('Inspections'!$M$4:$M$503,_calc!$E$421))&amp;". ")&amp;IF(LEN(IF(LEN(INDEX('Inspections'!$N$4:$N$503,_calc!$E$421))=0,"",INDEX('Inspections'!$N$4:$N$503,_calc!$E$421)))=0,"","Owner: "&amp;IF(LEN(INDEX('Inspections'!$N$4:$N$503,_calc!$E$421))=0,"",INDEX('Inspections'!$N$4:$N$503,_calc!$E$421))&amp;". ")&amp;IF(LEN(IF(LEN(INDEX('Inspections'!$O$4:$O$503,_calc!$E$421))=0,"",INDEX('Inspections'!$O$4:$O$503,_calc!$E$421)))=0,"","Backup: "&amp;IF(LEN(INDEX('Inspections'!$O$4:$O$503,_calc!$E$421))=0,"",INDEX('Inspections'!$O$4:$O$503,_calc!$E$421))&amp;". ")&amp;IF(LEN(IF(LEN(INDEX('Inspections'!$R$4:$R$503,_calc!$E$421))=0,"",INDEX('Inspections'!$R$4:$R$503,_calc!$E$421)))=0,"",IF(LEN(INDEX('Inspections'!$R$4:$R$503,_calc!$E$421))=0,"",INDEX('Inspections'!$R$4:$R$503,_calc!$E$421)))))</f>
        <v/>
      </c>
      <c r="G419" s="55">
        <f>IF(_calc!$E$421="","",IF(LEN(INDEX('Inspections'!$Q$4:$Q$503,_calc!$E$421))=0,"",INDEX('Inspections'!$Q$4:$Q$503,_calc!$E$421)))</f>
        <v/>
      </c>
      <c r="K419" s="55">
        <f>IF(_calc!$E$421="","",IF(LEN(INDEX('Inspections'!$P$4:$P$503,_calc!$E$421))=0,"",INDEX('Inspections'!$P$4:$P$503,_calc!$E$421)))</f>
        <v/>
      </c>
    </row>
    <row r="420">
      <c r="A420" s="55">
        <f>IF(_calc!$E$422="","",IF(LEN(INDEX('Inspections'!$C$4:$C$503,_calc!$E$422))=0,"",INDEX('Inspections'!$C$4:$C$503,_calc!$E$422))&amp;" – "&amp;IF(LEN(INDEX('Inspections'!$A$4:$A$503,_calc!$E$422))=0,"",INDEX('Inspections'!$A$4:$A$503,_calc!$E$422)))</f>
        <v/>
      </c>
      <c r="B420" s="55">
        <f>IF(_calc!$E$422="","",IF(ISNUMBER(INDEX('Inspections'!$H$4:$H$503,_calc!$E$422)),TEXT(INDEX('Inspections'!$H$4:$H$503,_calc!$E$422),"yyyy-mm-dd"),""))</f>
        <v/>
      </c>
      <c r="C420" s="55">
        <f>IF(_calc!$E$422="","","Inspection")</f>
        <v/>
      </c>
      <c r="D420" s="55">
        <f>IF(_calc!$E$422="","",IF(ISNUMBER(INDEX('Inspections'!$G$4:$G$503,_calc!$E$422)),TEXT(INDEX('Inspections'!$G$4:$G$503,_calc!$E$422),"yyyy-mm-dd"),""))</f>
        <v/>
      </c>
      <c r="F420" s="55">
        <f>IF(_calc!$E$422="","",TRIM(IF(LEN(IF(LEN(INDEX('Inspections'!$B$4:$B$503,_calc!$E$422))=0,"",INDEX('Inspections'!$B$4:$B$503,_calc!$E$422)))=0,"","System: "&amp;IF(LEN(INDEX('Inspections'!$B$4:$B$503,_calc!$E$422))=0,"",INDEX('Inspections'!$B$4:$B$503,_calc!$E$422))&amp;". ")&amp;IF(LEN(IF(LEN(INDEX('Inspections'!$D$4:$D$503,_calc!$E$422))=0,"",INDEX('Inspections'!$D$4:$D$503,_calc!$E$422)))=0,"","Every: "&amp;IF(LEN(INDEX('Inspections'!$D$4:$D$503,_calc!$E$422))=0,"",INDEX('Inspections'!$D$4:$D$503,_calc!$E$422))&amp;". ")&amp;IF(LEN(IF(LEN(INDEX('Inspections'!$E$4:$E$503,_calc!$E$422))=0,"",INDEX('Inspections'!$E$4:$E$503,_calc!$E$422)))=0,"","Unit: "&amp;IF(LEN(INDEX('Inspections'!$E$4:$E$503,_calc!$E$422))=0,"",INDEX('Inspections'!$E$4:$E$503,_calc!$E$422))&amp;". ")&amp;IF(LEN(IF(LEN(INDEX('Inspections'!$F$4:$F$503,_calc!$E$422))=0,"",INDEX('Inspections'!$F$4:$F$503,_calc!$E$422)))=0,"","Done by: "&amp;IF(LEN(INDEX('Inspections'!$F$4:$F$503,_calc!$E$422))=0,"",INDEX('Inspections'!$F$4:$F$503,_calc!$E$422))&amp;". ")&amp;IF(LEN(IF(LEN(INDEX('Inspections'!$M$4:$M$503,_calc!$E$422))=0,"",INDEX('Inspections'!$M$4:$M$503,_calc!$E$422)))=0,"","Source: "&amp;IF(LEN(INDEX('Inspections'!$M$4:$M$503,_calc!$E$422))=0,"",INDEX('Inspections'!$M$4:$M$503,_calc!$E$422))&amp;". ")&amp;IF(LEN(IF(LEN(INDEX('Inspections'!$N$4:$N$503,_calc!$E$422))=0,"",INDEX('Inspections'!$N$4:$N$503,_calc!$E$422)))=0,"","Owner: "&amp;IF(LEN(INDEX('Inspections'!$N$4:$N$503,_calc!$E$422))=0,"",INDEX('Inspections'!$N$4:$N$503,_calc!$E$422))&amp;". ")&amp;IF(LEN(IF(LEN(INDEX('Inspections'!$O$4:$O$503,_calc!$E$422))=0,"",INDEX('Inspections'!$O$4:$O$503,_calc!$E$422)))=0,"","Backup: "&amp;IF(LEN(INDEX('Inspections'!$O$4:$O$503,_calc!$E$422))=0,"",INDEX('Inspections'!$O$4:$O$503,_calc!$E$422))&amp;". ")&amp;IF(LEN(IF(LEN(INDEX('Inspections'!$R$4:$R$503,_calc!$E$422))=0,"",INDEX('Inspections'!$R$4:$R$503,_calc!$E$422)))=0,"",IF(LEN(INDEX('Inspections'!$R$4:$R$503,_calc!$E$422))=0,"",INDEX('Inspections'!$R$4:$R$503,_calc!$E$422)))))</f>
        <v/>
      </c>
      <c r="G420" s="55">
        <f>IF(_calc!$E$422="","",IF(LEN(INDEX('Inspections'!$Q$4:$Q$503,_calc!$E$422))=0,"",INDEX('Inspections'!$Q$4:$Q$503,_calc!$E$422)))</f>
        <v/>
      </c>
      <c r="K420" s="55">
        <f>IF(_calc!$E$422="","",IF(LEN(INDEX('Inspections'!$P$4:$P$503,_calc!$E$422))=0,"",INDEX('Inspections'!$P$4:$P$503,_calc!$E$422)))</f>
        <v/>
      </c>
    </row>
    <row r="421">
      <c r="A421" s="55">
        <f>IF(_calc!$E$423="","",IF(LEN(INDEX('Inspections'!$C$4:$C$503,_calc!$E$423))=0,"",INDEX('Inspections'!$C$4:$C$503,_calc!$E$423))&amp;" – "&amp;IF(LEN(INDEX('Inspections'!$A$4:$A$503,_calc!$E$423))=0,"",INDEX('Inspections'!$A$4:$A$503,_calc!$E$423)))</f>
        <v/>
      </c>
      <c r="B421" s="55">
        <f>IF(_calc!$E$423="","",IF(ISNUMBER(INDEX('Inspections'!$H$4:$H$503,_calc!$E$423)),TEXT(INDEX('Inspections'!$H$4:$H$503,_calc!$E$423),"yyyy-mm-dd"),""))</f>
        <v/>
      </c>
      <c r="C421" s="55">
        <f>IF(_calc!$E$423="","","Inspection")</f>
        <v/>
      </c>
      <c r="D421" s="55">
        <f>IF(_calc!$E$423="","",IF(ISNUMBER(INDEX('Inspections'!$G$4:$G$503,_calc!$E$423)),TEXT(INDEX('Inspections'!$G$4:$G$503,_calc!$E$423),"yyyy-mm-dd"),""))</f>
        <v/>
      </c>
      <c r="F421" s="55">
        <f>IF(_calc!$E$423="","",TRIM(IF(LEN(IF(LEN(INDEX('Inspections'!$B$4:$B$503,_calc!$E$423))=0,"",INDEX('Inspections'!$B$4:$B$503,_calc!$E$423)))=0,"","System: "&amp;IF(LEN(INDEX('Inspections'!$B$4:$B$503,_calc!$E$423))=0,"",INDEX('Inspections'!$B$4:$B$503,_calc!$E$423))&amp;". ")&amp;IF(LEN(IF(LEN(INDEX('Inspections'!$D$4:$D$503,_calc!$E$423))=0,"",INDEX('Inspections'!$D$4:$D$503,_calc!$E$423)))=0,"","Every: "&amp;IF(LEN(INDEX('Inspections'!$D$4:$D$503,_calc!$E$423))=0,"",INDEX('Inspections'!$D$4:$D$503,_calc!$E$423))&amp;". ")&amp;IF(LEN(IF(LEN(INDEX('Inspections'!$E$4:$E$503,_calc!$E$423))=0,"",INDEX('Inspections'!$E$4:$E$503,_calc!$E$423)))=0,"","Unit: "&amp;IF(LEN(INDEX('Inspections'!$E$4:$E$503,_calc!$E$423))=0,"",INDEX('Inspections'!$E$4:$E$503,_calc!$E$423))&amp;". ")&amp;IF(LEN(IF(LEN(INDEX('Inspections'!$F$4:$F$503,_calc!$E$423))=0,"",INDEX('Inspections'!$F$4:$F$503,_calc!$E$423)))=0,"","Done by: "&amp;IF(LEN(INDEX('Inspections'!$F$4:$F$503,_calc!$E$423))=0,"",INDEX('Inspections'!$F$4:$F$503,_calc!$E$423))&amp;". ")&amp;IF(LEN(IF(LEN(INDEX('Inspections'!$M$4:$M$503,_calc!$E$423))=0,"",INDEX('Inspections'!$M$4:$M$503,_calc!$E$423)))=0,"","Source: "&amp;IF(LEN(INDEX('Inspections'!$M$4:$M$503,_calc!$E$423))=0,"",INDEX('Inspections'!$M$4:$M$503,_calc!$E$423))&amp;". ")&amp;IF(LEN(IF(LEN(INDEX('Inspections'!$N$4:$N$503,_calc!$E$423))=0,"",INDEX('Inspections'!$N$4:$N$503,_calc!$E$423)))=0,"","Owner: "&amp;IF(LEN(INDEX('Inspections'!$N$4:$N$503,_calc!$E$423))=0,"",INDEX('Inspections'!$N$4:$N$503,_calc!$E$423))&amp;". ")&amp;IF(LEN(IF(LEN(INDEX('Inspections'!$O$4:$O$503,_calc!$E$423))=0,"",INDEX('Inspections'!$O$4:$O$503,_calc!$E$423)))=0,"","Backup: "&amp;IF(LEN(INDEX('Inspections'!$O$4:$O$503,_calc!$E$423))=0,"",INDEX('Inspections'!$O$4:$O$503,_calc!$E$423))&amp;". ")&amp;IF(LEN(IF(LEN(INDEX('Inspections'!$R$4:$R$503,_calc!$E$423))=0,"",INDEX('Inspections'!$R$4:$R$503,_calc!$E$423)))=0,"",IF(LEN(INDEX('Inspections'!$R$4:$R$503,_calc!$E$423))=0,"",INDEX('Inspections'!$R$4:$R$503,_calc!$E$423)))))</f>
        <v/>
      </c>
      <c r="G421" s="55">
        <f>IF(_calc!$E$423="","",IF(LEN(INDEX('Inspections'!$Q$4:$Q$503,_calc!$E$423))=0,"",INDEX('Inspections'!$Q$4:$Q$503,_calc!$E$423)))</f>
        <v/>
      </c>
      <c r="K421" s="55">
        <f>IF(_calc!$E$423="","",IF(LEN(INDEX('Inspections'!$P$4:$P$503,_calc!$E$423))=0,"",INDEX('Inspections'!$P$4:$P$503,_calc!$E$423)))</f>
        <v/>
      </c>
    </row>
    <row r="422">
      <c r="A422" s="55">
        <f>IF(_calc!$E$424="","",IF(LEN(INDEX('Inspections'!$C$4:$C$503,_calc!$E$424))=0,"",INDEX('Inspections'!$C$4:$C$503,_calc!$E$424))&amp;" – "&amp;IF(LEN(INDEX('Inspections'!$A$4:$A$503,_calc!$E$424))=0,"",INDEX('Inspections'!$A$4:$A$503,_calc!$E$424)))</f>
        <v/>
      </c>
      <c r="B422" s="55">
        <f>IF(_calc!$E$424="","",IF(ISNUMBER(INDEX('Inspections'!$H$4:$H$503,_calc!$E$424)),TEXT(INDEX('Inspections'!$H$4:$H$503,_calc!$E$424),"yyyy-mm-dd"),""))</f>
        <v/>
      </c>
      <c r="C422" s="55">
        <f>IF(_calc!$E$424="","","Inspection")</f>
        <v/>
      </c>
      <c r="D422" s="55">
        <f>IF(_calc!$E$424="","",IF(ISNUMBER(INDEX('Inspections'!$G$4:$G$503,_calc!$E$424)),TEXT(INDEX('Inspections'!$G$4:$G$503,_calc!$E$424),"yyyy-mm-dd"),""))</f>
        <v/>
      </c>
      <c r="F422" s="55">
        <f>IF(_calc!$E$424="","",TRIM(IF(LEN(IF(LEN(INDEX('Inspections'!$B$4:$B$503,_calc!$E$424))=0,"",INDEX('Inspections'!$B$4:$B$503,_calc!$E$424)))=0,"","System: "&amp;IF(LEN(INDEX('Inspections'!$B$4:$B$503,_calc!$E$424))=0,"",INDEX('Inspections'!$B$4:$B$503,_calc!$E$424))&amp;". ")&amp;IF(LEN(IF(LEN(INDEX('Inspections'!$D$4:$D$503,_calc!$E$424))=0,"",INDEX('Inspections'!$D$4:$D$503,_calc!$E$424)))=0,"","Every: "&amp;IF(LEN(INDEX('Inspections'!$D$4:$D$503,_calc!$E$424))=0,"",INDEX('Inspections'!$D$4:$D$503,_calc!$E$424))&amp;". ")&amp;IF(LEN(IF(LEN(INDEX('Inspections'!$E$4:$E$503,_calc!$E$424))=0,"",INDEX('Inspections'!$E$4:$E$503,_calc!$E$424)))=0,"","Unit: "&amp;IF(LEN(INDEX('Inspections'!$E$4:$E$503,_calc!$E$424))=0,"",INDEX('Inspections'!$E$4:$E$503,_calc!$E$424))&amp;". ")&amp;IF(LEN(IF(LEN(INDEX('Inspections'!$F$4:$F$503,_calc!$E$424))=0,"",INDEX('Inspections'!$F$4:$F$503,_calc!$E$424)))=0,"","Done by: "&amp;IF(LEN(INDEX('Inspections'!$F$4:$F$503,_calc!$E$424))=0,"",INDEX('Inspections'!$F$4:$F$503,_calc!$E$424))&amp;". ")&amp;IF(LEN(IF(LEN(INDEX('Inspections'!$M$4:$M$503,_calc!$E$424))=0,"",INDEX('Inspections'!$M$4:$M$503,_calc!$E$424)))=0,"","Source: "&amp;IF(LEN(INDEX('Inspections'!$M$4:$M$503,_calc!$E$424))=0,"",INDEX('Inspections'!$M$4:$M$503,_calc!$E$424))&amp;". ")&amp;IF(LEN(IF(LEN(INDEX('Inspections'!$N$4:$N$503,_calc!$E$424))=0,"",INDEX('Inspections'!$N$4:$N$503,_calc!$E$424)))=0,"","Owner: "&amp;IF(LEN(INDEX('Inspections'!$N$4:$N$503,_calc!$E$424))=0,"",INDEX('Inspections'!$N$4:$N$503,_calc!$E$424))&amp;". ")&amp;IF(LEN(IF(LEN(INDEX('Inspections'!$O$4:$O$503,_calc!$E$424))=0,"",INDEX('Inspections'!$O$4:$O$503,_calc!$E$424)))=0,"","Backup: "&amp;IF(LEN(INDEX('Inspections'!$O$4:$O$503,_calc!$E$424))=0,"",INDEX('Inspections'!$O$4:$O$503,_calc!$E$424))&amp;". ")&amp;IF(LEN(IF(LEN(INDEX('Inspections'!$R$4:$R$503,_calc!$E$424))=0,"",INDEX('Inspections'!$R$4:$R$503,_calc!$E$424)))=0,"",IF(LEN(INDEX('Inspections'!$R$4:$R$503,_calc!$E$424))=0,"",INDEX('Inspections'!$R$4:$R$503,_calc!$E$424)))))</f>
        <v/>
      </c>
      <c r="G422" s="55">
        <f>IF(_calc!$E$424="","",IF(LEN(INDEX('Inspections'!$Q$4:$Q$503,_calc!$E$424))=0,"",INDEX('Inspections'!$Q$4:$Q$503,_calc!$E$424)))</f>
        <v/>
      </c>
      <c r="K422" s="55">
        <f>IF(_calc!$E$424="","",IF(LEN(INDEX('Inspections'!$P$4:$P$503,_calc!$E$424))=0,"",INDEX('Inspections'!$P$4:$P$503,_calc!$E$424)))</f>
        <v/>
      </c>
    </row>
    <row r="423">
      <c r="A423" s="55">
        <f>IF(_calc!$E$425="","",IF(LEN(INDEX('Inspections'!$C$4:$C$503,_calc!$E$425))=0,"",INDEX('Inspections'!$C$4:$C$503,_calc!$E$425))&amp;" – "&amp;IF(LEN(INDEX('Inspections'!$A$4:$A$503,_calc!$E$425))=0,"",INDEX('Inspections'!$A$4:$A$503,_calc!$E$425)))</f>
        <v/>
      </c>
      <c r="B423" s="55">
        <f>IF(_calc!$E$425="","",IF(ISNUMBER(INDEX('Inspections'!$H$4:$H$503,_calc!$E$425)),TEXT(INDEX('Inspections'!$H$4:$H$503,_calc!$E$425),"yyyy-mm-dd"),""))</f>
        <v/>
      </c>
      <c r="C423" s="55">
        <f>IF(_calc!$E$425="","","Inspection")</f>
        <v/>
      </c>
      <c r="D423" s="55">
        <f>IF(_calc!$E$425="","",IF(ISNUMBER(INDEX('Inspections'!$G$4:$G$503,_calc!$E$425)),TEXT(INDEX('Inspections'!$G$4:$G$503,_calc!$E$425),"yyyy-mm-dd"),""))</f>
        <v/>
      </c>
      <c r="F423" s="55">
        <f>IF(_calc!$E$425="","",TRIM(IF(LEN(IF(LEN(INDEX('Inspections'!$B$4:$B$503,_calc!$E$425))=0,"",INDEX('Inspections'!$B$4:$B$503,_calc!$E$425)))=0,"","System: "&amp;IF(LEN(INDEX('Inspections'!$B$4:$B$503,_calc!$E$425))=0,"",INDEX('Inspections'!$B$4:$B$503,_calc!$E$425))&amp;". ")&amp;IF(LEN(IF(LEN(INDEX('Inspections'!$D$4:$D$503,_calc!$E$425))=0,"",INDEX('Inspections'!$D$4:$D$503,_calc!$E$425)))=0,"","Every: "&amp;IF(LEN(INDEX('Inspections'!$D$4:$D$503,_calc!$E$425))=0,"",INDEX('Inspections'!$D$4:$D$503,_calc!$E$425))&amp;". ")&amp;IF(LEN(IF(LEN(INDEX('Inspections'!$E$4:$E$503,_calc!$E$425))=0,"",INDEX('Inspections'!$E$4:$E$503,_calc!$E$425)))=0,"","Unit: "&amp;IF(LEN(INDEX('Inspections'!$E$4:$E$503,_calc!$E$425))=0,"",INDEX('Inspections'!$E$4:$E$503,_calc!$E$425))&amp;". ")&amp;IF(LEN(IF(LEN(INDEX('Inspections'!$F$4:$F$503,_calc!$E$425))=0,"",INDEX('Inspections'!$F$4:$F$503,_calc!$E$425)))=0,"","Done by: "&amp;IF(LEN(INDEX('Inspections'!$F$4:$F$503,_calc!$E$425))=0,"",INDEX('Inspections'!$F$4:$F$503,_calc!$E$425))&amp;". ")&amp;IF(LEN(IF(LEN(INDEX('Inspections'!$M$4:$M$503,_calc!$E$425))=0,"",INDEX('Inspections'!$M$4:$M$503,_calc!$E$425)))=0,"","Source: "&amp;IF(LEN(INDEX('Inspections'!$M$4:$M$503,_calc!$E$425))=0,"",INDEX('Inspections'!$M$4:$M$503,_calc!$E$425))&amp;". ")&amp;IF(LEN(IF(LEN(INDEX('Inspections'!$N$4:$N$503,_calc!$E$425))=0,"",INDEX('Inspections'!$N$4:$N$503,_calc!$E$425)))=0,"","Owner: "&amp;IF(LEN(INDEX('Inspections'!$N$4:$N$503,_calc!$E$425))=0,"",INDEX('Inspections'!$N$4:$N$503,_calc!$E$425))&amp;". ")&amp;IF(LEN(IF(LEN(INDEX('Inspections'!$O$4:$O$503,_calc!$E$425))=0,"",INDEX('Inspections'!$O$4:$O$503,_calc!$E$425)))=0,"","Backup: "&amp;IF(LEN(INDEX('Inspections'!$O$4:$O$503,_calc!$E$425))=0,"",INDEX('Inspections'!$O$4:$O$503,_calc!$E$425))&amp;". ")&amp;IF(LEN(IF(LEN(INDEX('Inspections'!$R$4:$R$503,_calc!$E$425))=0,"",INDEX('Inspections'!$R$4:$R$503,_calc!$E$425)))=0,"",IF(LEN(INDEX('Inspections'!$R$4:$R$503,_calc!$E$425))=0,"",INDEX('Inspections'!$R$4:$R$503,_calc!$E$425)))))</f>
        <v/>
      </c>
      <c r="G423" s="55">
        <f>IF(_calc!$E$425="","",IF(LEN(INDEX('Inspections'!$Q$4:$Q$503,_calc!$E$425))=0,"",INDEX('Inspections'!$Q$4:$Q$503,_calc!$E$425)))</f>
        <v/>
      </c>
      <c r="K423" s="55">
        <f>IF(_calc!$E$425="","",IF(LEN(INDEX('Inspections'!$P$4:$P$503,_calc!$E$425))=0,"",INDEX('Inspections'!$P$4:$P$503,_calc!$E$425)))</f>
        <v/>
      </c>
    </row>
    <row r="424">
      <c r="A424" s="55">
        <f>IF(_calc!$E$426="","",IF(LEN(INDEX('Inspections'!$C$4:$C$503,_calc!$E$426))=0,"",INDEX('Inspections'!$C$4:$C$503,_calc!$E$426))&amp;" – "&amp;IF(LEN(INDEX('Inspections'!$A$4:$A$503,_calc!$E$426))=0,"",INDEX('Inspections'!$A$4:$A$503,_calc!$E$426)))</f>
        <v/>
      </c>
      <c r="B424" s="55">
        <f>IF(_calc!$E$426="","",IF(ISNUMBER(INDEX('Inspections'!$H$4:$H$503,_calc!$E$426)),TEXT(INDEX('Inspections'!$H$4:$H$503,_calc!$E$426),"yyyy-mm-dd"),""))</f>
        <v/>
      </c>
      <c r="C424" s="55">
        <f>IF(_calc!$E$426="","","Inspection")</f>
        <v/>
      </c>
      <c r="D424" s="55">
        <f>IF(_calc!$E$426="","",IF(ISNUMBER(INDEX('Inspections'!$G$4:$G$503,_calc!$E$426)),TEXT(INDEX('Inspections'!$G$4:$G$503,_calc!$E$426),"yyyy-mm-dd"),""))</f>
        <v/>
      </c>
      <c r="F424" s="55">
        <f>IF(_calc!$E$426="","",TRIM(IF(LEN(IF(LEN(INDEX('Inspections'!$B$4:$B$503,_calc!$E$426))=0,"",INDEX('Inspections'!$B$4:$B$503,_calc!$E$426)))=0,"","System: "&amp;IF(LEN(INDEX('Inspections'!$B$4:$B$503,_calc!$E$426))=0,"",INDEX('Inspections'!$B$4:$B$503,_calc!$E$426))&amp;". ")&amp;IF(LEN(IF(LEN(INDEX('Inspections'!$D$4:$D$503,_calc!$E$426))=0,"",INDEX('Inspections'!$D$4:$D$503,_calc!$E$426)))=0,"","Every: "&amp;IF(LEN(INDEX('Inspections'!$D$4:$D$503,_calc!$E$426))=0,"",INDEX('Inspections'!$D$4:$D$503,_calc!$E$426))&amp;". ")&amp;IF(LEN(IF(LEN(INDEX('Inspections'!$E$4:$E$503,_calc!$E$426))=0,"",INDEX('Inspections'!$E$4:$E$503,_calc!$E$426)))=0,"","Unit: "&amp;IF(LEN(INDEX('Inspections'!$E$4:$E$503,_calc!$E$426))=0,"",INDEX('Inspections'!$E$4:$E$503,_calc!$E$426))&amp;". ")&amp;IF(LEN(IF(LEN(INDEX('Inspections'!$F$4:$F$503,_calc!$E$426))=0,"",INDEX('Inspections'!$F$4:$F$503,_calc!$E$426)))=0,"","Done by: "&amp;IF(LEN(INDEX('Inspections'!$F$4:$F$503,_calc!$E$426))=0,"",INDEX('Inspections'!$F$4:$F$503,_calc!$E$426))&amp;". ")&amp;IF(LEN(IF(LEN(INDEX('Inspections'!$M$4:$M$503,_calc!$E$426))=0,"",INDEX('Inspections'!$M$4:$M$503,_calc!$E$426)))=0,"","Source: "&amp;IF(LEN(INDEX('Inspections'!$M$4:$M$503,_calc!$E$426))=0,"",INDEX('Inspections'!$M$4:$M$503,_calc!$E$426))&amp;". ")&amp;IF(LEN(IF(LEN(INDEX('Inspections'!$N$4:$N$503,_calc!$E$426))=0,"",INDEX('Inspections'!$N$4:$N$503,_calc!$E$426)))=0,"","Owner: "&amp;IF(LEN(INDEX('Inspections'!$N$4:$N$503,_calc!$E$426))=0,"",INDEX('Inspections'!$N$4:$N$503,_calc!$E$426))&amp;". ")&amp;IF(LEN(IF(LEN(INDEX('Inspections'!$O$4:$O$503,_calc!$E$426))=0,"",INDEX('Inspections'!$O$4:$O$503,_calc!$E$426)))=0,"","Backup: "&amp;IF(LEN(INDEX('Inspections'!$O$4:$O$503,_calc!$E$426))=0,"",INDEX('Inspections'!$O$4:$O$503,_calc!$E$426))&amp;". ")&amp;IF(LEN(IF(LEN(INDEX('Inspections'!$R$4:$R$503,_calc!$E$426))=0,"",INDEX('Inspections'!$R$4:$R$503,_calc!$E$426)))=0,"",IF(LEN(INDEX('Inspections'!$R$4:$R$503,_calc!$E$426))=0,"",INDEX('Inspections'!$R$4:$R$503,_calc!$E$426)))))</f>
        <v/>
      </c>
      <c r="G424" s="55">
        <f>IF(_calc!$E$426="","",IF(LEN(INDEX('Inspections'!$Q$4:$Q$503,_calc!$E$426))=0,"",INDEX('Inspections'!$Q$4:$Q$503,_calc!$E$426)))</f>
        <v/>
      </c>
      <c r="K424" s="55">
        <f>IF(_calc!$E$426="","",IF(LEN(INDEX('Inspections'!$P$4:$P$503,_calc!$E$426))=0,"",INDEX('Inspections'!$P$4:$P$503,_calc!$E$426)))</f>
        <v/>
      </c>
    </row>
    <row r="425">
      <c r="A425" s="55">
        <f>IF(_calc!$E$427="","",IF(LEN(INDEX('Inspections'!$C$4:$C$503,_calc!$E$427))=0,"",INDEX('Inspections'!$C$4:$C$503,_calc!$E$427))&amp;" – "&amp;IF(LEN(INDEX('Inspections'!$A$4:$A$503,_calc!$E$427))=0,"",INDEX('Inspections'!$A$4:$A$503,_calc!$E$427)))</f>
        <v/>
      </c>
      <c r="B425" s="55">
        <f>IF(_calc!$E$427="","",IF(ISNUMBER(INDEX('Inspections'!$H$4:$H$503,_calc!$E$427)),TEXT(INDEX('Inspections'!$H$4:$H$503,_calc!$E$427),"yyyy-mm-dd"),""))</f>
        <v/>
      </c>
      <c r="C425" s="55">
        <f>IF(_calc!$E$427="","","Inspection")</f>
        <v/>
      </c>
      <c r="D425" s="55">
        <f>IF(_calc!$E$427="","",IF(ISNUMBER(INDEX('Inspections'!$G$4:$G$503,_calc!$E$427)),TEXT(INDEX('Inspections'!$G$4:$G$503,_calc!$E$427),"yyyy-mm-dd"),""))</f>
        <v/>
      </c>
      <c r="F425" s="55">
        <f>IF(_calc!$E$427="","",TRIM(IF(LEN(IF(LEN(INDEX('Inspections'!$B$4:$B$503,_calc!$E$427))=0,"",INDEX('Inspections'!$B$4:$B$503,_calc!$E$427)))=0,"","System: "&amp;IF(LEN(INDEX('Inspections'!$B$4:$B$503,_calc!$E$427))=0,"",INDEX('Inspections'!$B$4:$B$503,_calc!$E$427))&amp;". ")&amp;IF(LEN(IF(LEN(INDEX('Inspections'!$D$4:$D$503,_calc!$E$427))=0,"",INDEX('Inspections'!$D$4:$D$503,_calc!$E$427)))=0,"","Every: "&amp;IF(LEN(INDEX('Inspections'!$D$4:$D$503,_calc!$E$427))=0,"",INDEX('Inspections'!$D$4:$D$503,_calc!$E$427))&amp;". ")&amp;IF(LEN(IF(LEN(INDEX('Inspections'!$E$4:$E$503,_calc!$E$427))=0,"",INDEX('Inspections'!$E$4:$E$503,_calc!$E$427)))=0,"","Unit: "&amp;IF(LEN(INDEX('Inspections'!$E$4:$E$503,_calc!$E$427))=0,"",INDEX('Inspections'!$E$4:$E$503,_calc!$E$427))&amp;". ")&amp;IF(LEN(IF(LEN(INDEX('Inspections'!$F$4:$F$503,_calc!$E$427))=0,"",INDEX('Inspections'!$F$4:$F$503,_calc!$E$427)))=0,"","Done by: "&amp;IF(LEN(INDEX('Inspections'!$F$4:$F$503,_calc!$E$427))=0,"",INDEX('Inspections'!$F$4:$F$503,_calc!$E$427))&amp;". ")&amp;IF(LEN(IF(LEN(INDEX('Inspections'!$M$4:$M$503,_calc!$E$427))=0,"",INDEX('Inspections'!$M$4:$M$503,_calc!$E$427)))=0,"","Source: "&amp;IF(LEN(INDEX('Inspections'!$M$4:$M$503,_calc!$E$427))=0,"",INDEX('Inspections'!$M$4:$M$503,_calc!$E$427))&amp;". ")&amp;IF(LEN(IF(LEN(INDEX('Inspections'!$N$4:$N$503,_calc!$E$427))=0,"",INDEX('Inspections'!$N$4:$N$503,_calc!$E$427)))=0,"","Owner: "&amp;IF(LEN(INDEX('Inspections'!$N$4:$N$503,_calc!$E$427))=0,"",INDEX('Inspections'!$N$4:$N$503,_calc!$E$427))&amp;". ")&amp;IF(LEN(IF(LEN(INDEX('Inspections'!$O$4:$O$503,_calc!$E$427))=0,"",INDEX('Inspections'!$O$4:$O$503,_calc!$E$427)))=0,"","Backup: "&amp;IF(LEN(INDEX('Inspections'!$O$4:$O$503,_calc!$E$427))=0,"",INDEX('Inspections'!$O$4:$O$503,_calc!$E$427))&amp;". ")&amp;IF(LEN(IF(LEN(INDEX('Inspections'!$R$4:$R$503,_calc!$E$427))=0,"",INDEX('Inspections'!$R$4:$R$503,_calc!$E$427)))=0,"",IF(LEN(INDEX('Inspections'!$R$4:$R$503,_calc!$E$427))=0,"",INDEX('Inspections'!$R$4:$R$503,_calc!$E$427)))))</f>
        <v/>
      </c>
      <c r="G425" s="55">
        <f>IF(_calc!$E$427="","",IF(LEN(INDEX('Inspections'!$Q$4:$Q$503,_calc!$E$427))=0,"",INDEX('Inspections'!$Q$4:$Q$503,_calc!$E$427)))</f>
        <v/>
      </c>
      <c r="K425" s="55">
        <f>IF(_calc!$E$427="","",IF(LEN(INDEX('Inspections'!$P$4:$P$503,_calc!$E$427))=0,"",INDEX('Inspections'!$P$4:$P$503,_calc!$E$427)))</f>
        <v/>
      </c>
    </row>
    <row r="426">
      <c r="A426" s="55">
        <f>IF(_calc!$E$428="","",IF(LEN(INDEX('Inspections'!$C$4:$C$503,_calc!$E$428))=0,"",INDEX('Inspections'!$C$4:$C$503,_calc!$E$428))&amp;" – "&amp;IF(LEN(INDEX('Inspections'!$A$4:$A$503,_calc!$E$428))=0,"",INDEX('Inspections'!$A$4:$A$503,_calc!$E$428)))</f>
        <v/>
      </c>
      <c r="B426" s="55">
        <f>IF(_calc!$E$428="","",IF(ISNUMBER(INDEX('Inspections'!$H$4:$H$503,_calc!$E$428)),TEXT(INDEX('Inspections'!$H$4:$H$503,_calc!$E$428),"yyyy-mm-dd"),""))</f>
        <v/>
      </c>
      <c r="C426" s="55">
        <f>IF(_calc!$E$428="","","Inspection")</f>
        <v/>
      </c>
      <c r="D426" s="55">
        <f>IF(_calc!$E$428="","",IF(ISNUMBER(INDEX('Inspections'!$G$4:$G$503,_calc!$E$428)),TEXT(INDEX('Inspections'!$G$4:$G$503,_calc!$E$428),"yyyy-mm-dd"),""))</f>
        <v/>
      </c>
      <c r="F426" s="55">
        <f>IF(_calc!$E$428="","",TRIM(IF(LEN(IF(LEN(INDEX('Inspections'!$B$4:$B$503,_calc!$E$428))=0,"",INDEX('Inspections'!$B$4:$B$503,_calc!$E$428)))=0,"","System: "&amp;IF(LEN(INDEX('Inspections'!$B$4:$B$503,_calc!$E$428))=0,"",INDEX('Inspections'!$B$4:$B$503,_calc!$E$428))&amp;". ")&amp;IF(LEN(IF(LEN(INDEX('Inspections'!$D$4:$D$503,_calc!$E$428))=0,"",INDEX('Inspections'!$D$4:$D$503,_calc!$E$428)))=0,"","Every: "&amp;IF(LEN(INDEX('Inspections'!$D$4:$D$503,_calc!$E$428))=0,"",INDEX('Inspections'!$D$4:$D$503,_calc!$E$428))&amp;". ")&amp;IF(LEN(IF(LEN(INDEX('Inspections'!$E$4:$E$503,_calc!$E$428))=0,"",INDEX('Inspections'!$E$4:$E$503,_calc!$E$428)))=0,"","Unit: "&amp;IF(LEN(INDEX('Inspections'!$E$4:$E$503,_calc!$E$428))=0,"",INDEX('Inspections'!$E$4:$E$503,_calc!$E$428))&amp;". ")&amp;IF(LEN(IF(LEN(INDEX('Inspections'!$F$4:$F$503,_calc!$E$428))=0,"",INDEX('Inspections'!$F$4:$F$503,_calc!$E$428)))=0,"","Done by: "&amp;IF(LEN(INDEX('Inspections'!$F$4:$F$503,_calc!$E$428))=0,"",INDEX('Inspections'!$F$4:$F$503,_calc!$E$428))&amp;". ")&amp;IF(LEN(IF(LEN(INDEX('Inspections'!$M$4:$M$503,_calc!$E$428))=0,"",INDEX('Inspections'!$M$4:$M$503,_calc!$E$428)))=0,"","Source: "&amp;IF(LEN(INDEX('Inspections'!$M$4:$M$503,_calc!$E$428))=0,"",INDEX('Inspections'!$M$4:$M$503,_calc!$E$428))&amp;". ")&amp;IF(LEN(IF(LEN(INDEX('Inspections'!$N$4:$N$503,_calc!$E$428))=0,"",INDEX('Inspections'!$N$4:$N$503,_calc!$E$428)))=0,"","Owner: "&amp;IF(LEN(INDEX('Inspections'!$N$4:$N$503,_calc!$E$428))=0,"",INDEX('Inspections'!$N$4:$N$503,_calc!$E$428))&amp;". ")&amp;IF(LEN(IF(LEN(INDEX('Inspections'!$O$4:$O$503,_calc!$E$428))=0,"",INDEX('Inspections'!$O$4:$O$503,_calc!$E$428)))=0,"","Backup: "&amp;IF(LEN(INDEX('Inspections'!$O$4:$O$503,_calc!$E$428))=0,"",INDEX('Inspections'!$O$4:$O$503,_calc!$E$428))&amp;". ")&amp;IF(LEN(IF(LEN(INDEX('Inspections'!$R$4:$R$503,_calc!$E$428))=0,"",INDEX('Inspections'!$R$4:$R$503,_calc!$E$428)))=0,"",IF(LEN(INDEX('Inspections'!$R$4:$R$503,_calc!$E$428))=0,"",INDEX('Inspections'!$R$4:$R$503,_calc!$E$428)))))</f>
        <v/>
      </c>
      <c r="G426" s="55">
        <f>IF(_calc!$E$428="","",IF(LEN(INDEX('Inspections'!$Q$4:$Q$503,_calc!$E$428))=0,"",INDEX('Inspections'!$Q$4:$Q$503,_calc!$E$428)))</f>
        <v/>
      </c>
      <c r="K426" s="55">
        <f>IF(_calc!$E$428="","",IF(LEN(INDEX('Inspections'!$P$4:$P$503,_calc!$E$428))=0,"",INDEX('Inspections'!$P$4:$P$503,_calc!$E$428)))</f>
        <v/>
      </c>
    </row>
    <row r="427">
      <c r="A427" s="55">
        <f>IF(_calc!$E$429="","",IF(LEN(INDEX('Inspections'!$C$4:$C$503,_calc!$E$429))=0,"",INDEX('Inspections'!$C$4:$C$503,_calc!$E$429))&amp;" – "&amp;IF(LEN(INDEX('Inspections'!$A$4:$A$503,_calc!$E$429))=0,"",INDEX('Inspections'!$A$4:$A$503,_calc!$E$429)))</f>
        <v/>
      </c>
      <c r="B427" s="55">
        <f>IF(_calc!$E$429="","",IF(ISNUMBER(INDEX('Inspections'!$H$4:$H$503,_calc!$E$429)),TEXT(INDEX('Inspections'!$H$4:$H$503,_calc!$E$429),"yyyy-mm-dd"),""))</f>
        <v/>
      </c>
      <c r="C427" s="55">
        <f>IF(_calc!$E$429="","","Inspection")</f>
        <v/>
      </c>
      <c r="D427" s="55">
        <f>IF(_calc!$E$429="","",IF(ISNUMBER(INDEX('Inspections'!$G$4:$G$503,_calc!$E$429)),TEXT(INDEX('Inspections'!$G$4:$G$503,_calc!$E$429),"yyyy-mm-dd"),""))</f>
        <v/>
      </c>
      <c r="F427" s="55">
        <f>IF(_calc!$E$429="","",TRIM(IF(LEN(IF(LEN(INDEX('Inspections'!$B$4:$B$503,_calc!$E$429))=0,"",INDEX('Inspections'!$B$4:$B$503,_calc!$E$429)))=0,"","System: "&amp;IF(LEN(INDEX('Inspections'!$B$4:$B$503,_calc!$E$429))=0,"",INDEX('Inspections'!$B$4:$B$503,_calc!$E$429))&amp;". ")&amp;IF(LEN(IF(LEN(INDEX('Inspections'!$D$4:$D$503,_calc!$E$429))=0,"",INDEX('Inspections'!$D$4:$D$503,_calc!$E$429)))=0,"","Every: "&amp;IF(LEN(INDEX('Inspections'!$D$4:$D$503,_calc!$E$429))=0,"",INDEX('Inspections'!$D$4:$D$503,_calc!$E$429))&amp;". ")&amp;IF(LEN(IF(LEN(INDEX('Inspections'!$E$4:$E$503,_calc!$E$429))=0,"",INDEX('Inspections'!$E$4:$E$503,_calc!$E$429)))=0,"","Unit: "&amp;IF(LEN(INDEX('Inspections'!$E$4:$E$503,_calc!$E$429))=0,"",INDEX('Inspections'!$E$4:$E$503,_calc!$E$429))&amp;". ")&amp;IF(LEN(IF(LEN(INDEX('Inspections'!$F$4:$F$503,_calc!$E$429))=0,"",INDEX('Inspections'!$F$4:$F$503,_calc!$E$429)))=0,"","Done by: "&amp;IF(LEN(INDEX('Inspections'!$F$4:$F$503,_calc!$E$429))=0,"",INDEX('Inspections'!$F$4:$F$503,_calc!$E$429))&amp;". ")&amp;IF(LEN(IF(LEN(INDEX('Inspections'!$M$4:$M$503,_calc!$E$429))=0,"",INDEX('Inspections'!$M$4:$M$503,_calc!$E$429)))=0,"","Source: "&amp;IF(LEN(INDEX('Inspections'!$M$4:$M$503,_calc!$E$429))=0,"",INDEX('Inspections'!$M$4:$M$503,_calc!$E$429))&amp;". ")&amp;IF(LEN(IF(LEN(INDEX('Inspections'!$N$4:$N$503,_calc!$E$429))=0,"",INDEX('Inspections'!$N$4:$N$503,_calc!$E$429)))=0,"","Owner: "&amp;IF(LEN(INDEX('Inspections'!$N$4:$N$503,_calc!$E$429))=0,"",INDEX('Inspections'!$N$4:$N$503,_calc!$E$429))&amp;". ")&amp;IF(LEN(IF(LEN(INDEX('Inspections'!$O$4:$O$503,_calc!$E$429))=0,"",INDEX('Inspections'!$O$4:$O$503,_calc!$E$429)))=0,"","Backup: "&amp;IF(LEN(INDEX('Inspections'!$O$4:$O$503,_calc!$E$429))=0,"",INDEX('Inspections'!$O$4:$O$503,_calc!$E$429))&amp;". ")&amp;IF(LEN(IF(LEN(INDEX('Inspections'!$R$4:$R$503,_calc!$E$429))=0,"",INDEX('Inspections'!$R$4:$R$503,_calc!$E$429)))=0,"",IF(LEN(INDEX('Inspections'!$R$4:$R$503,_calc!$E$429))=0,"",INDEX('Inspections'!$R$4:$R$503,_calc!$E$429)))))</f>
        <v/>
      </c>
      <c r="G427" s="55">
        <f>IF(_calc!$E$429="","",IF(LEN(INDEX('Inspections'!$Q$4:$Q$503,_calc!$E$429))=0,"",INDEX('Inspections'!$Q$4:$Q$503,_calc!$E$429)))</f>
        <v/>
      </c>
      <c r="K427" s="55">
        <f>IF(_calc!$E$429="","",IF(LEN(INDEX('Inspections'!$P$4:$P$503,_calc!$E$429))=0,"",INDEX('Inspections'!$P$4:$P$503,_calc!$E$429)))</f>
        <v/>
      </c>
    </row>
    <row r="428">
      <c r="A428" s="55">
        <f>IF(_calc!$E$430="","",IF(LEN(INDEX('Inspections'!$C$4:$C$503,_calc!$E$430))=0,"",INDEX('Inspections'!$C$4:$C$503,_calc!$E$430))&amp;" – "&amp;IF(LEN(INDEX('Inspections'!$A$4:$A$503,_calc!$E$430))=0,"",INDEX('Inspections'!$A$4:$A$503,_calc!$E$430)))</f>
        <v/>
      </c>
      <c r="B428" s="55">
        <f>IF(_calc!$E$430="","",IF(ISNUMBER(INDEX('Inspections'!$H$4:$H$503,_calc!$E$430)),TEXT(INDEX('Inspections'!$H$4:$H$503,_calc!$E$430),"yyyy-mm-dd"),""))</f>
        <v/>
      </c>
      <c r="C428" s="55">
        <f>IF(_calc!$E$430="","","Inspection")</f>
        <v/>
      </c>
      <c r="D428" s="55">
        <f>IF(_calc!$E$430="","",IF(ISNUMBER(INDEX('Inspections'!$G$4:$G$503,_calc!$E$430)),TEXT(INDEX('Inspections'!$G$4:$G$503,_calc!$E$430),"yyyy-mm-dd"),""))</f>
        <v/>
      </c>
      <c r="F428" s="55">
        <f>IF(_calc!$E$430="","",TRIM(IF(LEN(IF(LEN(INDEX('Inspections'!$B$4:$B$503,_calc!$E$430))=0,"",INDEX('Inspections'!$B$4:$B$503,_calc!$E$430)))=0,"","System: "&amp;IF(LEN(INDEX('Inspections'!$B$4:$B$503,_calc!$E$430))=0,"",INDEX('Inspections'!$B$4:$B$503,_calc!$E$430))&amp;". ")&amp;IF(LEN(IF(LEN(INDEX('Inspections'!$D$4:$D$503,_calc!$E$430))=0,"",INDEX('Inspections'!$D$4:$D$503,_calc!$E$430)))=0,"","Every: "&amp;IF(LEN(INDEX('Inspections'!$D$4:$D$503,_calc!$E$430))=0,"",INDEX('Inspections'!$D$4:$D$503,_calc!$E$430))&amp;". ")&amp;IF(LEN(IF(LEN(INDEX('Inspections'!$E$4:$E$503,_calc!$E$430))=0,"",INDEX('Inspections'!$E$4:$E$503,_calc!$E$430)))=0,"","Unit: "&amp;IF(LEN(INDEX('Inspections'!$E$4:$E$503,_calc!$E$430))=0,"",INDEX('Inspections'!$E$4:$E$503,_calc!$E$430))&amp;". ")&amp;IF(LEN(IF(LEN(INDEX('Inspections'!$F$4:$F$503,_calc!$E$430))=0,"",INDEX('Inspections'!$F$4:$F$503,_calc!$E$430)))=0,"","Done by: "&amp;IF(LEN(INDEX('Inspections'!$F$4:$F$503,_calc!$E$430))=0,"",INDEX('Inspections'!$F$4:$F$503,_calc!$E$430))&amp;". ")&amp;IF(LEN(IF(LEN(INDEX('Inspections'!$M$4:$M$503,_calc!$E$430))=0,"",INDEX('Inspections'!$M$4:$M$503,_calc!$E$430)))=0,"","Source: "&amp;IF(LEN(INDEX('Inspections'!$M$4:$M$503,_calc!$E$430))=0,"",INDEX('Inspections'!$M$4:$M$503,_calc!$E$430))&amp;". ")&amp;IF(LEN(IF(LEN(INDEX('Inspections'!$N$4:$N$503,_calc!$E$430))=0,"",INDEX('Inspections'!$N$4:$N$503,_calc!$E$430)))=0,"","Owner: "&amp;IF(LEN(INDEX('Inspections'!$N$4:$N$503,_calc!$E$430))=0,"",INDEX('Inspections'!$N$4:$N$503,_calc!$E$430))&amp;". ")&amp;IF(LEN(IF(LEN(INDEX('Inspections'!$O$4:$O$503,_calc!$E$430))=0,"",INDEX('Inspections'!$O$4:$O$503,_calc!$E$430)))=0,"","Backup: "&amp;IF(LEN(INDEX('Inspections'!$O$4:$O$503,_calc!$E$430))=0,"",INDEX('Inspections'!$O$4:$O$503,_calc!$E$430))&amp;". ")&amp;IF(LEN(IF(LEN(INDEX('Inspections'!$R$4:$R$503,_calc!$E$430))=0,"",INDEX('Inspections'!$R$4:$R$503,_calc!$E$430)))=0,"",IF(LEN(INDEX('Inspections'!$R$4:$R$503,_calc!$E$430))=0,"",INDEX('Inspections'!$R$4:$R$503,_calc!$E$430)))))</f>
        <v/>
      </c>
      <c r="G428" s="55">
        <f>IF(_calc!$E$430="","",IF(LEN(INDEX('Inspections'!$Q$4:$Q$503,_calc!$E$430))=0,"",INDEX('Inspections'!$Q$4:$Q$503,_calc!$E$430)))</f>
        <v/>
      </c>
      <c r="K428" s="55">
        <f>IF(_calc!$E$430="","",IF(LEN(INDEX('Inspections'!$P$4:$P$503,_calc!$E$430))=0,"",INDEX('Inspections'!$P$4:$P$503,_calc!$E$430)))</f>
        <v/>
      </c>
    </row>
    <row r="429">
      <c r="A429" s="55">
        <f>IF(_calc!$E$431="","",IF(LEN(INDEX('Inspections'!$C$4:$C$503,_calc!$E$431))=0,"",INDEX('Inspections'!$C$4:$C$503,_calc!$E$431))&amp;" – "&amp;IF(LEN(INDEX('Inspections'!$A$4:$A$503,_calc!$E$431))=0,"",INDEX('Inspections'!$A$4:$A$503,_calc!$E$431)))</f>
        <v/>
      </c>
      <c r="B429" s="55">
        <f>IF(_calc!$E$431="","",IF(ISNUMBER(INDEX('Inspections'!$H$4:$H$503,_calc!$E$431)),TEXT(INDEX('Inspections'!$H$4:$H$503,_calc!$E$431),"yyyy-mm-dd"),""))</f>
        <v/>
      </c>
      <c r="C429" s="55">
        <f>IF(_calc!$E$431="","","Inspection")</f>
        <v/>
      </c>
      <c r="D429" s="55">
        <f>IF(_calc!$E$431="","",IF(ISNUMBER(INDEX('Inspections'!$G$4:$G$503,_calc!$E$431)),TEXT(INDEX('Inspections'!$G$4:$G$503,_calc!$E$431),"yyyy-mm-dd"),""))</f>
        <v/>
      </c>
      <c r="F429" s="55">
        <f>IF(_calc!$E$431="","",TRIM(IF(LEN(IF(LEN(INDEX('Inspections'!$B$4:$B$503,_calc!$E$431))=0,"",INDEX('Inspections'!$B$4:$B$503,_calc!$E$431)))=0,"","System: "&amp;IF(LEN(INDEX('Inspections'!$B$4:$B$503,_calc!$E$431))=0,"",INDEX('Inspections'!$B$4:$B$503,_calc!$E$431))&amp;". ")&amp;IF(LEN(IF(LEN(INDEX('Inspections'!$D$4:$D$503,_calc!$E$431))=0,"",INDEX('Inspections'!$D$4:$D$503,_calc!$E$431)))=0,"","Every: "&amp;IF(LEN(INDEX('Inspections'!$D$4:$D$503,_calc!$E$431))=0,"",INDEX('Inspections'!$D$4:$D$503,_calc!$E$431))&amp;". ")&amp;IF(LEN(IF(LEN(INDEX('Inspections'!$E$4:$E$503,_calc!$E$431))=0,"",INDEX('Inspections'!$E$4:$E$503,_calc!$E$431)))=0,"","Unit: "&amp;IF(LEN(INDEX('Inspections'!$E$4:$E$503,_calc!$E$431))=0,"",INDEX('Inspections'!$E$4:$E$503,_calc!$E$431))&amp;". ")&amp;IF(LEN(IF(LEN(INDEX('Inspections'!$F$4:$F$503,_calc!$E$431))=0,"",INDEX('Inspections'!$F$4:$F$503,_calc!$E$431)))=0,"","Done by: "&amp;IF(LEN(INDEX('Inspections'!$F$4:$F$503,_calc!$E$431))=0,"",INDEX('Inspections'!$F$4:$F$503,_calc!$E$431))&amp;". ")&amp;IF(LEN(IF(LEN(INDEX('Inspections'!$M$4:$M$503,_calc!$E$431))=0,"",INDEX('Inspections'!$M$4:$M$503,_calc!$E$431)))=0,"","Source: "&amp;IF(LEN(INDEX('Inspections'!$M$4:$M$503,_calc!$E$431))=0,"",INDEX('Inspections'!$M$4:$M$503,_calc!$E$431))&amp;". ")&amp;IF(LEN(IF(LEN(INDEX('Inspections'!$N$4:$N$503,_calc!$E$431))=0,"",INDEX('Inspections'!$N$4:$N$503,_calc!$E$431)))=0,"","Owner: "&amp;IF(LEN(INDEX('Inspections'!$N$4:$N$503,_calc!$E$431))=0,"",INDEX('Inspections'!$N$4:$N$503,_calc!$E$431))&amp;". ")&amp;IF(LEN(IF(LEN(INDEX('Inspections'!$O$4:$O$503,_calc!$E$431))=0,"",INDEX('Inspections'!$O$4:$O$503,_calc!$E$431)))=0,"","Backup: "&amp;IF(LEN(INDEX('Inspections'!$O$4:$O$503,_calc!$E$431))=0,"",INDEX('Inspections'!$O$4:$O$503,_calc!$E$431))&amp;". ")&amp;IF(LEN(IF(LEN(INDEX('Inspections'!$R$4:$R$503,_calc!$E$431))=0,"",INDEX('Inspections'!$R$4:$R$503,_calc!$E$431)))=0,"",IF(LEN(INDEX('Inspections'!$R$4:$R$503,_calc!$E$431))=0,"",INDEX('Inspections'!$R$4:$R$503,_calc!$E$431)))))</f>
        <v/>
      </c>
      <c r="G429" s="55">
        <f>IF(_calc!$E$431="","",IF(LEN(INDEX('Inspections'!$Q$4:$Q$503,_calc!$E$431))=0,"",INDEX('Inspections'!$Q$4:$Q$503,_calc!$E$431)))</f>
        <v/>
      </c>
      <c r="K429" s="55">
        <f>IF(_calc!$E$431="","",IF(LEN(INDEX('Inspections'!$P$4:$P$503,_calc!$E$431))=0,"",INDEX('Inspections'!$P$4:$P$503,_calc!$E$431)))</f>
        <v/>
      </c>
    </row>
    <row r="430">
      <c r="A430" s="55">
        <f>IF(_calc!$E$432="","",IF(LEN(INDEX('Inspections'!$C$4:$C$503,_calc!$E$432))=0,"",INDEX('Inspections'!$C$4:$C$503,_calc!$E$432))&amp;" – "&amp;IF(LEN(INDEX('Inspections'!$A$4:$A$503,_calc!$E$432))=0,"",INDEX('Inspections'!$A$4:$A$503,_calc!$E$432)))</f>
        <v/>
      </c>
      <c r="B430" s="55">
        <f>IF(_calc!$E$432="","",IF(ISNUMBER(INDEX('Inspections'!$H$4:$H$503,_calc!$E$432)),TEXT(INDEX('Inspections'!$H$4:$H$503,_calc!$E$432),"yyyy-mm-dd"),""))</f>
        <v/>
      </c>
      <c r="C430" s="55">
        <f>IF(_calc!$E$432="","","Inspection")</f>
        <v/>
      </c>
      <c r="D430" s="55">
        <f>IF(_calc!$E$432="","",IF(ISNUMBER(INDEX('Inspections'!$G$4:$G$503,_calc!$E$432)),TEXT(INDEX('Inspections'!$G$4:$G$503,_calc!$E$432),"yyyy-mm-dd"),""))</f>
        <v/>
      </c>
      <c r="F430" s="55">
        <f>IF(_calc!$E$432="","",TRIM(IF(LEN(IF(LEN(INDEX('Inspections'!$B$4:$B$503,_calc!$E$432))=0,"",INDEX('Inspections'!$B$4:$B$503,_calc!$E$432)))=0,"","System: "&amp;IF(LEN(INDEX('Inspections'!$B$4:$B$503,_calc!$E$432))=0,"",INDEX('Inspections'!$B$4:$B$503,_calc!$E$432))&amp;". ")&amp;IF(LEN(IF(LEN(INDEX('Inspections'!$D$4:$D$503,_calc!$E$432))=0,"",INDEX('Inspections'!$D$4:$D$503,_calc!$E$432)))=0,"","Every: "&amp;IF(LEN(INDEX('Inspections'!$D$4:$D$503,_calc!$E$432))=0,"",INDEX('Inspections'!$D$4:$D$503,_calc!$E$432))&amp;". ")&amp;IF(LEN(IF(LEN(INDEX('Inspections'!$E$4:$E$503,_calc!$E$432))=0,"",INDEX('Inspections'!$E$4:$E$503,_calc!$E$432)))=0,"","Unit: "&amp;IF(LEN(INDEX('Inspections'!$E$4:$E$503,_calc!$E$432))=0,"",INDEX('Inspections'!$E$4:$E$503,_calc!$E$432))&amp;". ")&amp;IF(LEN(IF(LEN(INDEX('Inspections'!$F$4:$F$503,_calc!$E$432))=0,"",INDEX('Inspections'!$F$4:$F$503,_calc!$E$432)))=0,"","Done by: "&amp;IF(LEN(INDEX('Inspections'!$F$4:$F$503,_calc!$E$432))=0,"",INDEX('Inspections'!$F$4:$F$503,_calc!$E$432))&amp;". ")&amp;IF(LEN(IF(LEN(INDEX('Inspections'!$M$4:$M$503,_calc!$E$432))=0,"",INDEX('Inspections'!$M$4:$M$503,_calc!$E$432)))=0,"","Source: "&amp;IF(LEN(INDEX('Inspections'!$M$4:$M$503,_calc!$E$432))=0,"",INDEX('Inspections'!$M$4:$M$503,_calc!$E$432))&amp;". ")&amp;IF(LEN(IF(LEN(INDEX('Inspections'!$N$4:$N$503,_calc!$E$432))=0,"",INDEX('Inspections'!$N$4:$N$503,_calc!$E$432)))=0,"","Owner: "&amp;IF(LEN(INDEX('Inspections'!$N$4:$N$503,_calc!$E$432))=0,"",INDEX('Inspections'!$N$4:$N$503,_calc!$E$432))&amp;". ")&amp;IF(LEN(IF(LEN(INDEX('Inspections'!$O$4:$O$503,_calc!$E$432))=0,"",INDEX('Inspections'!$O$4:$O$503,_calc!$E$432)))=0,"","Backup: "&amp;IF(LEN(INDEX('Inspections'!$O$4:$O$503,_calc!$E$432))=0,"",INDEX('Inspections'!$O$4:$O$503,_calc!$E$432))&amp;". ")&amp;IF(LEN(IF(LEN(INDEX('Inspections'!$R$4:$R$503,_calc!$E$432))=0,"",INDEX('Inspections'!$R$4:$R$503,_calc!$E$432)))=0,"",IF(LEN(INDEX('Inspections'!$R$4:$R$503,_calc!$E$432))=0,"",INDEX('Inspections'!$R$4:$R$503,_calc!$E$432)))))</f>
        <v/>
      </c>
      <c r="G430" s="55">
        <f>IF(_calc!$E$432="","",IF(LEN(INDEX('Inspections'!$Q$4:$Q$503,_calc!$E$432))=0,"",INDEX('Inspections'!$Q$4:$Q$503,_calc!$E$432)))</f>
        <v/>
      </c>
      <c r="K430" s="55">
        <f>IF(_calc!$E$432="","",IF(LEN(INDEX('Inspections'!$P$4:$P$503,_calc!$E$432))=0,"",INDEX('Inspections'!$P$4:$P$503,_calc!$E$432)))</f>
        <v/>
      </c>
    </row>
    <row r="431">
      <c r="A431" s="55">
        <f>IF(_calc!$E$433="","",IF(LEN(INDEX('Inspections'!$C$4:$C$503,_calc!$E$433))=0,"",INDEX('Inspections'!$C$4:$C$503,_calc!$E$433))&amp;" – "&amp;IF(LEN(INDEX('Inspections'!$A$4:$A$503,_calc!$E$433))=0,"",INDEX('Inspections'!$A$4:$A$503,_calc!$E$433)))</f>
        <v/>
      </c>
      <c r="B431" s="55">
        <f>IF(_calc!$E$433="","",IF(ISNUMBER(INDEX('Inspections'!$H$4:$H$503,_calc!$E$433)),TEXT(INDEX('Inspections'!$H$4:$H$503,_calc!$E$433),"yyyy-mm-dd"),""))</f>
        <v/>
      </c>
      <c r="C431" s="55">
        <f>IF(_calc!$E$433="","","Inspection")</f>
        <v/>
      </c>
      <c r="D431" s="55">
        <f>IF(_calc!$E$433="","",IF(ISNUMBER(INDEX('Inspections'!$G$4:$G$503,_calc!$E$433)),TEXT(INDEX('Inspections'!$G$4:$G$503,_calc!$E$433),"yyyy-mm-dd"),""))</f>
        <v/>
      </c>
      <c r="F431" s="55">
        <f>IF(_calc!$E$433="","",TRIM(IF(LEN(IF(LEN(INDEX('Inspections'!$B$4:$B$503,_calc!$E$433))=0,"",INDEX('Inspections'!$B$4:$B$503,_calc!$E$433)))=0,"","System: "&amp;IF(LEN(INDEX('Inspections'!$B$4:$B$503,_calc!$E$433))=0,"",INDEX('Inspections'!$B$4:$B$503,_calc!$E$433))&amp;". ")&amp;IF(LEN(IF(LEN(INDEX('Inspections'!$D$4:$D$503,_calc!$E$433))=0,"",INDEX('Inspections'!$D$4:$D$503,_calc!$E$433)))=0,"","Every: "&amp;IF(LEN(INDEX('Inspections'!$D$4:$D$503,_calc!$E$433))=0,"",INDEX('Inspections'!$D$4:$D$503,_calc!$E$433))&amp;". ")&amp;IF(LEN(IF(LEN(INDEX('Inspections'!$E$4:$E$503,_calc!$E$433))=0,"",INDEX('Inspections'!$E$4:$E$503,_calc!$E$433)))=0,"","Unit: "&amp;IF(LEN(INDEX('Inspections'!$E$4:$E$503,_calc!$E$433))=0,"",INDEX('Inspections'!$E$4:$E$503,_calc!$E$433))&amp;". ")&amp;IF(LEN(IF(LEN(INDEX('Inspections'!$F$4:$F$503,_calc!$E$433))=0,"",INDEX('Inspections'!$F$4:$F$503,_calc!$E$433)))=0,"","Done by: "&amp;IF(LEN(INDEX('Inspections'!$F$4:$F$503,_calc!$E$433))=0,"",INDEX('Inspections'!$F$4:$F$503,_calc!$E$433))&amp;". ")&amp;IF(LEN(IF(LEN(INDEX('Inspections'!$M$4:$M$503,_calc!$E$433))=0,"",INDEX('Inspections'!$M$4:$M$503,_calc!$E$433)))=0,"","Source: "&amp;IF(LEN(INDEX('Inspections'!$M$4:$M$503,_calc!$E$433))=0,"",INDEX('Inspections'!$M$4:$M$503,_calc!$E$433))&amp;". ")&amp;IF(LEN(IF(LEN(INDEX('Inspections'!$N$4:$N$503,_calc!$E$433))=0,"",INDEX('Inspections'!$N$4:$N$503,_calc!$E$433)))=0,"","Owner: "&amp;IF(LEN(INDEX('Inspections'!$N$4:$N$503,_calc!$E$433))=0,"",INDEX('Inspections'!$N$4:$N$503,_calc!$E$433))&amp;". ")&amp;IF(LEN(IF(LEN(INDEX('Inspections'!$O$4:$O$503,_calc!$E$433))=0,"",INDEX('Inspections'!$O$4:$O$503,_calc!$E$433)))=0,"","Backup: "&amp;IF(LEN(INDEX('Inspections'!$O$4:$O$503,_calc!$E$433))=0,"",INDEX('Inspections'!$O$4:$O$503,_calc!$E$433))&amp;". ")&amp;IF(LEN(IF(LEN(INDEX('Inspections'!$R$4:$R$503,_calc!$E$433))=0,"",INDEX('Inspections'!$R$4:$R$503,_calc!$E$433)))=0,"",IF(LEN(INDEX('Inspections'!$R$4:$R$503,_calc!$E$433))=0,"",INDEX('Inspections'!$R$4:$R$503,_calc!$E$433)))))</f>
        <v/>
      </c>
      <c r="G431" s="55">
        <f>IF(_calc!$E$433="","",IF(LEN(INDEX('Inspections'!$Q$4:$Q$503,_calc!$E$433))=0,"",INDEX('Inspections'!$Q$4:$Q$503,_calc!$E$433)))</f>
        <v/>
      </c>
      <c r="K431" s="55">
        <f>IF(_calc!$E$433="","",IF(LEN(INDEX('Inspections'!$P$4:$P$503,_calc!$E$433))=0,"",INDEX('Inspections'!$P$4:$P$503,_calc!$E$433)))</f>
        <v/>
      </c>
    </row>
    <row r="432">
      <c r="A432" s="55">
        <f>IF(_calc!$E$434="","",IF(LEN(INDEX('Inspections'!$C$4:$C$503,_calc!$E$434))=0,"",INDEX('Inspections'!$C$4:$C$503,_calc!$E$434))&amp;" – "&amp;IF(LEN(INDEX('Inspections'!$A$4:$A$503,_calc!$E$434))=0,"",INDEX('Inspections'!$A$4:$A$503,_calc!$E$434)))</f>
        <v/>
      </c>
      <c r="B432" s="55">
        <f>IF(_calc!$E$434="","",IF(ISNUMBER(INDEX('Inspections'!$H$4:$H$503,_calc!$E$434)),TEXT(INDEX('Inspections'!$H$4:$H$503,_calc!$E$434),"yyyy-mm-dd"),""))</f>
        <v/>
      </c>
      <c r="C432" s="55">
        <f>IF(_calc!$E$434="","","Inspection")</f>
        <v/>
      </c>
      <c r="D432" s="55">
        <f>IF(_calc!$E$434="","",IF(ISNUMBER(INDEX('Inspections'!$G$4:$G$503,_calc!$E$434)),TEXT(INDEX('Inspections'!$G$4:$G$503,_calc!$E$434),"yyyy-mm-dd"),""))</f>
        <v/>
      </c>
      <c r="F432" s="55">
        <f>IF(_calc!$E$434="","",TRIM(IF(LEN(IF(LEN(INDEX('Inspections'!$B$4:$B$503,_calc!$E$434))=0,"",INDEX('Inspections'!$B$4:$B$503,_calc!$E$434)))=0,"","System: "&amp;IF(LEN(INDEX('Inspections'!$B$4:$B$503,_calc!$E$434))=0,"",INDEX('Inspections'!$B$4:$B$503,_calc!$E$434))&amp;". ")&amp;IF(LEN(IF(LEN(INDEX('Inspections'!$D$4:$D$503,_calc!$E$434))=0,"",INDEX('Inspections'!$D$4:$D$503,_calc!$E$434)))=0,"","Every: "&amp;IF(LEN(INDEX('Inspections'!$D$4:$D$503,_calc!$E$434))=0,"",INDEX('Inspections'!$D$4:$D$503,_calc!$E$434))&amp;". ")&amp;IF(LEN(IF(LEN(INDEX('Inspections'!$E$4:$E$503,_calc!$E$434))=0,"",INDEX('Inspections'!$E$4:$E$503,_calc!$E$434)))=0,"","Unit: "&amp;IF(LEN(INDEX('Inspections'!$E$4:$E$503,_calc!$E$434))=0,"",INDEX('Inspections'!$E$4:$E$503,_calc!$E$434))&amp;". ")&amp;IF(LEN(IF(LEN(INDEX('Inspections'!$F$4:$F$503,_calc!$E$434))=0,"",INDEX('Inspections'!$F$4:$F$503,_calc!$E$434)))=0,"","Done by: "&amp;IF(LEN(INDEX('Inspections'!$F$4:$F$503,_calc!$E$434))=0,"",INDEX('Inspections'!$F$4:$F$503,_calc!$E$434))&amp;". ")&amp;IF(LEN(IF(LEN(INDEX('Inspections'!$M$4:$M$503,_calc!$E$434))=0,"",INDEX('Inspections'!$M$4:$M$503,_calc!$E$434)))=0,"","Source: "&amp;IF(LEN(INDEX('Inspections'!$M$4:$M$503,_calc!$E$434))=0,"",INDEX('Inspections'!$M$4:$M$503,_calc!$E$434))&amp;". ")&amp;IF(LEN(IF(LEN(INDEX('Inspections'!$N$4:$N$503,_calc!$E$434))=0,"",INDEX('Inspections'!$N$4:$N$503,_calc!$E$434)))=0,"","Owner: "&amp;IF(LEN(INDEX('Inspections'!$N$4:$N$503,_calc!$E$434))=0,"",INDEX('Inspections'!$N$4:$N$503,_calc!$E$434))&amp;". ")&amp;IF(LEN(IF(LEN(INDEX('Inspections'!$O$4:$O$503,_calc!$E$434))=0,"",INDEX('Inspections'!$O$4:$O$503,_calc!$E$434)))=0,"","Backup: "&amp;IF(LEN(INDEX('Inspections'!$O$4:$O$503,_calc!$E$434))=0,"",INDEX('Inspections'!$O$4:$O$503,_calc!$E$434))&amp;". ")&amp;IF(LEN(IF(LEN(INDEX('Inspections'!$R$4:$R$503,_calc!$E$434))=0,"",INDEX('Inspections'!$R$4:$R$503,_calc!$E$434)))=0,"",IF(LEN(INDEX('Inspections'!$R$4:$R$503,_calc!$E$434))=0,"",INDEX('Inspections'!$R$4:$R$503,_calc!$E$434)))))</f>
        <v/>
      </c>
      <c r="G432" s="55">
        <f>IF(_calc!$E$434="","",IF(LEN(INDEX('Inspections'!$Q$4:$Q$503,_calc!$E$434))=0,"",INDEX('Inspections'!$Q$4:$Q$503,_calc!$E$434)))</f>
        <v/>
      </c>
      <c r="K432" s="55">
        <f>IF(_calc!$E$434="","",IF(LEN(INDEX('Inspections'!$P$4:$P$503,_calc!$E$434))=0,"",INDEX('Inspections'!$P$4:$P$503,_calc!$E$434)))</f>
        <v/>
      </c>
    </row>
    <row r="433">
      <c r="A433" s="55">
        <f>IF(_calc!$E$435="","",IF(LEN(INDEX('Inspections'!$C$4:$C$503,_calc!$E$435))=0,"",INDEX('Inspections'!$C$4:$C$503,_calc!$E$435))&amp;" – "&amp;IF(LEN(INDEX('Inspections'!$A$4:$A$503,_calc!$E$435))=0,"",INDEX('Inspections'!$A$4:$A$503,_calc!$E$435)))</f>
        <v/>
      </c>
      <c r="B433" s="55">
        <f>IF(_calc!$E$435="","",IF(ISNUMBER(INDEX('Inspections'!$H$4:$H$503,_calc!$E$435)),TEXT(INDEX('Inspections'!$H$4:$H$503,_calc!$E$435),"yyyy-mm-dd"),""))</f>
        <v/>
      </c>
      <c r="C433" s="55">
        <f>IF(_calc!$E$435="","","Inspection")</f>
        <v/>
      </c>
      <c r="D433" s="55">
        <f>IF(_calc!$E$435="","",IF(ISNUMBER(INDEX('Inspections'!$G$4:$G$503,_calc!$E$435)),TEXT(INDEX('Inspections'!$G$4:$G$503,_calc!$E$435),"yyyy-mm-dd"),""))</f>
        <v/>
      </c>
      <c r="F433" s="55">
        <f>IF(_calc!$E$435="","",TRIM(IF(LEN(IF(LEN(INDEX('Inspections'!$B$4:$B$503,_calc!$E$435))=0,"",INDEX('Inspections'!$B$4:$B$503,_calc!$E$435)))=0,"","System: "&amp;IF(LEN(INDEX('Inspections'!$B$4:$B$503,_calc!$E$435))=0,"",INDEX('Inspections'!$B$4:$B$503,_calc!$E$435))&amp;". ")&amp;IF(LEN(IF(LEN(INDEX('Inspections'!$D$4:$D$503,_calc!$E$435))=0,"",INDEX('Inspections'!$D$4:$D$503,_calc!$E$435)))=0,"","Every: "&amp;IF(LEN(INDEX('Inspections'!$D$4:$D$503,_calc!$E$435))=0,"",INDEX('Inspections'!$D$4:$D$503,_calc!$E$435))&amp;". ")&amp;IF(LEN(IF(LEN(INDEX('Inspections'!$E$4:$E$503,_calc!$E$435))=0,"",INDEX('Inspections'!$E$4:$E$503,_calc!$E$435)))=0,"","Unit: "&amp;IF(LEN(INDEX('Inspections'!$E$4:$E$503,_calc!$E$435))=0,"",INDEX('Inspections'!$E$4:$E$503,_calc!$E$435))&amp;". ")&amp;IF(LEN(IF(LEN(INDEX('Inspections'!$F$4:$F$503,_calc!$E$435))=0,"",INDEX('Inspections'!$F$4:$F$503,_calc!$E$435)))=0,"","Done by: "&amp;IF(LEN(INDEX('Inspections'!$F$4:$F$503,_calc!$E$435))=0,"",INDEX('Inspections'!$F$4:$F$503,_calc!$E$435))&amp;". ")&amp;IF(LEN(IF(LEN(INDEX('Inspections'!$M$4:$M$503,_calc!$E$435))=0,"",INDEX('Inspections'!$M$4:$M$503,_calc!$E$435)))=0,"","Source: "&amp;IF(LEN(INDEX('Inspections'!$M$4:$M$503,_calc!$E$435))=0,"",INDEX('Inspections'!$M$4:$M$503,_calc!$E$435))&amp;". ")&amp;IF(LEN(IF(LEN(INDEX('Inspections'!$N$4:$N$503,_calc!$E$435))=0,"",INDEX('Inspections'!$N$4:$N$503,_calc!$E$435)))=0,"","Owner: "&amp;IF(LEN(INDEX('Inspections'!$N$4:$N$503,_calc!$E$435))=0,"",INDEX('Inspections'!$N$4:$N$503,_calc!$E$435))&amp;". ")&amp;IF(LEN(IF(LEN(INDEX('Inspections'!$O$4:$O$503,_calc!$E$435))=0,"",INDEX('Inspections'!$O$4:$O$503,_calc!$E$435)))=0,"","Backup: "&amp;IF(LEN(INDEX('Inspections'!$O$4:$O$503,_calc!$E$435))=0,"",INDEX('Inspections'!$O$4:$O$503,_calc!$E$435))&amp;". ")&amp;IF(LEN(IF(LEN(INDEX('Inspections'!$R$4:$R$503,_calc!$E$435))=0,"",INDEX('Inspections'!$R$4:$R$503,_calc!$E$435)))=0,"",IF(LEN(INDEX('Inspections'!$R$4:$R$503,_calc!$E$435))=0,"",INDEX('Inspections'!$R$4:$R$503,_calc!$E$435)))))</f>
        <v/>
      </c>
      <c r="G433" s="55">
        <f>IF(_calc!$E$435="","",IF(LEN(INDEX('Inspections'!$Q$4:$Q$503,_calc!$E$435))=0,"",INDEX('Inspections'!$Q$4:$Q$503,_calc!$E$435)))</f>
        <v/>
      </c>
      <c r="K433" s="55">
        <f>IF(_calc!$E$435="","",IF(LEN(INDEX('Inspections'!$P$4:$P$503,_calc!$E$435))=0,"",INDEX('Inspections'!$P$4:$P$503,_calc!$E$435)))</f>
        <v/>
      </c>
    </row>
    <row r="434">
      <c r="A434" s="55">
        <f>IF(_calc!$E$436="","",IF(LEN(INDEX('Inspections'!$C$4:$C$503,_calc!$E$436))=0,"",INDEX('Inspections'!$C$4:$C$503,_calc!$E$436))&amp;" – "&amp;IF(LEN(INDEX('Inspections'!$A$4:$A$503,_calc!$E$436))=0,"",INDEX('Inspections'!$A$4:$A$503,_calc!$E$436)))</f>
        <v/>
      </c>
      <c r="B434" s="55">
        <f>IF(_calc!$E$436="","",IF(ISNUMBER(INDEX('Inspections'!$H$4:$H$503,_calc!$E$436)),TEXT(INDEX('Inspections'!$H$4:$H$503,_calc!$E$436),"yyyy-mm-dd"),""))</f>
        <v/>
      </c>
      <c r="C434" s="55">
        <f>IF(_calc!$E$436="","","Inspection")</f>
        <v/>
      </c>
      <c r="D434" s="55">
        <f>IF(_calc!$E$436="","",IF(ISNUMBER(INDEX('Inspections'!$G$4:$G$503,_calc!$E$436)),TEXT(INDEX('Inspections'!$G$4:$G$503,_calc!$E$436),"yyyy-mm-dd"),""))</f>
        <v/>
      </c>
      <c r="F434" s="55">
        <f>IF(_calc!$E$436="","",TRIM(IF(LEN(IF(LEN(INDEX('Inspections'!$B$4:$B$503,_calc!$E$436))=0,"",INDEX('Inspections'!$B$4:$B$503,_calc!$E$436)))=0,"","System: "&amp;IF(LEN(INDEX('Inspections'!$B$4:$B$503,_calc!$E$436))=0,"",INDEX('Inspections'!$B$4:$B$503,_calc!$E$436))&amp;". ")&amp;IF(LEN(IF(LEN(INDEX('Inspections'!$D$4:$D$503,_calc!$E$436))=0,"",INDEX('Inspections'!$D$4:$D$503,_calc!$E$436)))=0,"","Every: "&amp;IF(LEN(INDEX('Inspections'!$D$4:$D$503,_calc!$E$436))=0,"",INDEX('Inspections'!$D$4:$D$503,_calc!$E$436))&amp;". ")&amp;IF(LEN(IF(LEN(INDEX('Inspections'!$E$4:$E$503,_calc!$E$436))=0,"",INDEX('Inspections'!$E$4:$E$503,_calc!$E$436)))=0,"","Unit: "&amp;IF(LEN(INDEX('Inspections'!$E$4:$E$503,_calc!$E$436))=0,"",INDEX('Inspections'!$E$4:$E$503,_calc!$E$436))&amp;". ")&amp;IF(LEN(IF(LEN(INDEX('Inspections'!$F$4:$F$503,_calc!$E$436))=0,"",INDEX('Inspections'!$F$4:$F$503,_calc!$E$436)))=0,"","Done by: "&amp;IF(LEN(INDEX('Inspections'!$F$4:$F$503,_calc!$E$436))=0,"",INDEX('Inspections'!$F$4:$F$503,_calc!$E$436))&amp;". ")&amp;IF(LEN(IF(LEN(INDEX('Inspections'!$M$4:$M$503,_calc!$E$436))=0,"",INDEX('Inspections'!$M$4:$M$503,_calc!$E$436)))=0,"","Source: "&amp;IF(LEN(INDEX('Inspections'!$M$4:$M$503,_calc!$E$436))=0,"",INDEX('Inspections'!$M$4:$M$503,_calc!$E$436))&amp;". ")&amp;IF(LEN(IF(LEN(INDEX('Inspections'!$N$4:$N$503,_calc!$E$436))=0,"",INDEX('Inspections'!$N$4:$N$503,_calc!$E$436)))=0,"","Owner: "&amp;IF(LEN(INDEX('Inspections'!$N$4:$N$503,_calc!$E$436))=0,"",INDEX('Inspections'!$N$4:$N$503,_calc!$E$436))&amp;". ")&amp;IF(LEN(IF(LEN(INDEX('Inspections'!$O$4:$O$503,_calc!$E$436))=0,"",INDEX('Inspections'!$O$4:$O$503,_calc!$E$436)))=0,"","Backup: "&amp;IF(LEN(INDEX('Inspections'!$O$4:$O$503,_calc!$E$436))=0,"",INDEX('Inspections'!$O$4:$O$503,_calc!$E$436))&amp;". ")&amp;IF(LEN(IF(LEN(INDEX('Inspections'!$R$4:$R$503,_calc!$E$436))=0,"",INDEX('Inspections'!$R$4:$R$503,_calc!$E$436)))=0,"",IF(LEN(INDEX('Inspections'!$R$4:$R$503,_calc!$E$436))=0,"",INDEX('Inspections'!$R$4:$R$503,_calc!$E$436)))))</f>
        <v/>
      </c>
      <c r="G434" s="55">
        <f>IF(_calc!$E$436="","",IF(LEN(INDEX('Inspections'!$Q$4:$Q$503,_calc!$E$436))=0,"",INDEX('Inspections'!$Q$4:$Q$503,_calc!$E$436)))</f>
        <v/>
      </c>
      <c r="K434" s="55">
        <f>IF(_calc!$E$436="","",IF(LEN(INDEX('Inspections'!$P$4:$P$503,_calc!$E$436))=0,"",INDEX('Inspections'!$P$4:$P$503,_calc!$E$436)))</f>
        <v/>
      </c>
    </row>
    <row r="435">
      <c r="A435" s="55">
        <f>IF(_calc!$E$437="","",IF(LEN(INDEX('Inspections'!$C$4:$C$503,_calc!$E$437))=0,"",INDEX('Inspections'!$C$4:$C$503,_calc!$E$437))&amp;" – "&amp;IF(LEN(INDEX('Inspections'!$A$4:$A$503,_calc!$E$437))=0,"",INDEX('Inspections'!$A$4:$A$503,_calc!$E$437)))</f>
        <v/>
      </c>
      <c r="B435" s="55">
        <f>IF(_calc!$E$437="","",IF(ISNUMBER(INDEX('Inspections'!$H$4:$H$503,_calc!$E$437)),TEXT(INDEX('Inspections'!$H$4:$H$503,_calc!$E$437),"yyyy-mm-dd"),""))</f>
        <v/>
      </c>
      <c r="C435" s="55">
        <f>IF(_calc!$E$437="","","Inspection")</f>
        <v/>
      </c>
      <c r="D435" s="55">
        <f>IF(_calc!$E$437="","",IF(ISNUMBER(INDEX('Inspections'!$G$4:$G$503,_calc!$E$437)),TEXT(INDEX('Inspections'!$G$4:$G$503,_calc!$E$437),"yyyy-mm-dd"),""))</f>
        <v/>
      </c>
      <c r="F435" s="55">
        <f>IF(_calc!$E$437="","",TRIM(IF(LEN(IF(LEN(INDEX('Inspections'!$B$4:$B$503,_calc!$E$437))=0,"",INDEX('Inspections'!$B$4:$B$503,_calc!$E$437)))=0,"","System: "&amp;IF(LEN(INDEX('Inspections'!$B$4:$B$503,_calc!$E$437))=0,"",INDEX('Inspections'!$B$4:$B$503,_calc!$E$437))&amp;". ")&amp;IF(LEN(IF(LEN(INDEX('Inspections'!$D$4:$D$503,_calc!$E$437))=0,"",INDEX('Inspections'!$D$4:$D$503,_calc!$E$437)))=0,"","Every: "&amp;IF(LEN(INDEX('Inspections'!$D$4:$D$503,_calc!$E$437))=0,"",INDEX('Inspections'!$D$4:$D$503,_calc!$E$437))&amp;". ")&amp;IF(LEN(IF(LEN(INDEX('Inspections'!$E$4:$E$503,_calc!$E$437))=0,"",INDEX('Inspections'!$E$4:$E$503,_calc!$E$437)))=0,"","Unit: "&amp;IF(LEN(INDEX('Inspections'!$E$4:$E$503,_calc!$E$437))=0,"",INDEX('Inspections'!$E$4:$E$503,_calc!$E$437))&amp;". ")&amp;IF(LEN(IF(LEN(INDEX('Inspections'!$F$4:$F$503,_calc!$E$437))=0,"",INDEX('Inspections'!$F$4:$F$503,_calc!$E$437)))=0,"","Done by: "&amp;IF(LEN(INDEX('Inspections'!$F$4:$F$503,_calc!$E$437))=0,"",INDEX('Inspections'!$F$4:$F$503,_calc!$E$437))&amp;". ")&amp;IF(LEN(IF(LEN(INDEX('Inspections'!$M$4:$M$503,_calc!$E$437))=0,"",INDEX('Inspections'!$M$4:$M$503,_calc!$E$437)))=0,"","Source: "&amp;IF(LEN(INDEX('Inspections'!$M$4:$M$503,_calc!$E$437))=0,"",INDEX('Inspections'!$M$4:$M$503,_calc!$E$437))&amp;". ")&amp;IF(LEN(IF(LEN(INDEX('Inspections'!$N$4:$N$503,_calc!$E$437))=0,"",INDEX('Inspections'!$N$4:$N$503,_calc!$E$437)))=0,"","Owner: "&amp;IF(LEN(INDEX('Inspections'!$N$4:$N$503,_calc!$E$437))=0,"",INDEX('Inspections'!$N$4:$N$503,_calc!$E$437))&amp;". ")&amp;IF(LEN(IF(LEN(INDEX('Inspections'!$O$4:$O$503,_calc!$E$437))=0,"",INDEX('Inspections'!$O$4:$O$503,_calc!$E$437)))=0,"","Backup: "&amp;IF(LEN(INDEX('Inspections'!$O$4:$O$503,_calc!$E$437))=0,"",INDEX('Inspections'!$O$4:$O$503,_calc!$E$437))&amp;". ")&amp;IF(LEN(IF(LEN(INDEX('Inspections'!$R$4:$R$503,_calc!$E$437))=0,"",INDEX('Inspections'!$R$4:$R$503,_calc!$E$437)))=0,"",IF(LEN(INDEX('Inspections'!$R$4:$R$503,_calc!$E$437))=0,"",INDEX('Inspections'!$R$4:$R$503,_calc!$E$437)))))</f>
        <v/>
      </c>
      <c r="G435" s="55">
        <f>IF(_calc!$E$437="","",IF(LEN(INDEX('Inspections'!$Q$4:$Q$503,_calc!$E$437))=0,"",INDEX('Inspections'!$Q$4:$Q$503,_calc!$E$437)))</f>
        <v/>
      </c>
      <c r="K435" s="55">
        <f>IF(_calc!$E$437="","",IF(LEN(INDEX('Inspections'!$P$4:$P$503,_calc!$E$437))=0,"",INDEX('Inspections'!$P$4:$P$503,_calc!$E$437)))</f>
        <v/>
      </c>
    </row>
    <row r="436">
      <c r="A436" s="55">
        <f>IF(_calc!$E$438="","",IF(LEN(INDEX('Inspections'!$C$4:$C$503,_calc!$E$438))=0,"",INDEX('Inspections'!$C$4:$C$503,_calc!$E$438))&amp;" – "&amp;IF(LEN(INDEX('Inspections'!$A$4:$A$503,_calc!$E$438))=0,"",INDEX('Inspections'!$A$4:$A$503,_calc!$E$438)))</f>
        <v/>
      </c>
      <c r="B436" s="55">
        <f>IF(_calc!$E$438="","",IF(ISNUMBER(INDEX('Inspections'!$H$4:$H$503,_calc!$E$438)),TEXT(INDEX('Inspections'!$H$4:$H$503,_calc!$E$438),"yyyy-mm-dd"),""))</f>
        <v/>
      </c>
      <c r="C436" s="55">
        <f>IF(_calc!$E$438="","","Inspection")</f>
        <v/>
      </c>
      <c r="D436" s="55">
        <f>IF(_calc!$E$438="","",IF(ISNUMBER(INDEX('Inspections'!$G$4:$G$503,_calc!$E$438)),TEXT(INDEX('Inspections'!$G$4:$G$503,_calc!$E$438),"yyyy-mm-dd"),""))</f>
        <v/>
      </c>
      <c r="F436" s="55">
        <f>IF(_calc!$E$438="","",TRIM(IF(LEN(IF(LEN(INDEX('Inspections'!$B$4:$B$503,_calc!$E$438))=0,"",INDEX('Inspections'!$B$4:$B$503,_calc!$E$438)))=0,"","System: "&amp;IF(LEN(INDEX('Inspections'!$B$4:$B$503,_calc!$E$438))=0,"",INDEX('Inspections'!$B$4:$B$503,_calc!$E$438))&amp;". ")&amp;IF(LEN(IF(LEN(INDEX('Inspections'!$D$4:$D$503,_calc!$E$438))=0,"",INDEX('Inspections'!$D$4:$D$503,_calc!$E$438)))=0,"","Every: "&amp;IF(LEN(INDEX('Inspections'!$D$4:$D$503,_calc!$E$438))=0,"",INDEX('Inspections'!$D$4:$D$503,_calc!$E$438))&amp;". ")&amp;IF(LEN(IF(LEN(INDEX('Inspections'!$E$4:$E$503,_calc!$E$438))=0,"",INDEX('Inspections'!$E$4:$E$503,_calc!$E$438)))=0,"","Unit: "&amp;IF(LEN(INDEX('Inspections'!$E$4:$E$503,_calc!$E$438))=0,"",INDEX('Inspections'!$E$4:$E$503,_calc!$E$438))&amp;". ")&amp;IF(LEN(IF(LEN(INDEX('Inspections'!$F$4:$F$503,_calc!$E$438))=0,"",INDEX('Inspections'!$F$4:$F$503,_calc!$E$438)))=0,"","Done by: "&amp;IF(LEN(INDEX('Inspections'!$F$4:$F$503,_calc!$E$438))=0,"",INDEX('Inspections'!$F$4:$F$503,_calc!$E$438))&amp;". ")&amp;IF(LEN(IF(LEN(INDEX('Inspections'!$M$4:$M$503,_calc!$E$438))=0,"",INDEX('Inspections'!$M$4:$M$503,_calc!$E$438)))=0,"","Source: "&amp;IF(LEN(INDEX('Inspections'!$M$4:$M$503,_calc!$E$438))=0,"",INDEX('Inspections'!$M$4:$M$503,_calc!$E$438))&amp;". ")&amp;IF(LEN(IF(LEN(INDEX('Inspections'!$N$4:$N$503,_calc!$E$438))=0,"",INDEX('Inspections'!$N$4:$N$503,_calc!$E$438)))=0,"","Owner: "&amp;IF(LEN(INDEX('Inspections'!$N$4:$N$503,_calc!$E$438))=0,"",INDEX('Inspections'!$N$4:$N$503,_calc!$E$438))&amp;". ")&amp;IF(LEN(IF(LEN(INDEX('Inspections'!$O$4:$O$503,_calc!$E$438))=0,"",INDEX('Inspections'!$O$4:$O$503,_calc!$E$438)))=0,"","Backup: "&amp;IF(LEN(INDEX('Inspections'!$O$4:$O$503,_calc!$E$438))=0,"",INDEX('Inspections'!$O$4:$O$503,_calc!$E$438))&amp;". ")&amp;IF(LEN(IF(LEN(INDEX('Inspections'!$R$4:$R$503,_calc!$E$438))=0,"",INDEX('Inspections'!$R$4:$R$503,_calc!$E$438)))=0,"",IF(LEN(INDEX('Inspections'!$R$4:$R$503,_calc!$E$438))=0,"",INDEX('Inspections'!$R$4:$R$503,_calc!$E$438)))))</f>
        <v/>
      </c>
      <c r="G436" s="55">
        <f>IF(_calc!$E$438="","",IF(LEN(INDEX('Inspections'!$Q$4:$Q$503,_calc!$E$438))=0,"",INDEX('Inspections'!$Q$4:$Q$503,_calc!$E$438)))</f>
        <v/>
      </c>
      <c r="K436" s="55">
        <f>IF(_calc!$E$438="","",IF(LEN(INDEX('Inspections'!$P$4:$P$503,_calc!$E$438))=0,"",INDEX('Inspections'!$P$4:$P$503,_calc!$E$438)))</f>
        <v/>
      </c>
    </row>
    <row r="437">
      <c r="A437" s="55">
        <f>IF(_calc!$E$439="","",IF(LEN(INDEX('Inspections'!$C$4:$C$503,_calc!$E$439))=0,"",INDEX('Inspections'!$C$4:$C$503,_calc!$E$439))&amp;" – "&amp;IF(LEN(INDEX('Inspections'!$A$4:$A$503,_calc!$E$439))=0,"",INDEX('Inspections'!$A$4:$A$503,_calc!$E$439)))</f>
        <v/>
      </c>
      <c r="B437" s="55">
        <f>IF(_calc!$E$439="","",IF(ISNUMBER(INDEX('Inspections'!$H$4:$H$503,_calc!$E$439)),TEXT(INDEX('Inspections'!$H$4:$H$503,_calc!$E$439),"yyyy-mm-dd"),""))</f>
        <v/>
      </c>
      <c r="C437" s="55">
        <f>IF(_calc!$E$439="","","Inspection")</f>
        <v/>
      </c>
      <c r="D437" s="55">
        <f>IF(_calc!$E$439="","",IF(ISNUMBER(INDEX('Inspections'!$G$4:$G$503,_calc!$E$439)),TEXT(INDEX('Inspections'!$G$4:$G$503,_calc!$E$439),"yyyy-mm-dd"),""))</f>
        <v/>
      </c>
      <c r="F437" s="55">
        <f>IF(_calc!$E$439="","",TRIM(IF(LEN(IF(LEN(INDEX('Inspections'!$B$4:$B$503,_calc!$E$439))=0,"",INDEX('Inspections'!$B$4:$B$503,_calc!$E$439)))=0,"","System: "&amp;IF(LEN(INDEX('Inspections'!$B$4:$B$503,_calc!$E$439))=0,"",INDEX('Inspections'!$B$4:$B$503,_calc!$E$439))&amp;". ")&amp;IF(LEN(IF(LEN(INDEX('Inspections'!$D$4:$D$503,_calc!$E$439))=0,"",INDEX('Inspections'!$D$4:$D$503,_calc!$E$439)))=0,"","Every: "&amp;IF(LEN(INDEX('Inspections'!$D$4:$D$503,_calc!$E$439))=0,"",INDEX('Inspections'!$D$4:$D$503,_calc!$E$439))&amp;". ")&amp;IF(LEN(IF(LEN(INDEX('Inspections'!$E$4:$E$503,_calc!$E$439))=0,"",INDEX('Inspections'!$E$4:$E$503,_calc!$E$439)))=0,"","Unit: "&amp;IF(LEN(INDEX('Inspections'!$E$4:$E$503,_calc!$E$439))=0,"",INDEX('Inspections'!$E$4:$E$503,_calc!$E$439))&amp;". ")&amp;IF(LEN(IF(LEN(INDEX('Inspections'!$F$4:$F$503,_calc!$E$439))=0,"",INDEX('Inspections'!$F$4:$F$503,_calc!$E$439)))=0,"","Done by: "&amp;IF(LEN(INDEX('Inspections'!$F$4:$F$503,_calc!$E$439))=0,"",INDEX('Inspections'!$F$4:$F$503,_calc!$E$439))&amp;". ")&amp;IF(LEN(IF(LEN(INDEX('Inspections'!$M$4:$M$503,_calc!$E$439))=0,"",INDEX('Inspections'!$M$4:$M$503,_calc!$E$439)))=0,"","Source: "&amp;IF(LEN(INDEX('Inspections'!$M$4:$M$503,_calc!$E$439))=0,"",INDEX('Inspections'!$M$4:$M$503,_calc!$E$439))&amp;". ")&amp;IF(LEN(IF(LEN(INDEX('Inspections'!$N$4:$N$503,_calc!$E$439))=0,"",INDEX('Inspections'!$N$4:$N$503,_calc!$E$439)))=0,"","Owner: "&amp;IF(LEN(INDEX('Inspections'!$N$4:$N$503,_calc!$E$439))=0,"",INDEX('Inspections'!$N$4:$N$503,_calc!$E$439))&amp;". ")&amp;IF(LEN(IF(LEN(INDEX('Inspections'!$O$4:$O$503,_calc!$E$439))=0,"",INDEX('Inspections'!$O$4:$O$503,_calc!$E$439)))=0,"","Backup: "&amp;IF(LEN(INDEX('Inspections'!$O$4:$O$503,_calc!$E$439))=0,"",INDEX('Inspections'!$O$4:$O$503,_calc!$E$439))&amp;". ")&amp;IF(LEN(IF(LEN(INDEX('Inspections'!$R$4:$R$503,_calc!$E$439))=0,"",INDEX('Inspections'!$R$4:$R$503,_calc!$E$439)))=0,"",IF(LEN(INDEX('Inspections'!$R$4:$R$503,_calc!$E$439))=0,"",INDEX('Inspections'!$R$4:$R$503,_calc!$E$439)))))</f>
        <v/>
      </c>
      <c r="G437" s="55">
        <f>IF(_calc!$E$439="","",IF(LEN(INDEX('Inspections'!$Q$4:$Q$503,_calc!$E$439))=0,"",INDEX('Inspections'!$Q$4:$Q$503,_calc!$E$439)))</f>
        <v/>
      </c>
      <c r="K437" s="55">
        <f>IF(_calc!$E$439="","",IF(LEN(INDEX('Inspections'!$P$4:$P$503,_calc!$E$439))=0,"",INDEX('Inspections'!$P$4:$P$503,_calc!$E$439)))</f>
        <v/>
      </c>
    </row>
    <row r="438">
      <c r="A438" s="55">
        <f>IF(_calc!$E$440="","",IF(LEN(INDEX('Inspections'!$C$4:$C$503,_calc!$E$440))=0,"",INDEX('Inspections'!$C$4:$C$503,_calc!$E$440))&amp;" – "&amp;IF(LEN(INDEX('Inspections'!$A$4:$A$503,_calc!$E$440))=0,"",INDEX('Inspections'!$A$4:$A$503,_calc!$E$440)))</f>
        <v/>
      </c>
      <c r="B438" s="55">
        <f>IF(_calc!$E$440="","",IF(ISNUMBER(INDEX('Inspections'!$H$4:$H$503,_calc!$E$440)),TEXT(INDEX('Inspections'!$H$4:$H$503,_calc!$E$440),"yyyy-mm-dd"),""))</f>
        <v/>
      </c>
      <c r="C438" s="55">
        <f>IF(_calc!$E$440="","","Inspection")</f>
        <v/>
      </c>
      <c r="D438" s="55">
        <f>IF(_calc!$E$440="","",IF(ISNUMBER(INDEX('Inspections'!$G$4:$G$503,_calc!$E$440)),TEXT(INDEX('Inspections'!$G$4:$G$503,_calc!$E$440),"yyyy-mm-dd"),""))</f>
        <v/>
      </c>
      <c r="F438" s="55">
        <f>IF(_calc!$E$440="","",TRIM(IF(LEN(IF(LEN(INDEX('Inspections'!$B$4:$B$503,_calc!$E$440))=0,"",INDEX('Inspections'!$B$4:$B$503,_calc!$E$440)))=0,"","System: "&amp;IF(LEN(INDEX('Inspections'!$B$4:$B$503,_calc!$E$440))=0,"",INDEX('Inspections'!$B$4:$B$503,_calc!$E$440))&amp;". ")&amp;IF(LEN(IF(LEN(INDEX('Inspections'!$D$4:$D$503,_calc!$E$440))=0,"",INDEX('Inspections'!$D$4:$D$503,_calc!$E$440)))=0,"","Every: "&amp;IF(LEN(INDEX('Inspections'!$D$4:$D$503,_calc!$E$440))=0,"",INDEX('Inspections'!$D$4:$D$503,_calc!$E$440))&amp;". ")&amp;IF(LEN(IF(LEN(INDEX('Inspections'!$E$4:$E$503,_calc!$E$440))=0,"",INDEX('Inspections'!$E$4:$E$503,_calc!$E$440)))=0,"","Unit: "&amp;IF(LEN(INDEX('Inspections'!$E$4:$E$503,_calc!$E$440))=0,"",INDEX('Inspections'!$E$4:$E$503,_calc!$E$440))&amp;". ")&amp;IF(LEN(IF(LEN(INDEX('Inspections'!$F$4:$F$503,_calc!$E$440))=0,"",INDEX('Inspections'!$F$4:$F$503,_calc!$E$440)))=0,"","Done by: "&amp;IF(LEN(INDEX('Inspections'!$F$4:$F$503,_calc!$E$440))=0,"",INDEX('Inspections'!$F$4:$F$503,_calc!$E$440))&amp;". ")&amp;IF(LEN(IF(LEN(INDEX('Inspections'!$M$4:$M$503,_calc!$E$440))=0,"",INDEX('Inspections'!$M$4:$M$503,_calc!$E$440)))=0,"","Source: "&amp;IF(LEN(INDEX('Inspections'!$M$4:$M$503,_calc!$E$440))=0,"",INDEX('Inspections'!$M$4:$M$503,_calc!$E$440))&amp;". ")&amp;IF(LEN(IF(LEN(INDEX('Inspections'!$N$4:$N$503,_calc!$E$440))=0,"",INDEX('Inspections'!$N$4:$N$503,_calc!$E$440)))=0,"","Owner: "&amp;IF(LEN(INDEX('Inspections'!$N$4:$N$503,_calc!$E$440))=0,"",INDEX('Inspections'!$N$4:$N$503,_calc!$E$440))&amp;". ")&amp;IF(LEN(IF(LEN(INDEX('Inspections'!$O$4:$O$503,_calc!$E$440))=0,"",INDEX('Inspections'!$O$4:$O$503,_calc!$E$440)))=0,"","Backup: "&amp;IF(LEN(INDEX('Inspections'!$O$4:$O$503,_calc!$E$440))=0,"",INDEX('Inspections'!$O$4:$O$503,_calc!$E$440))&amp;". ")&amp;IF(LEN(IF(LEN(INDEX('Inspections'!$R$4:$R$503,_calc!$E$440))=0,"",INDEX('Inspections'!$R$4:$R$503,_calc!$E$440)))=0,"",IF(LEN(INDEX('Inspections'!$R$4:$R$503,_calc!$E$440))=0,"",INDEX('Inspections'!$R$4:$R$503,_calc!$E$440)))))</f>
        <v/>
      </c>
      <c r="G438" s="55">
        <f>IF(_calc!$E$440="","",IF(LEN(INDEX('Inspections'!$Q$4:$Q$503,_calc!$E$440))=0,"",INDEX('Inspections'!$Q$4:$Q$503,_calc!$E$440)))</f>
        <v/>
      </c>
      <c r="K438" s="55">
        <f>IF(_calc!$E$440="","",IF(LEN(INDEX('Inspections'!$P$4:$P$503,_calc!$E$440))=0,"",INDEX('Inspections'!$P$4:$P$503,_calc!$E$440)))</f>
        <v/>
      </c>
    </row>
    <row r="439">
      <c r="A439" s="55">
        <f>IF(_calc!$E$441="","",IF(LEN(INDEX('Inspections'!$C$4:$C$503,_calc!$E$441))=0,"",INDEX('Inspections'!$C$4:$C$503,_calc!$E$441))&amp;" – "&amp;IF(LEN(INDEX('Inspections'!$A$4:$A$503,_calc!$E$441))=0,"",INDEX('Inspections'!$A$4:$A$503,_calc!$E$441)))</f>
        <v/>
      </c>
      <c r="B439" s="55">
        <f>IF(_calc!$E$441="","",IF(ISNUMBER(INDEX('Inspections'!$H$4:$H$503,_calc!$E$441)),TEXT(INDEX('Inspections'!$H$4:$H$503,_calc!$E$441),"yyyy-mm-dd"),""))</f>
        <v/>
      </c>
      <c r="C439" s="55">
        <f>IF(_calc!$E$441="","","Inspection")</f>
        <v/>
      </c>
      <c r="D439" s="55">
        <f>IF(_calc!$E$441="","",IF(ISNUMBER(INDEX('Inspections'!$G$4:$G$503,_calc!$E$441)),TEXT(INDEX('Inspections'!$G$4:$G$503,_calc!$E$441),"yyyy-mm-dd"),""))</f>
        <v/>
      </c>
      <c r="F439" s="55">
        <f>IF(_calc!$E$441="","",TRIM(IF(LEN(IF(LEN(INDEX('Inspections'!$B$4:$B$503,_calc!$E$441))=0,"",INDEX('Inspections'!$B$4:$B$503,_calc!$E$441)))=0,"","System: "&amp;IF(LEN(INDEX('Inspections'!$B$4:$B$503,_calc!$E$441))=0,"",INDEX('Inspections'!$B$4:$B$503,_calc!$E$441))&amp;". ")&amp;IF(LEN(IF(LEN(INDEX('Inspections'!$D$4:$D$503,_calc!$E$441))=0,"",INDEX('Inspections'!$D$4:$D$503,_calc!$E$441)))=0,"","Every: "&amp;IF(LEN(INDEX('Inspections'!$D$4:$D$503,_calc!$E$441))=0,"",INDEX('Inspections'!$D$4:$D$503,_calc!$E$441))&amp;". ")&amp;IF(LEN(IF(LEN(INDEX('Inspections'!$E$4:$E$503,_calc!$E$441))=0,"",INDEX('Inspections'!$E$4:$E$503,_calc!$E$441)))=0,"","Unit: "&amp;IF(LEN(INDEX('Inspections'!$E$4:$E$503,_calc!$E$441))=0,"",INDEX('Inspections'!$E$4:$E$503,_calc!$E$441))&amp;". ")&amp;IF(LEN(IF(LEN(INDEX('Inspections'!$F$4:$F$503,_calc!$E$441))=0,"",INDEX('Inspections'!$F$4:$F$503,_calc!$E$441)))=0,"","Done by: "&amp;IF(LEN(INDEX('Inspections'!$F$4:$F$503,_calc!$E$441))=0,"",INDEX('Inspections'!$F$4:$F$503,_calc!$E$441))&amp;". ")&amp;IF(LEN(IF(LEN(INDEX('Inspections'!$M$4:$M$503,_calc!$E$441))=0,"",INDEX('Inspections'!$M$4:$M$503,_calc!$E$441)))=0,"","Source: "&amp;IF(LEN(INDEX('Inspections'!$M$4:$M$503,_calc!$E$441))=0,"",INDEX('Inspections'!$M$4:$M$503,_calc!$E$441))&amp;". ")&amp;IF(LEN(IF(LEN(INDEX('Inspections'!$N$4:$N$503,_calc!$E$441))=0,"",INDEX('Inspections'!$N$4:$N$503,_calc!$E$441)))=0,"","Owner: "&amp;IF(LEN(INDEX('Inspections'!$N$4:$N$503,_calc!$E$441))=0,"",INDEX('Inspections'!$N$4:$N$503,_calc!$E$441))&amp;". ")&amp;IF(LEN(IF(LEN(INDEX('Inspections'!$O$4:$O$503,_calc!$E$441))=0,"",INDEX('Inspections'!$O$4:$O$503,_calc!$E$441)))=0,"","Backup: "&amp;IF(LEN(INDEX('Inspections'!$O$4:$O$503,_calc!$E$441))=0,"",INDEX('Inspections'!$O$4:$O$503,_calc!$E$441))&amp;". ")&amp;IF(LEN(IF(LEN(INDEX('Inspections'!$R$4:$R$503,_calc!$E$441))=0,"",INDEX('Inspections'!$R$4:$R$503,_calc!$E$441)))=0,"",IF(LEN(INDEX('Inspections'!$R$4:$R$503,_calc!$E$441))=0,"",INDEX('Inspections'!$R$4:$R$503,_calc!$E$441)))))</f>
        <v/>
      </c>
      <c r="G439" s="55">
        <f>IF(_calc!$E$441="","",IF(LEN(INDEX('Inspections'!$Q$4:$Q$503,_calc!$E$441))=0,"",INDEX('Inspections'!$Q$4:$Q$503,_calc!$E$441)))</f>
        <v/>
      </c>
      <c r="K439" s="55">
        <f>IF(_calc!$E$441="","",IF(LEN(INDEX('Inspections'!$P$4:$P$503,_calc!$E$441))=0,"",INDEX('Inspections'!$P$4:$P$503,_calc!$E$441)))</f>
        <v/>
      </c>
    </row>
    <row r="440">
      <c r="A440" s="55">
        <f>IF(_calc!$E$442="","",IF(LEN(INDEX('Inspections'!$C$4:$C$503,_calc!$E$442))=0,"",INDEX('Inspections'!$C$4:$C$503,_calc!$E$442))&amp;" – "&amp;IF(LEN(INDEX('Inspections'!$A$4:$A$503,_calc!$E$442))=0,"",INDEX('Inspections'!$A$4:$A$503,_calc!$E$442)))</f>
        <v/>
      </c>
      <c r="B440" s="55">
        <f>IF(_calc!$E$442="","",IF(ISNUMBER(INDEX('Inspections'!$H$4:$H$503,_calc!$E$442)),TEXT(INDEX('Inspections'!$H$4:$H$503,_calc!$E$442),"yyyy-mm-dd"),""))</f>
        <v/>
      </c>
      <c r="C440" s="55">
        <f>IF(_calc!$E$442="","","Inspection")</f>
        <v/>
      </c>
      <c r="D440" s="55">
        <f>IF(_calc!$E$442="","",IF(ISNUMBER(INDEX('Inspections'!$G$4:$G$503,_calc!$E$442)),TEXT(INDEX('Inspections'!$G$4:$G$503,_calc!$E$442),"yyyy-mm-dd"),""))</f>
        <v/>
      </c>
      <c r="F440" s="55">
        <f>IF(_calc!$E$442="","",TRIM(IF(LEN(IF(LEN(INDEX('Inspections'!$B$4:$B$503,_calc!$E$442))=0,"",INDEX('Inspections'!$B$4:$B$503,_calc!$E$442)))=0,"","System: "&amp;IF(LEN(INDEX('Inspections'!$B$4:$B$503,_calc!$E$442))=0,"",INDEX('Inspections'!$B$4:$B$503,_calc!$E$442))&amp;". ")&amp;IF(LEN(IF(LEN(INDEX('Inspections'!$D$4:$D$503,_calc!$E$442))=0,"",INDEX('Inspections'!$D$4:$D$503,_calc!$E$442)))=0,"","Every: "&amp;IF(LEN(INDEX('Inspections'!$D$4:$D$503,_calc!$E$442))=0,"",INDEX('Inspections'!$D$4:$D$503,_calc!$E$442))&amp;". ")&amp;IF(LEN(IF(LEN(INDEX('Inspections'!$E$4:$E$503,_calc!$E$442))=0,"",INDEX('Inspections'!$E$4:$E$503,_calc!$E$442)))=0,"","Unit: "&amp;IF(LEN(INDEX('Inspections'!$E$4:$E$503,_calc!$E$442))=0,"",INDEX('Inspections'!$E$4:$E$503,_calc!$E$442))&amp;". ")&amp;IF(LEN(IF(LEN(INDEX('Inspections'!$F$4:$F$503,_calc!$E$442))=0,"",INDEX('Inspections'!$F$4:$F$503,_calc!$E$442)))=0,"","Done by: "&amp;IF(LEN(INDEX('Inspections'!$F$4:$F$503,_calc!$E$442))=0,"",INDEX('Inspections'!$F$4:$F$503,_calc!$E$442))&amp;". ")&amp;IF(LEN(IF(LEN(INDEX('Inspections'!$M$4:$M$503,_calc!$E$442))=0,"",INDEX('Inspections'!$M$4:$M$503,_calc!$E$442)))=0,"","Source: "&amp;IF(LEN(INDEX('Inspections'!$M$4:$M$503,_calc!$E$442))=0,"",INDEX('Inspections'!$M$4:$M$503,_calc!$E$442))&amp;". ")&amp;IF(LEN(IF(LEN(INDEX('Inspections'!$N$4:$N$503,_calc!$E$442))=0,"",INDEX('Inspections'!$N$4:$N$503,_calc!$E$442)))=0,"","Owner: "&amp;IF(LEN(INDEX('Inspections'!$N$4:$N$503,_calc!$E$442))=0,"",INDEX('Inspections'!$N$4:$N$503,_calc!$E$442))&amp;". ")&amp;IF(LEN(IF(LEN(INDEX('Inspections'!$O$4:$O$503,_calc!$E$442))=0,"",INDEX('Inspections'!$O$4:$O$503,_calc!$E$442)))=0,"","Backup: "&amp;IF(LEN(INDEX('Inspections'!$O$4:$O$503,_calc!$E$442))=0,"",INDEX('Inspections'!$O$4:$O$503,_calc!$E$442))&amp;". ")&amp;IF(LEN(IF(LEN(INDEX('Inspections'!$R$4:$R$503,_calc!$E$442))=0,"",INDEX('Inspections'!$R$4:$R$503,_calc!$E$442)))=0,"",IF(LEN(INDEX('Inspections'!$R$4:$R$503,_calc!$E$442))=0,"",INDEX('Inspections'!$R$4:$R$503,_calc!$E$442)))))</f>
        <v/>
      </c>
      <c r="G440" s="55">
        <f>IF(_calc!$E$442="","",IF(LEN(INDEX('Inspections'!$Q$4:$Q$503,_calc!$E$442))=0,"",INDEX('Inspections'!$Q$4:$Q$503,_calc!$E$442)))</f>
        <v/>
      </c>
      <c r="K440" s="55">
        <f>IF(_calc!$E$442="","",IF(LEN(INDEX('Inspections'!$P$4:$P$503,_calc!$E$442))=0,"",INDEX('Inspections'!$P$4:$P$503,_calc!$E$442)))</f>
        <v/>
      </c>
    </row>
    <row r="441">
      <c r="A441" s="55">
        <f>IF(_calc!$E$443="","",IF(LEN(INDEX('Inspections'!$C$4:$C$503,_calc!$E$443))=0,"",INDEX('Inspections'!$C$4:$C$503,_calc!$E$443))&amp;" – "&amp;IF(LEN(INDEX('Inspections'!$A$4:$A$503,_calc!$E$443))=0,"",INDEX('Inspections'!$A$4:$A$503,_calc!$E$443)))</f>
        <v/>
      </c>
      <c r="B441" s="55">
        <f>IF(_calc!$E$443="","",IF(ISNUMBER(INDEX('Inspections'!$H$4:$H$503,_calc!$E$443)),TEXT(INDEX('Inspections'!$H$4:$H$503,_calc!$E$443),"yyyy-mm-dd"),""))</f>
        <v/>
      </c>
      <c r="C441" s="55">
        <f>IF(_calc!$E$443="","","Inspection")</f>
        <v/>
      </c>
      <c r="D441" s="55">
        <f>IF(_calc!$E$443="","",IF(ISNUMBER(INDEX('Inspections'!$G$4:$G$503,_calc!$E$443)),TEXT(INDEX('Inspections'!$G$4:$G$503,_calc!$E$443),"yyyy-mm-dd"),""))</f>
        <v/>
      </c>
      <c r="F441" s="55">
        <f>IF(_calc!$E$443="","",TRIM(IF(LEN(IF(LEN(INDEX('Inspections'!$B$4:$B$503,_calc!$E$443))=0,"",INDEX('Inspections'!$B$4:$B$503,_calc!$E$443)))=0,"","System: "&amp;IF(LEN(INDEX('Inspections'!$B$4:$B$503,_calc!$E$443))=0,"",INDEX('Inspections'!$B$4:$B$503,_calc!$E$443))&amp;". ")&amp;IF(LEN(IF(LEN(INDEX('Inspections'!$D$4:$D$503,_calc!$E$443))=0,"",INDEX('Inspections'!$D$4:$D$503,_calc!$E$443)))=0,"","Every: "&amp;IF(LEN(INDEX('Inspections'!$D$4:$D$503,_calc!$E$443))=0,"",INDEX('Inspections'!$D$4:$D$503,_calc!$E$443))&amp;". ")&amp;IF(LEN(IF(LEN(INDEX('Inspections'!$E$4:$E$503,_calc!$E$443))=0,"",INDEX('Inspections'!$E$4:$E$503,_calc!$E$443)))=0,"","Unit: "&amp;IF(LEN(INDEX('Inspections'!$E$4:$E$503,_calc!$E$443))=0,"",INDEX('Inspections'!$E$4:$E$503,_calc!$E$443))&amp;". ")&amp;IF(LEN(IF(LEN(INDEX('Inspections'!$F$4:$F$503,_calc!$E$443))=0,"",INDEX('Inspections'!$F$4:$F$503,_calc!$E$443)))=0,"","Done by: "&amp;IF(LEN(INDEX('Inspections'!$F$4:$F$503,_calc!$E$443))=0,"",INDEX('Inspections'!$F$4:$F$503,_calc!$E$443))&amp;". ")&amp;IF(LEN(IF(LEN(INDEX('Inspections'!$M$4:$M$503,_calc!$E$443))=0,"",INDEX('Inspections'!$M$4:$M$503,_calc!$E$443)))=0,"","Source: "&amp;IF(LEN(INDEX('Inspections'!$M$4:$M$503,_calc!$E$443))=0,"",INDEX('Inspections'!$M$4:$M$503,_calc!$E$443))&amp;". ")&amp;IF(LEN(IF(LEN(INDEX('Inspections'!$N$4:$N$503,_calc!$E$443))=0,"",INDEX('Inspections'!$N$4:$N$503,_calc!$E$443)))=0,"","Owner: "&amp;IF(LEN(INDEX('Inspections'!$N$4:$N$503,_calc!$E$443))=0,"",INDEX('Inspections'!$N$4:$N$503,_calc!$E$443))&amp;". ")&amp;IF(LEN(IF(LEN(INDEX('Inspections'!$O$4:$O$503,_calc!$E$443))=0,"",INDEX('Inspections'!$O$4:$O$503,_calc!$E$443)))=0,"","Backup: "&amp;IF(LEN(INDEX('Inspections'!$O$4:$O$503,_calc!$E$443))=0,"",INDEX('Inspections'!$O$4:$O$503,_calc!$E$443))&amp;". ")&amp;IF(LEN(IF(LEN(INDEX('Inspections'!$R$4:$R$503,_calc!$E$443))=0,"",INDEX('Inspections'!$R$4:$R$503,_calc!$E$443)))=0,"",IF(LEN(INDEX('Inspections'!$R$4:$R$503,_calc!$E$443))=0,"",INDEX('Inspections'!$R$4:$R$503,_calc!$E$443)))))</f>
        <v/>
      </c>
      <c r="G441" s="55">
        <f>IF(_calc!$E$443="","",IF(LEN(INDEX('Inspections'!$Q$4:$Q$503,_calc!$E$443))=0,"",INDEX('Inspections'!$Q$4:$Q$503,_calc!$E$443)))</f>
        <v/>
      </c>
      <c r="K441" s="55">
        <f>IF(_calc!$E$443="","",IF(LEN(INDEX('Inspections'!$P$4:$P$503,_calc!$E$443))=0,"",INDEX('Inspections'!$P$4:$P$503,_calc!$E$443)))</f>
        <v/>
      </c>
    </row>
    <row r="442">
      <c r="A442" s="55">
        <f>IF(_calc!$E$444="","",IF(LEN(INDEX('Inspections'!$C$4:$C$503,_calc!$E$444))=0,"",INDEX('Inspections'!$C$4:$C$503,_calc!$E$444))&amp;" – "&amp;IF(LEN(INDEX('Inspections'!$A$4:$A$503,_calc!$E$444))=0,"",INDEX('Inspections'!$A$4:$A$503,_calc!$E$444)))</f>
        <v/>
      </c>
      <c r="B442" s="55">
        <f>IF(_calc!$E$444="","",IF(ISNUMBER(INDEX('Inspections'!$H$4:$H$503,_calc!$E$444)),TEXT(INDEX('Inspections'!$H$4:$H$503,_calc!$E$444),"yyyy-mm-dd"),""))</f>
        <v/>
      </c>
      <c r="C442" s="55">
        <f>IF(_calc!$E$444="","","Inspection")</f>
        <v/>
      </c>
      <c r="D442" s="55">
        <f>IF(_calc!$E$444="","",IF(ISNUMBER(INDEX('Inspections'!$G$4:$G$503,_calc!$E$444)),TEXT(INDEX('Inspections'!$G$4:$G$503,_calc!$E$444),"yyyy-mm-dd"),""))</f>
        <v/>
      </c>
      <c r="F442" s="55">
        <f>IF(_calc!$E$444="","",TRIM(IF(LEN(IF(LEN(INDEX('Inspections'!$B$4:$B$503,_calc!$E$444))=0,"",INDEX('Inspections'!$B$4:$B$503,_calc!$E$444)))=0,"","System: "&amp;IF(LEN(INDEX('Inspections'!$B$4:$B$503,_calc!$E$444))=0,"",INDEX('Inspections'!$B$4:$B$503,_calc!$E$444))&amp;". ")&amp;IF(LEN(IF(LEN(INDEX('Inspections'!$D$4:$D$503,_calc!$E$444))=0,"",INDEX('Inspections'!$D$4:$D$503,_calc!$E$444)))=0,"","Every: "&amp;IF(LEN(INDEX('Inspections'!$D$4:$D$503,_calc!$E$444))=0,"",INDEX('Inspections'!$D$4:$D$503,_calc!$E$444))&amp;". ")&amp;IF(LEN(IF(LEN(INDEX('Inspections'!$E$4:$E$503,_calc!$E$444))=0,"",INDEX('Inspections'!$E$4:$E$503,_calc!$E$444)))=0,"","Unit: "&amp;IF(LEN(INDEX('Inspections'!$E$4:$E$503,_calc!$E$444))=0,"",INDEX('Inspections'!$E$4:$E$503,_calc!$E$444))&amp;". ")&amp;IF(LEN(IF(LEN(INDEX('Inspections'!$F$4:$F$503,_calc!$E$444))=0,"",INDEX('Inspections'!$F$4:$F$503,_calc!$E$444)))=0,"","Done by: "&amp;IF(LEN(INDEX('Inspections'!$F$4:$F$503,_calc!$E$444))=0,"",INDEX('Inspections'!$F$4:$F$503,_calc!$E$444))&amp;". ")&amp;IF(LEN(IF(LEN(INDEX('Inspections'!$M$4:$M$503,_calc!$E$444))=0,"",INDEX('Inspections'!$M$4:$M$503,_calc!$E$444)))=0,"","Source: "&amp;IF(LEN(INDEX('Inspections'!$M$4:$M$503,_calc!$E$444))=0,"",INDEX('Inspections'!$M$4:$M$503,_calc!$E$444))&amp;". ")&amp;IF(LEN(IF(LEN(INDEX('Inspections'!$N$4:$N$503,_calc!$E$444))=0,"",INDEX('Inspections'!$N$4:$N$503,_calc!$E$444)))=0,"","Owner: "&amp;IF(LEN(INDEX('Inspections'!$N$4:$N$503,_calc!$E$444))=0,"",INDEX('Inspections'!$N$4:$N$503,_calc!$E$444))&amp;". ")&amp;IF(LEN(IF(LEN(INDEX('Inspections'!$O$4:$O$503,_calc!$E$444))=0,"",INDEX('Inspections'!$O$4:$O$503,_calc!$E$444)))=0,"","Backup: "&amp;IF(LEN(INDEX('Inspections'!$O$4:$O$503,_calc!$E$444))=0,"",INDEX('Inspections'!$O$4:$O$503,_calc!$E$444))&amp;". ")&amp;IF(LEN(IF(LEN(INDEX('Inspections'!$R$4:$R$503,_calc!$E$444))=0,"",INDEX('Inspections'!$R$4:$R$503,_calc!$E$444)))=0,"",IF(LEN(INDEX('Inspections'!$R$4:$R$503,_calc!$E$444))=0,"",INDEX('Inspections'!$R$4:$R$503,_calc!$E$444)))))</f>
        <v/>
      </c>
      <c r="G442" s="55">
        <f>IF(_calc!$E$444="","",IF(LEN(INDEX('Inspections'!$Q$4:$Q$503,_calc!$E$444))=0,"",INDEX('Inspections'!$Q$4:$Q$503,_calc!$E$444)))</f>
        <v/>
      </c>
      <c r="K442" s="55">
        <f>IF(_calc!$E$444="","",IF(LEN(INDEX('Inspections'!$P$4:$P$503,_calc!$E$444))=0,"",INDEX('Inspections'!$P$4:$P$503,_calc!$E$444)))</f>
        <v/>
      </c>
    </row>
    <row r="443">
      <c r="A443" s="55">
        <f>IF(_calc!$E$445="","",IF(LEN(INDEX('Inspections'!$C$4:$C$503,_calc!$E$445))=0,"",INDEX('Inspections'!$C$4:$C$503,_calc!$E$445))&amp;" – "&amp;IF(LEN(INDEX('Inspections'!$A$4:$A$503,_calc!$E$445))=0,"",INDEX('Inspections'!$A$4:$A$503,_calc!$E$445)))</f>
        <v/>
      </c>
      <c r="B443" s="55">
        <f>IF(_calc!$E$445="","",IF(ISNUMBER(INDEX('Inspections'!$H$4:$H$503,_calc!$E$445)),TEXT(INDEX('Inspections'!$H$4:$H$503,_calc!$E$445),"yyyy-mm-dd"),""))</f>
        <v/>
      </c>
      <c r="C443" s="55">
        <f>IF(_calc!$E$445="","","Inspection")</f>
        <v/>
      </c>
      <c r="D443" s="55">
        <f>IF(_calc!$E$445="","",IF(ISNUMBER(INDEX('Inspections'!$G$4:$G$503,_calc!$E$445)),TEXT(INDEX('Inspections'!$G$4:$G$503,_calc!$E$445),"yyyy-mm-dd"),""))</f>
        <v/>
      </c>
      <c r="F443" s="55">
        <f>IF(_calc!$E$445="","",TRIM(IF(LEN(IF(LEN(INDEX('Inspections'!$B$4:$B$503,_calc!$E$445))=0,"",INDEX('Inspections'!$B$4:$B$503,_calc!$E$445)))=0,"","System: "&amp;IF(LEN(INDEX('Inspections'!$B$4:$B$503,_calc!$E$445))=0,"",INDEX('Inspections'!$B$4:$B$503,_calc!$E$445))&amp;". ")&amp;IF(LEN(IF(LEN(INDEX('Inspections'!$D$4:$D$503,_calc!$E$445))=0,"",INDEX('Inspections'!$D$4:$D$503,_calc!$E$445)))=0,"","Every: "&amp;IF(LEN(INDEX('Inspections'!$D$4:$D$503,_calc!$E$445))=0,"",INDEX('Inspections'!$D$4:$D$503,_calc!$E$445))&amp;". ")&amp;IF(LEN(IF(LEN(INDEX('Inspections'!$E$4:$E$503,_calc!$E$445))=0,"",INDEX('Inspections'!$E$4:$E$503,_calc!$E$445)))=0,"","Unit: "&amp;IF(LEN(INDEX('Inspections'!$E$4:$E$503,_calc!$E$445))=0,"",INDEX('Inspections'!$E$4:$E$503,_calc!$E$445))&amp;". ")&amp;IF(LEN(IF(LEN(INDEX('Inspections'!$F$4:$F$503,_calc!$E$445))=0,"",INDEX('Inspections'!$F$4:$F$503,_calc!$E$445)))=0,"","Done by: "&amp;IF(LEN(INDEX('Inspections'!$F$4:$F$503,_calc!$E$445))=0,"",INDEX('Inspections'!$F$4:$F$503,_calc!$E$445))&amp;". ")&amp;IF(LEN(IF(LEN(INDEX('Inspections'!$M$4:$M$503,_calc!$E$445))=0,"",INDEX('Inspections'!$M$4:$M$503,_calc!$E$445)))=0,"","Source: "&amp;IF(LEN(INDEX('Inspections'!$M$4:$M$503,_calc!$E$445))=0,"",INDEX('Inspections'!$M$4:$M$503,_calc!$E$445))&amp;". ")&amp;IF(LEN(IF(LEN(INDEX('Inspections'!$N$4:$N$503,_calc!$E$445))=0,"",INDEX('Inspections'!$N$4:$N$503,_calc!$E$445)))=0,"","Owner: "&amp;IF(LEN(INDEX('Inspections'!$N$4:$N$503,_calc!$E$445))=0,"",INDEX('Inspections'!$N$4:$N$503,_calc!$E$445))&amp;". ")&amp;IF(LEN(IF(LEN(INDEX('Inspections'!$O$4:$O$503,_calc!$E$445))=0,"",INDEX('Inspections'!$O$4:$O$503,_calc!$E$445)))=0,"","Backup: "&amp;IF(LEN(INDEX('Inspections'!$O$4:$O$503,_calc!$E$445))=0,"",INDEX('Inspections'!$O$4:$O$503,_calc!$E$445))&amp;". ")&amp;IF(LEN(IF(LEN(INDEX('Inspections'!$R$4:$R$503,_calc!$E$445))=0,"",INDEX('Inspections'!$R$4:$R$503,_calc!$E$445)))=0,"",IF(LEN(INDEX('Inspections'!$R$4:$R$503,_calc!$E$445))=0,"",INDEX('Inspections'!$R$4:$R$503,_calc!$E$445)))))</f>
        <v/>
      </c>
      <c r="G443" s="55">
        <f>IF(_calc!$E$445="","",IF(LEN(INDEX('Inspections'!$Q$4:$Q$503,_calc!$E$445))=0,"",INDEX('Inspections'!$Q$4:$Q$503,_calc!$E$445)))</f>
        <v/>
      </c>
      <c r="K443" s="55">
        <f>IF(_calc!$E$445="","",IF(LEN(INDEX('Inspections'!$P$4:$P$503,_calc!$E$445))=0,"",INDEX('Inspections'!$P$4:$P$503,_calc!$E$445)))</f>
        <v/>
      </c>
    </row>
    <row r="444">
      <c r="A444" s="55">
        <f>IF(_calc!$E$446="","",IF(LEN(INDEX('Inspections'!$C$4:$C$503,_calc!$E$446))=0,"",INDEX('Inspections'!$C$4:$C$503,_calc!$E$446))&amp;" – "&amp;IF(LEN(INDEX('Inspections'!$A$4:$A$503,_calc!$E$446))=0,"",INDEX('Inspections'!$A$4:$A$503,_calc!$E$446)))</f>
        <v/>
      </c>
      <c r="B444" s="55">
        <f>IF(_calc!$E$446="","",IF(ISNUMBER(INDEX('Inspections'!$H$4:$H$503,_calc!$E$446)),TEXT(INDEX('Inspections'!$H$4:$H$503,_calc!$E$446),"yyyy-mm-dd"),""))</f>
        <v/>
      </c>
      <c r="C444" s="55">
        <f>IF(_calc!$E$446="","","Inspection")</f>
        <v/>
      </c>
      <c r="D444" s="55">
        <f>IF(_calc!$E$446="","",IF(ISNUMBER(INDEX('Inspections'!$G$4:$G$503,_calc!$E$446)),TEXT(INDEX('Inspections'!$G$4:$G$503,_calc!$E$446),"yyyy-mm-dd"),""))</f>
        <v/>
      </c>
      <c r="F444" s="55">
        <f>IF(_calc!$E$446="","",TRIM(IF(LEN(IF(LEN(INDEX('Inspections'!$B$4:$B$503,_calc!$E$446))=0,"",INDEX('Inspections'!$B$4:$B$503,_calc!$E$446)))=0,"","System: "&amp;IF(LEN(INDEX('Inspections'!$B$4:$B$503,_calc!$E$446))=0,"",INDEX('Inspections'!$B$4:$B$503,_calc!$E$446))&amp;". ")&amp;IF(LEN(IF(LEN(INDEX('Inspections'!$D$4:$D$503,_calc!$E$446))=0,"",INDEX('Inspections'!$D$4:$D$503,_calc!$E$446)))=0,"","Every: "&amp;IF(LEN(INDEX('Inspections'!$D$4:$D$503,_calc!$E$446))=0,"",INDEX('Inspections'!$D$4:$D$503,_calc!$E$446))&amp;". ")&amp;IF(LEN(IF(LEN(INDEX('Inspections'!$E$4:$E$503,_calc!$E$446))=0,"",INDEX('Inspections'!$E$4:$E$503,_calc!$E$446)))=0,"","Unit: "&amp;IF(LEN(INDEX('Inspections'!$E$4:$E$503,_calc!$E$446))=0,"",INDEX('Inspections'!$E$4:$E$503,_calc!$E$446))&amp;". ")&amp;IF(LEN(IF(LEN(INDEX('Inspections'!$F$4:$F$503,_calc!$E$446))=0,"",INDEX('Inspections'!$F$4:$F$503,_calc!$E$446)))=0,"","Done by: "&amp;IF(LEN(INDEX('Inspections'!$F$4:$F$503,_calc!$E$446))=0,"",INDEX('Inspections'!$F$4:$F$503,_calc!$E$446))&amp;". ")&amp;IF(LEN(IF(LEN(INDEX('Inspections'!$M$4:$M$503,_calc!$E$446))=0,"",INDEX('Inspections'!$M$4:$M$503,_calc!$E$446)))=0,"","Source: "&amp;IF(LEN(INDEX('Inspections'!$M$4:$M$503,_calc!$E$446))=0,"",INDEX('Inspections'!$M$4:$M$503,_calc!$E$446))&amp;". ")&amp;IF(LEN(IF(LEN(INDEX('Inspections'!$N$4:$N$503,_calc!$E$446))=0,"",INDEX('Inspections'!$N$4:$N$503,_calc!$E$446)))=0,"","Owner: "&amp;IF(LEN(INDEX('Inspections'!$N$4:$N$503,_calc!$E$446))=0,"",INDEX('Inspections'!$N$4:$N$503,_calc!$E$446))&amp;". ")&amp;IF(LEN(IF(LEN(INDEX('Inspections'!$O$4:$O$503,_calc!$E$446))=0,"",INDEX('Inspections'!$O$4:$O$503,_calc!$E$446)))=0,"","Backup: "&amp;IF(LEN(INDEX('Inspections'!$O$4:$O$503,_calc!$E$446))=0,"",INDEX('Inspections'!$O$4:$O$503,_calc!$E$446))&amp;". ")&amp;IF(LEN(IF(LEN(INDEX('Inspections'!$R$4:$R$503,_calc!$E$446))=0,"",INDEX('Inspections'!$R$4:$R$503,_calc!$E$446)))=0,"",IF(LEN(INDEX('Inspections'!$R$4:$R$503,_calc!$E$446))=0,"",INDEX('Inspections'!$R$4:$R$503,_calc!$E$446)))))</f>
        <v/>
      </c>
      <c r="G444" s="55">
        <f>IF(_calc!$E$446="","",IF(LEN(INDEX('Inspections'!$Q$4:$Q$503,_calc!$E$446))=0,"",INDEX('Inspections'!$Q$4:$Q$503,_calc!$E$446)))</f>
        <v/>
      </c>
      <c r="K444" s="55">
        <f>IF(_calc!$E$446="","",IF(LEN(INDEX('Inspections'!$P$4:$P$503,_calc!$E$446))=0,"",INDEX('Inspections'!$P$4:$P$503,_calc!$E$446)))</f>
        <v/>
      </c>
    </row>
    <row r="445">
      <c r="A445" s="55">
        <f>IF(_calc!$E$447="","",IF(LEN(INDEX('Inspections'!$C$4:$C$503,_calc!$E$447))=0,"",INDEX('Inspections'!$C$4:$C$503,_calc!$E$447))&amp;" – "&amp;IF(LEN(INDEX('Inspections'!$A$4:$A$503,_calc!$E$447))=0,"",INDEX('Inspections'!$A$4:$A$503,_calc!$E$447)))</f>
        <v/>
      </c>
      <c r="B445" s="55">
        <f>IF(_calc!$E$447="","",IF(ISNUMBER(INDEX('Inspections'!$H$4:$H$503,_calc!$E$447)),TEXT(INDEX('Inspections'!$H$4:$H$503,_calc!$E$447),"yyyy-mm-dd"),""))</f>
        <v/>
      </c>
      <c r="C445" s="55">
        <f>IF(_calc!$E$447="","","Inspection")</f>
        <v/>
      </c>
      <c r="D445" s="55">
        <f>IF(_calc!$E$447="","",IF(ISNUMBER(INDEX('Inspections'!$G$4:$G$503,_calc!$E$447)),TEXT(INDEX('Inspections'!$G$4:$G$503,_calc!$E$447),"yyyy-mm-dd"),""))</f>
        <v/>
      </c>
      <c r="F445" s="55">
        <f>IF(_calc!$E$447="","",TRIM(IF(LEN(IF(LEN(INDEX('Inspections'!$B$4:$B$503,_calc!$E$447))=0,"",INDEX('Inspections'!$B$4:$B$503,_calc!$E$447)))=0,"","System: "&amp;IF(LEN(INDEX('Inspections'!$B$4:$B$503,_calc!$E$447))=0,"",INDEX('Inspections'!$B$4:$B$503,_calc!$E$447))&amp;". ")&amp;IF(LEN(IF(LEN(INDEX('Inspections'!$D$4:$D$503,_calc!$E$447))=0,"",INDEX('Inspections'!$D$4:$D$503,_calc!$E$447)))=0,"","Every: "&amp;IF(LEN(INDEX('Inspections'!$D$4:$D$503,_calc!$E$447))=0,"",INDEX('Inspections'!$D$4:$D$503,_calc!$E$447))&amp;". ")&amp;IF(LEN(IF(LEN(INDEX('Inspections'!$E$4:$E$503,_calc!$E$447))=0,"",INDEX('Inspections'!$E$4:$E$503,_calc!$E$447)))=0,"","Unit: "&amp;IF(LEN(INDEX('Inspections'!$E$4:$E$503,_calc!$E$447))=0,"",INDEX('Inspections'!$E$4:$E$503,_calc!$E$447))&amp;". ")&amp;IF(LEN(IF(LEN(INDEX('Inspections'!$F$4:$F$503,_calc!$E$447))=0,"",INDEX('Inspections'!$F$4:$F$503,_calc!$E$447)))=0,"","Done by: "&amp;IF(LEN(INDEX('Inspections'!$F$4:$F$503,_calc!$E$447))=0,"",INDEX('Inspections'!$F$4:$F$503,_calc!$E$447))&amp;". ")&amp;IF(LEN(IF(LEN(INDEX('Inspections'!$M$4:$M$503,_calc!$E$447))=0,"",INDEX('Inspections'!$M$4:$M$503,_calc!$E$447)))=0,"","Source: "&amp;IF(LEN(INDEX('Inspections'!$M$4:$M$503,_calc!$E$447))=0,"",INDEX('Inspections'!$M$4:$M$503,_calc!$E$447))&amp;". ")&amp;IF(LEN(IF(LEN(INDEX('Inspections'!$N$4:$N$503,_calc!$E$447))=0,"",INDEX('Inspections'!$N$4:$N$503,_calc!$E$447)))=0,"","Owner: "&amp;IF(LEN(INDEX('Inspections'!$N$4:$N$503,_calc!$E$447))=0,"",INDEX('Inspections'!$N$4:$N$503,_calc!$E$447))&amp;". ")&amp;IF(LEN(IF(LEN(INDEX('Inspections'!$O$4:$O$503,_calc!$E$447))=0,"",INDEX('Inspections'!$O$4:$O$503,_calc!$E$447)))=0,"","Backup: "&amp;IF(LEN(INDEX('Inspections'!$O$4:$O$503,_calc!$E$447))=0,"",INDEX('Inspections'!$O$4:$O$503,_calc!$E$447))&amp;". ")&amp;IF(LEN(IF(LEN(INDEX('Inspections'!$R$4:$R$503,_calc!$E$447))=0,"",INDEX('Inspections'!$R$4:$R$503,_calc!$E$447)))=0,"",IF(LEN(INDEX('Inspections'!$R$4:$R$503,_calc!$E$447))=0,"",INDEX('Inspections'!$R$4:$R$503,_calc!$E$447)))))</f>
        <v/>
      </c>
      <c r="G445" s="55">
        <f>IF(_calc!$E$447="","",IF(LEN(INDEX('Inspections'!$Q$4:$Q$503,_calc!$E$447))=0,"",INDEX('Inspections'!$Q$4:$Q$503,_calc!$E$447)))</f>
        <v/>
      </c>
      <c r="K445" s="55">
        <f>IF(_calc!$E$447="","",IF(LEN(INDEX('Inspections'!$P$4:$P$503,_calc!$E$447))=0,"",INDEX('Inspections'!$P$4:$P$503,_calc!$E$447)))</f>
        <v/>
      </c>
    </row>
    <row r="446">
      <c r="A446" s="55">
        <f>IF(_calc!$E$448="","",IF(LEN(INDEX('Inspections'!$C$4:$C$503,_calc!$E$448))=0,"",INDEX('Inspections'!$C$4:$C$503,_calc!$E$448))&amp;" – "&amp;IF(LEN(INDEX('Inspections'!$A$4:$A$503,_calc!$E$448))=0,"",INDEX('Inspections'!$A$4:$A$503,_calc!$E$448)))</f>
        <v/>
      </c>
      <c r="B446" s="55">
        <f>IF(_calc!$E$448="","",IF(ISNUMBER(INDEX('Inspections'!$H$4:$H$503,_calc!$E$448)),TEXT(INDEX('Inspections'!$H$4:$H$503,_calc!$E$448),"yyyy-mm-dd"),""))</f>
        <v/>
      </c>
      <c r="C446" s="55">
        <f>IF(_calc!$E$448="","","Inspection")</f>
        <v/>
      </c>
      <c r="D446" s="55">
        <f>IF(_calc!$E$448="","",IF(ISNUMBER(INDEX('Inspections'!$G$4:$G$503,_calc!$E$448)),TEXT(INDEX('Inspections'!$G$4:$G$503,_calc!$E$448),"yyyy-mm-dd"),""))</f>
        <v/>
      </c>
      <c r="F446" s="55">
        <f>IF(_calc!$E$448="","",TRIM(IF(LEN(IF(LEN(INDEX('Inspections'!$B$4:$B$503,_calc!$E$448))=0,"",INDEX('Inspections'!$B$4:$B$503,_calc!$E$448)))=0,"","System: "&amp;IF(LEN(INDEX('Inspections'!$B$4:$B$503,_calc!$E$448))=0,"",INDEX('Inspections'!$B$4:$B$503,_calc!$E$448))&amp;". ")&amp;IF(LEN(IF(LEN(INDEX('Inspections'!$D$4:$D$503,_calc!$E$448))=0,"",INDEX('Inspections'!$D$4:$D$503,_calc!$E$448)))=0,"","Every: "&amp;IF(LEN(INDEX('Inspections'!$D$4:$D$503,_calc!$E$448))=0,"",INDEX('Inspections'!$D$4:$D$503,_calc!$E$448))&amp;". ")&amp;IF(LEN(IF(LEN(INDEX('Inspections'!$E$4:$E$503,_calc!$E$448))=0,"",INDEX('Inspections'!$E$4:$E$503,_calc!$E$448)))=0,"","Unit: "&amp;IF(LEN(INDEX('Inspections'!$E$4:$E$503,_calc!$E$448))=0,"",INDEX('Inspections'!$E$4:$E$503,_calc!$E$448))&amp;". ")&amp;IF(LEN(IF(LEN(INDEX('Inspections'!$F$4:$F$503,_calc!$E$448))=0,"",INDEX('Inspections'!$F$4:$F$503,_calc!$E$448)))=0,"","Done by: "&amp;IF(LEN(INDEX('Inspections'!$F$4:$F$503,_calc!$E$448))=0,"",INDEX('Inspections'!$F$4:$F$503,_calc!$E$448))&amp;". ")&amp;IF(LEN(IF(LEN(INDEX('Inspections'!$M$4:$M$503,_calc!$E$448))=0,"",INDEX('Inspections'!$M$4:$M$503,_calc!$E$448)))=0,"","Source: "&amp;IF(LEN(INDEX('Inspections'!$M$4:$M$503,_calc!$E$448))=0,"",INDEX('Inspections'!$M$4:$M$503,_calc!$E$448))&amp;". ")&amp;IF(LEN(IF(LEN(INDEX('Inspections'!$N$4:$N$503,_calc!$E$448))=0,"",INDEX('Inspections'!$N$4:$N$503,_calc!$E$448)))=0,"","Owner: "&amp;IF(LEN(INDEX('Inspections'!$N$4:$N$503,_calc!$E$448))=0,"",INDEX('Inspections'!$N$4:$N$503,_calc!$E$448))&amp;". ")&amp;IF(LEN(IF(LEN(INDEX('Inspections'!$O$4:$O$503,_calc!$E$448))=0,"",INDEX('Inspections'!$O$4:$O$503,_calc!$E$448)))=0,"","Backup: "&amp;IF(LEN(INDEX('Inspections'!$O$4:$O$503,_calc!$E$448))=0,"",INDEX('Inspections'!$O$4:$O$503,_calc!$E$448))&amp;". ")&amp;IF(LEN(IF(LEN(INDEX('Inspections'!$R$4:$R$503,_calc!$E$448))=0,"",INDEX('Inspections'!$R$4:$R$503,_calc!$E$448)))=0,"",IF(LEN(INDEX('Inspections'!$R$4:$R$503,_calc!$E$448))=0,"",INDEX('Inspections'!$R$4:$R$503,_calc!$E$448)))))</f>
        <v/>
      </c>
      <c r="G446" s="55">
        <f>IF(_calc!$E$448="","",IF(LEN(INDEX('Inspections'!$Q$4:$Q$503,_calc!$E$448))=0,"",INDEX('Inspections'!$Q$4:$Q$503,_calc!$E$448)))</f>
        <v/>
      </c>
      <c r="K446" s="55">
        <f>IF(_calc!$E$448="","",IF(LEN(INDEX('Inspections'!$P$4:$P$503,_calc!$E$448))=0,"",INDEX('Inspections'!$P$4:$P$503,_calc!$E$448)))</f>
        <v/>
      </c>
    </row>
    <row r="447">
      <c r="A447" s="55">
        <f>IF(_calc!$E$449="","",IF(LEN(INDEX('Inspections'!$C$4:$C$503,_calc!$E$449))=0,"",INDEX('Inspections'!$C$4:$C$503,_calc!$E$449))&amp;" – "&amp;IF(LEN(INDEX('Inspections'!$A$4:$A$503,_calc!$E$449))=0,"",INDEX('Inspections'!$A$4:$A$503,_calc!$E$449)))</f>
        <v/>
      </c>
      <c r="B447" s="55">
        <f>IF(_calc!$E$449="","",IF(ISNUMBER(INDEX('Inspections'!$H$4:$H$503,_calc!$E$449)),TEXT(INDEX('Inspections'!$H$4:$H$503,_calc!$E$449),"yyyy-mm-dd"),""))</f>
        <v/>
      </c>
      <c r="C447" s="55">
        <f>IF(_calc!$E$449="","","Inspection")</f>
        <v/>
      </c>
      <c r="D447" s="55">
        <f>IF(_calc!$E$449="","",IF(ISNUMBER(INDEX('Inspections'!$G$4:$G$503,_calc!$E$449)),TEXT(INDEX('Inspections'!$G$4:$G$503,_calc!$E$449),"yyyy-mm-dd"),""))</f>
        <v/>
      </c>
      <c r="F447" s="55">
        <f>IF(_calc!$E$449="","",TRIM(IF(LEN(IF(LEN(INDEX('Inspections'!$B$4:$B$503,_calc!$E$449))=0,"",INDEX('Inspections'!$B$4:$B$503,_calc!$E$449)))=0,"","System: "&amp;IF(LEN(INDEX('Inspections'!$B$4:$B$503,_calc!$E$449))=0,"",INDEX('Inspections'!$B$4:$B$503,_calc!$E$449))&amp;". ")&amp;IF(LEN(IF(LEN(INDEX('Inspections'!$D$4:$D$503,_calc!$E$449))=0,"",INDEX('Inspections'!$D$4:$D$503,_calc!$E$449)))=0,"","Every: "&amp;IF(LEN(INDEX('Inspections'!$D$4:$D$503,_calc!$E$449))=0,"",INDEX('Inspections'!$D$4:$D$503,_calc!$E$449))&amp;". ")&amp;IF(LEN(IF(LEN(INDEX('Inspections'!$E$4:$E$503,_calc!$E$449))=0,"",INDEX('Inspections'!$E$4:$E$503,_calc!$E$449)))=0,"","Unit: "&amp;IF(LEN(INDEX('Inspections'!$E$4:$E$503,_calc!$E$449))=0,"",INDEX('Inspections'!$E$4:$E$503,_calc!$E$449))&amp;". ")&amp;IF(LEN(IF(LEN(INDEX('Inspections'!$F$4:$F$503,_calc!$E$449))=0,"",INDEX('Inspections'!$F$4:$F$503,_calc!$E$449)))=0,"","Done by: "&amp;IF(LEN(INDEX('Inspections'!$F$4:$F$503,_calc!$E$449))=0,"",INDEX('Inspections'!$F$4:$F$503,_calc!$E$449))&amp;". ")&amp;IF(LEN(IF(LEN(INDEX('Inspections'!$M$4:$M$503,_calc!$E$449))=0,"",INDEX('Inspections'!$M$4:$M$503,_calc!$E$449)))=0,"","Source: "&amp;IF(LEN(INDEX('Inspections'!$M$4:$M$503,_calc!$E$449))=0,"",INDEX('Inspections'!$M$4:$M$503,_calc!$E$449))&amp;". ")&amp;IF(LEN(IF(LEN(INDEX('Inspections'!$N$4:$N$503,_calc!$E$449))=0,"",INDEX('Inspections'!$N$4:$N$503,_calc!$E$449)))=0,"","Owner: "&amp;IF(LEN(INDEX('Inspections'!$N$4:$N$503,_calc!$E$449))=0,"",INDEX('Inspections'!$N$4:$N$503,_calc!$E$449))&amp;". ")&amp;IF(LEN(IF(LEN(INDEX('Inspections'!$O$4:$O$503,_calc!$E$449))=0,"",INDEX('Inspections'!$O$4:$O$503,_calc!$E$449)))=0,"","Backup: "&amp;IF(LEN(INDEX('Inspections'!$O$4:$O$503,_calc!$E$449))=0,"",INDEX('Inspections'!$O$4:$O$503,_calc!$E$449))&amp;". ")&amp;IF(LEN(IF(LEN(INDEX('Inspections'!$R$4:$R$503,_calc!$E$449))=0,"",INDEX('Inspections'!$R$4:$R$503,_calc!$E$449)))=0,"",IF(LEN(INDEX('Inspections'!$R$4:$R$503,_calc!$E$449))=0,"",INDEX('Inspections'!$R$4:$R$503,_calc!$E$449)))))</f>
        <v/>
      </c>
      <c r="G447" s="55">
        <f>IF(_calc!$E$449="","",IF(LEN(INDEX('Inspections'!$Q$4:$Q$503,_calc!$E$449))=0,"",INDEX('Inspections'!$Q$4:$Q$503,_calc!$E$449)))</f>
        <v/>
      </c>
      <c r="K447" s="55">
        <f>IF(_calc!$E$449="","",IF(LEN(INDEX('Inspections'!$P$4:$P$503,_calc!$E$449))=0,"",INDEX('Inspections'!$P$4:$P$503,_calc!$E$449)))</f>
        <v/>
      </c>
    </row>
    <row r="448">
      <c r="A448" s="55">
        <f>IF(_calc!$E$450="","",IF(LEN(INDEX('Inspections'!$C$4:$C$503,_calc!$E$450))=0,"",INDEX('Inspections'!$C$4:$C$503,_calc!$E$450))&amp;" – "&amp;IF(LEN(INDEX('Inspections'!$A$4:$A$503,_calc!$E$450))=0,"",INDEX('Inspections'!$A$4:$A$503,_calc!$E$450)))</f>
        <v/>
      </c>
      <c r="B448" s="55">
        <f>IF(_calc!$E$450="","",IF(ISNUMBER(INDEX('Inspections'!$H$4:$H$503,_calc!$E$450)),TEXT(INDEX('Inspections'!$H$4:$H$503,_calc!$E$450),"yyyy-mm-dd"),""))</f>
        <v/>
      </c>
      <c r="C448" s="55">
        <f>IF(_calc!$E$450="","","Inspection")</f>
        <v/>
      </c>
      <c r="D448" s="55">
        <f>IF(_calc!$E$450="","",IF(ISNUMBER(INDEX('Inspections'!$G$4:$G$503,_calc!$E$450)),TEXT(INDEX('Inspections'!$G$4:$G$503,_calc!$E$450),"yyyy-mm-dd"),""))</f>
        <v/>
      </c>
      <c r="F448" s="55">
        <f>IF(_calc!$E$450="","",TRIM(IF(LEN(IF(LEN(INDEX('Inspections'!$B$4:$B$503,_calc!$E$450))=0,"",INDEX('Inspections'!$B$4:$B$503,_calc!$E$450)))=0,"","System: "&amp;IF(LEN(INDEX('Inspections'!$B$4:$B$503,_calc!$E$450))=0,"",INDEX('Inspections'!$B$4:$B$503,_calc!$E$450))&amp;". ")&amp;IF(LEN(IF(LEN(INDEX('Inspections'!$D$4:$D$503,_calc!$E$450))=0,"",INDEX('Inspections'!$D$4:$D$503,_calc!$E$450)))=0,"","Every: "&amp;IF(LEN(INDEX('Inspections'!$D$4:$D$503,_calc!$E$450))=0,"",INDEX('Inspections'!$D$4:$D$503,_calc!$E$450))&amp;". ")&amp;IF(LEN(IF(LEN(INDEX('Inspections'!$E$4:$E$503,_calc!$E$450))=0,"",INDEX('Inspections'!$E$4:$E$503,_calc!$E$450)))=0,"","Unit: "&amp;IF(LEN(INDEX('Inspections'!$E$4:$E$503,_calc!$E$450))=0,"",INDEX('Inspections'!$E$4:$E$503,_calc!$E$450))&amp;". ")&amp;IF(LEN(IF(LEN(INDEX('Inspections'!$F$4:$F$503,_calc!$E$450))=0,"",INDEX('Inspections'!$F$4:$F$503,_calc!$E$450)))=0,"","Done by: "&amp;IF(LEN(INDEX('Inspections'!$F$4:$F$503,_calc!$E$450))=0,"",INDEX('Inspections'!$F$4:$F$503,_calc!$E$450))&amp;". ")&amp;IF(LEN(IF(LEN(INDEX('Inspections'!$M$4:$M$503,_calc!$E$450))=0,"",INDEX('Inspections'!$M$4:$M$503,_calc!$E$450)))=0,"","Source: "&amp;IF(LEN(INDEX('Inspections'!$M$4:$M$503,_calc!$E$450))=0,"",INDEX('Inspections'!$M$4:$M$503,_calc!$E$450))&amp;". ")&amp;IF(LEN(IF(LEN(INDEX('Inspections'!$N$4:$N$503,_calc!$E$450))=0,"",INDEX('Inspections'!$N$4:$N$503,_calc!$E$450)))=0,"","Owner: "&amp;IF(LEN(INDEX('Inspections'!$N$4:$N$503,_calc!$E$450))=0,"",INDEX('Inspections'!$N$4:$N$503,_calc!$E$450))&amp;". ")&amp;IF(LEN(IF(LEN(INDEX('Inspections'!$O$4:$O$503,_calc!$E$450))=0,"",INDEX('Inspections'!$O$4:$O$503,_calc!$E$450)))=0,"","Backup: "&amp;IF(LEN(INDEX('Inspections'!$O$4:$O$503,_calc!$E$450))=0,"",INDEX('Inspections'!$O$4:$O$503,_calc!$E$450))&amp;". ")&amp;IF(LEN(IF(LEN(INDEX('Inspections'!$R$4:$R$503,_calc!$E$450))=0,"",INDEX('Inspections'!$R$4:$R$503,_calc!$E$450)))=0,"",IF(LEN(INDEX('Inspections'!$R$4:$R$503,_calc!$E$450))=0,"",INDEX('Inspections'!$R$4:$R$503,_calc!$E$450)))))</f>
        <v/>
      </c>
      <c r="G448" s="55">
        <f>IF(_calc!$E$450="","",IF(LEN(INDEX('Inspections'!$Q$4:$Q$503,_calc!$E$450))=0,"",INDEX('Inspections'!$Q$4:$Q$503,_calc!$E$450)))</f>
        <v/>
      </c>
      <c r="K448" s="55">
        <f>IF(_calc!$E$450="","",IF(LEN(INDEX('Inspections'!$P$4:$P$503,_calc!$E$450))=0,"",INDEX('Inspections'!$P$4:$P$503,_calc!$E$450)))</f>
        <v/>
      </c>
    </row>
    <row r="449">
      <c r="A449" s="55">
        <f>IF(_calc!$E$451="","",IF(LEN(INDEX('Inspections'!$C$4:$C$503,_calc!$E$451))=0,"",INDEX('Inspections'!$C$4:$C$503,_calc!$E$451))&amp;" – "&amp;IF(LEN(INDEX('Inspections'!$A$4:$A$503,_calc!$E$451))=0,"",INDEX('Inspections'!$A$4:$A$503,_calc!$E$451)))</f>
        <v/>
      </c>
      <c r="B449" s="55">
        <f>IF(_calc!$E$451="","",IF(ISNUMBER(INDEX('Inspections'!$H$4:$H$503,_calc!$E$451)),TEXT(INDEX('Inspections'!$H$4:$H$503,_calc!$E$451),"yyyy-mm-dd"),""))</f>
        <v/>
      </c>
      <c r="C449" s="55">
        <f>IF(_calc!$E$451="","","Inspection")</f>
        <v/>
      </c>
      <c r="D449" s="55">
        <f>IF(_calc!$E$451="","",IF(ISNUMBER(INDEX('Inspections'!$G$4:$G$503,_calc!$E$451)),TEXT(INDEX('Inspections'!$G$4:$G$503,_calc!$E$451),"yyyy-mm-dd"),""))</f>
        <v/>
      </c>
      <c r="F449" s="55">
        <f>IF(_calc!$E$451="","",TRIM(IF(LEN(IF(LEN(INDEX('Inspections'!$B$4:$B$503,_calc!$E$451))=0,"",INDEX('Inspections'!$B$4:$B$503,_calc!$E$451)))=0,"","System: "&amp;IF(LEN(INDEX('Inspections'!$B$4:$B$503,_calc!$E$451))=0,"",INDEX('Inspections'!$B$4:$B$503,_calc!$E$451))&amp;". ")&amp;IF(LEN(IF(LEN(INDEX('Inspections'!$D$4:$D$503,_calc!$E$451))=0,"",INDEX('Inspections'!$D$4:$D$503,_calc!$E$451)))=0,"","Every: "&amp;IF(LEN(INDEX('Inspections'!$D$4:$D$503,_calc!$E$451))=0,"",INDEX('Inspections'!$D$4:$D$503,_calc!$E$451))&amp;". ")&amp;IF(LEN(IF(LEN(INDEX('Inspections'!$E$4:$E$503,_calc!$E$451))=0,"",INDEX('Inspections'!$E$4:$E$503,_calc!$E$451)))=0,"","Unit: "&amp;IF(LEN(INDEX('Inspections'!$E$4:$E$503,_calc!$E$451))=0,"",INDEX('Inspections'!$E$4:$E$503,_calc!$E$451))&amp;". ")&amp;IF(LEN(IF(LEN(INDEX('Inspections'!$F$4:$F$503,_calc!$E$451))=0,"",INDEX('Inspections'!$F$4:$F$503,_calc!$E$451)))=0,"","Done by: "&amp;IF(LEN(INDEX('Inspections'!$F$4:$F$503,_calc!$E$451))=0,"",INDEX('Inspections'!$F$4:$F$503,_calc!$E$451))&amp;". ")&amp;IF(LEN(IF(LEN(INDEX('Inspections'!$M$4:$M$503,_calc!$E$451))=0,"",INDEX('Inspections'!$M$4:$M$503,_calc!$E$451)))=0,"","Source: "&amp;IF(LEN(INDEX('Inspections'!$M$4:$M$503,_calc!$E$451))=0,"",INDEX('Inspections'!$M$4:$M$503,_calc!$E$451))&amp;". ")&amp;IF(LEN(IF(LEN(INDEX('Inspections'!$N$4:$N$503,_calc!$E$451))=0,"",INDEX('Inspections'!$N$4:$N$503,_calc!$E$451)))=0,"","Owner: "&amp;IF(LEN(INDEX('Inspections'!$N$4:$N$503,_calc!$E$451))=0,"",INDEX('Inspections'!$N$4:$N$503,_calc!$E$451))&amp;". ")&amp;IF(LEN(IF(LEN(INDEX('Inspections'!$O$4:$O$503,_calc!$E$451))=0,"",INDEX('Inspections'!$O$4:$O$503,_calc!$E$451)))=0,"","Backup: "&amp;IF(LEN(INDEX('Inspections'!$O$4:$O$503,_calc!$E$451))=0,"",INDEX('Inspections'!$O$4:$O$503,_calc!$E$451))&amp;". ")&amp;IF(LEN(IF(LEN(INDEX('Inspections'!$R$4:$R$503,_calc!$E$451))=0,"",INDEX('Inspections'!$R$4:$R$503,_calc!$E$451)))=0,"",IF(LEN(INDEX('Inspections'!$R$4:$R$503,_calc!$E$451))=0,"",INDEX('Inspections'!$R$4:$R$503,_calc!$E$451)))))</f>
        <v/>
      </c>
      <c r="G449" s="55">
        <f>IF(_calc!$E$451="","",IF(LEN(INDEX('Inspections'!$Q$4:$Q$503,_calc!$E$451))=0,"",INDEX('Inspections'!$Q$4:$Q$503,_calc!$E$451)))</f>
        <v/>
      </c>
      <c r="K449" s="55">
        <f>IF(_calc!$E$451="","",IF(LEN(INDEX('Inspections'!$P$4:$P$503,_calc!$E$451))=0,"",INDEX('Inspections'!$P$4:$P$503,_calc!$E$451)))</f>
        <v/>
      </c>
    </row>
    <row r="450">
      <c r="A450" s="55">
        <f>IF(_calc!$E$452="","",IF(LEN(INDEX('Inspections'!$C$4:$C$503,_calc!$E$452))=0,"",INDEX('Inspections'!$C$4:$C$503,_calc!$E$452))&amp;" – "&amp;IF(LEN(INDEX('Inspections'!$A$4:$A$503,_calc!$E$452))=0,"",INDEX('Inspections'!$A$4:$A$503,_calc!$E$452)))</f>
        <v/>
      </c>
      <c r="B450" s="55">
        <f>IF(_calc!$E$452="","",IF(ISNUMBER(INDEX('Inspections'!$H$4:$H$503,_calc!$E$452)),TEXT(INDEX('Inspections'!$H$4:$H$503,_calc!$E$452),"yyyy-mm-dd"),""))</f>
        <v/>
      </c>
      <c r="C450" s="55">
        <f>IF(_calc!$E$452="","","Inspection")</f>
        <v/>
      </c>
      <c r="D450" s="55">
        <f>IF(_calc!$E$452="","",IF(ISNUMBER(INDEX('Inspections'!$G$4:$G$503,_calc!$E$452)),TEXT(INDEX('Inspections'!$G$4:$G$503,_calc!$E$452),"yyyy-mm-dd"),""))</f>
        <v/>
      </c>
      <c r="F450" s="55">
        <f>IF(_calc!$E$452="","",TRIM(IF(LEN(IF(LEN(INDEX('Inspections'!$B$4:$B$503,_calc!$E$452))=0,"",INDEX('Inspections'!$B$4:$B$503,_calc!$E$452)))=0,"","System: "&amp;IF(LEN(INDEX('Inspections'!$B$4:$B$503,_calc!$E$452))=0,"",INDEX('Inspections'!$B$4:$B$503,_calc!$E$452))&amp;". ")&amp;IF(LEN(IF(LEN(INDEX('Inspections'!$D$4:$D$503,_calc!$E$452))=0,"",INDEX('Inspections'!$D$4:$D$503,_calc!$E$452)))=0,"","Every: "&amp;IF(LEN(INDEX('Inspections'!$D$4:$D$503,_calc!$E$452))=0,"",INDEX('Inspections'!$D$4:$D$503,_calc!$E$452))&amp;". ")&amp;IF(LEN(IF(LEN(INDEX('Inspections'!$E$4:$E$503,_calc!$E$452))=0,"",INDEX('Inspections'!$E$4:$E$503,_calc!$E$452)))=0,"","Unit: "&amp;IF(LEN(INDEX('Inspections'!$E$4:$E$503,_calc!$E$452))=0,"",INDEX('Inspections'!$E$4:$E$503,_calc!$E$452))&amp;". ")&amp;IF(LEN(IF(LEN(INDEX('Inspections'!$F$4:$F$503,_calc!$E$452))=0,"",INDEX('Inspections'!$F$4:$F$503,_calc!$E$452)))=0,"","Done by: "&amp;IF(LEN(INDEX('Inspections'!$F$4:$F$503,_calc!$E$452))=0,"",INDEX('Inspections'!$F$4:$F$503,_calc!$E$452))&amp;". ")&amp;IF(LEN(IF(LEN(INDEX('Inspections'!$M$4:$M$503,_calc!$E$452))=0,"",INDEX('Inspections'!$M$4:$M$503,_calc!$E$452)))=0,"","Source: "&amp;IF(LEN(INDEX('Inspections'!$M$4:$M$503,_calc!$E$452))=0,"",INDEX('Inspections'!$M$4:$M$503,_calc!$E$452))&amp;". ")&amp;IF(LEN(IF(LEN(INDEX('Inspections'!$N$4:$N$503,_calc!$E$452))=0,"",INDEX('Inspections'!$N$4:$N$503,_calc!$E$452)))=0,"","Owner: "&amp;IF(LEN(INDEX('Inspections'!$N$4:$N$503,_calc!$E$452))=0,"",INDEX('Inspections'!$N$4:$N$503,_calc!$E$452))&amp;". ")&amp;IF(LEN(IF(LEN(INDEX('Inspections'!$O$4:$O$503,_calc!$E$452))=0,"",INDEX('Inspections'!$O$4:$O$503,_calc!$E$452)))=0,"","Backup: "&amp;IF(LEN(INDEX('Inspections'!$O$4:$O$503,_calc!$E$452))=0,"",INDEX('Inspections'!$O$4:$O$503,_calc!$E$452))&amp;". ")&amp;IF(LEN(IF(LEN(INDEX('Inspections'!$R$4:$R$503,_calc!$E$452))=0,"",INDEX('Inspections'!$R$4:$R$503,_calc!$E$452)))=0,"",IF(LEN(INDEX('Inspections'!$R$4:$R$503,_calc!$E$452))=0,"",INDEX('Inspections'!$R$4:$R$503,_calc!$E$452)))))</f>
        <v/>
      </c>
      <c r="G450" s="55">
        <f>IF(_calc!$E$452="","",IF(LEN(INDEX('Inspections'!$Q$4:$Q$503,_calc!$E$452))=0,"",INDEX('Inspections'!$Q$4:$Q$503,_calc!$E$452)))</f>
        <v/>
      </c>
      <c r="K450" s="55">
        <f>IF(_calc!$E$452="","",IF(LEN(INDEX('Inspections'!$P$4:$P$503,_calc!$E$452))=0,"",INDEX('Inspections'!$P$4:$P$503,_calc!$E$452)))</f>
        <v/>
      </c>
    </row>
    <row r="451">
      <c r="A451" s="55">
        <f>IF(_calc!$E$453="","",IF(LEN(INDEX('Inspections'!$C$4:$C$503,_calc!$E$453))=0,"",INDEX('Inspections'!$C$4:$C$503,_calc!$E$453))&amp;" – "&amp;IF(LEN(INDEX('Inspections'!$A$4:$A$503,_calc!$E$453))=0,"",INDEX('Inspections'!$A$4:$A$503,_calc!$E$453)))</f>
        <v/>
      </c>
      <c r="B451" s="55">
        <f>IF(_calc!$E$453="","",IF(ISNUMBER(INDEX('Inspections'!$H$4:$H$503,_calc!$E$453)),TEXT(INDEX('Inspections'!$H$4:$H$503,_calc!$E$453),"yyyy-mm-dd"),""))</f>
        <v/>
      </c>
      <c r="C451" s="55">
        <f>IF(_calc!$E$453="","","Inspection")</f>
        <v/>
      </c>
      <c r="D451" s="55">
        <f>IF(_calc!$E$453="","",IF(ISNUMBER(INDEX('Inspections'!$G$4:$G$503,_calc!$E$453)),TEXT(INDEX('Inspections'!$G$4:$G$503,_calc!$E$453),"yyyy-mm-dd"),""))</f>
        <v/>
      </c>
      <c r="F451" s="55">
        <f>IF(_calc!$E$453="","",TRIM(IF(LEN(IF(LEN(INDEX('Inspections'!$B$4:$B$503,_calc!$E$453))=0,"",INDEX('Inspections'!$B$4:$B$503,_calc!$E$453)))=0,"","System: "&amp;IF(LEN(INDEX('Inspections'!$B$4:$B$503,_calc!$E$453))=0,"",INDEX('Inspections'!$B$4:$B$503,_calc!$E$453))&amp;". ")&amp;IF(LEN(IF(LEN(INDEX('Inspections'!$D$4:$D$503,_calc!$E$453))=0,"",INDEX('Inspections'!$D$4:$D$503,_calc!$E$453)))=0,"","Every: "&amp;IF(LEN(INDEX('Inspections'!$D$4:$D$503,_calc!$E$453))=0,"",INDEX('Inspections'!$D$4:$D$503,_calc!$E$453))&amp;". ")&amp;IF(LEN(IF(LEN(INDEX('Inspections'!$E$4:$E$503,_calc!$E$453))=0,"",INDEX('Inspections'!$E$4:$E$503,_calc!$E$453)))=0,"","Unit: "&amp;IF(LEN(INDEX('Inspections'!$E$4:$E$503,_calc!$E$453))=0,"",INDEX('Inspections'!$E$4:$E$503,_calc!$E$453))&amp;". ")&amp;IF(LEN(IF(LEN(INDEX('Inspections'!$F$4:$F$503,_calc!$E$453))=0,"",INDEX('Inspections'!$F$4:$F$503,_calc!$E$453)))=0,"","Done by: "&amp;IF(LEN(INDEX('Inspections'!$F$4:$F$503,_calc!$E$453))=0,"",INDEX('Inspections'!$F$4:$F$503,_calc!$E$453))&amp;". ")&amp;IF(LEN(IF(LEN(INDEX('Inspections'!$M$4:$M$503,_calc!$E$453))=0,"",INDEX('Inspections'!$M$4:$M$503,_calc!$E$453)))=0,"","Source: "&amp;IF(LEN(INDEX('Inspections'!$M$4:$M$503,_calc!$E$453))=0,"",INDEX('Inspections'!$M$4:$M$503,_calc!$E$453))&amp;". ")&amp;IF(LEN(IF(LEN(INDEX('Inspections'!$N$4:$N$503,_calc!$E$453))=0,"",INDEX('Inspections'!$N$4:$N$503,_calc!$E$453)))=0,"","Owner: "&amp;IF(LEN(INDEX('Inspections'!$N$4:$N$503,_calc!$E$453))=0,"",INDEX('Inspections'!$N$4:$N$503,_calc!$E$453))&amp;". ")&amp;IF(LEN(IF(LEN(INDEX('Inspections'!$O$4:$O$503,_calc!$E$453))=0,"",INDEX('Inspections'!$O$4:$O$503,_calc!$E$453)))=0,"","Backup: "&amp;IF(LEN(INDEX('Inspections'!$O$4:$O$503,_calc!$E$453))=0,"",INDEX('Inspections'!$O$4:$O$503,_calc!$E$453))&amp;". ")&amp;IF(LEN(IF(LEN(INDEX('Inspections'!$R$4:$R$503,_calc!$E$453))=0,"",INDEX('Inspections'!$R$4:$R$503,_calc!$E$453)))=0,"",IF(LEN(INDEX('Inspections'!$R$4:$R$503,_calc!$E$453))=0,"",INDEX('Inspections'!$R$4:$R$503,_calc!$E$453)))))</f>
        <v/>
      </c>
      <c r="G451" s="55">
        <f>IF(_calc!$E$453="","",IF(LEN(INDEX('Inspections'!$Q$4:$Q$503,_calc!$E$453))=0,"",INDEX('Inspections'!$Q$4:$Q$503,_calc!$E$453)))</f>
        <v/>
      </c>
      <c r="K451" s="55">
        <f>IF(_calc!$E$453="","",IF(LEN(INDEX('Inspections'!$P$4:$P$503,_calc!$E$453))=0,"",INDEX('Inspections'!$P$4:$P$503,_calc!$E$453)))</f>
        <v/>
      </c>
    </row>
    <row r="452">
      <c r="A452" s="55">
        <f>IF(_calc!$E$454="","",IF(LEN(INDEX('Inspections'!$C$4:$C$503,_calc!$E$454))=0,"",INDEX('Inspections'!$C$4:$C$503,_calc!$E$454))&amp;" – "&amp;IF(LEN(INDEX('Inspections'!$A$4:$A$503,_calc!$E$454))=0,"",INDEX('Inspections'!$A$4:$A$503,_calc!$E$454)))</f>
        <v/>
      </c>
      <c r="B452" s="55">
        <f>IF(_calc!$E$454="","",IF(ISNUMBER(INDEX('Inspections'!$H$4:$H$503,_calc!$E$454)),TEXT(INDEX('Inspections'!$H$4:$H$503,_calc!$E$454),"yyyy-mm-dd"),""))</f>
        <v/>
      </c>
      <c r="C452" s="55">
        <f>IF(_calc!$E$454="","","Inspection")</f>
        <v/>
      </c>
      <c r="D452" s="55">
        <f>IF(_calc!$E$454="","",IF(ISNUMBER(INDEX('Inspections'!$G$4:$G$503,_calc!$E$454)),TEXT(INDEX('Inspections'!$G$4:$G$503,_calc!$E$454),"yyyy-mm-dd"),""))</f>
        <v/>
      </c>
      <c r="F452" s="55">
        <f>IF(_calc!$E$454="","",TRIM(IF(LEN(IF(LEN(INDEX('Inspections'!$B$4:$B$503,_calc!$E$454))=0,"",INDEX('Inspections'!$B$4:$B$503,_calc!$E$454)))=0,"","System: "&amp;IF(LEN(INDEX('Inspections'!$B$4:$B$503,_calc!$E$454))=0,"",INDEX('Inspections'!$B$4:$B$503,_calc!$E$454))&amp;". ")&amp;IF(LEN(IF(LEN(INDEX('Inspections'!$D$4:$D$503,_calc!$E$454))=0,"",INDEX('Inspections'!$D$4:$D$503,_calc!$E$454)))=0,"","Every: "&amp;IF(LEN(INDEX('Inspections'!$D$4:$D$503,_calc!$E$454))=0,"",INDEX('Inspections'!$D$4:$D$503,_calc!$E$454))&amp;". ")&amp;IF(LEN(IF(LEN(INDEX('Inspections'!$E$4:$E$503,_calc!$E$454))=0,"",INDEX('Inspections'!$E$4:$E$503,_calc!$E$454)))=0,"","Unit: "&amp;IF(LEN(INDEX('Inspections'!$E$4:$E$503,_calc!$E$454))=0,"",INDEX('Inspections'!$E$4:$E$503,_calc!$E$454))&amp;". ")&amp;IF(LEN(IF(LEN(INDEX('Inspections'!$F$4:$F$503,_calc!$E$454))=0,"",INDEX('Inspections'!$F$4:$F$503,_calc!$E$454)))=0,"","Done by: "&amp;IF(LEN(INDEX('Inspections'!$F$4:$F$503,_calc!$E$454))=0,"",INDEX('Inspections'!$F$4:$F$503,_calc!$E$454))&amp;". ")&amp;IF(LEN(IF(LEN(INDEX('Inspections'!$M$4:$M$503,_calc!$E$454))=0,"",INDEX('Inspections'!$M$4:$M$503,_calc!$E$454)))=0,"","Source: "&amp;IF(LEN(INDEX('Inspections'!$M$4:$M$503,_calc!$E$454))=0,"",INDEX('Inspections'!$M$4:$M$503,_calc!$E$454))&amp;". ")&amp;IF(LEN(IF(LEN(INDEX('Inspections'!$N$4:$N$503,_calc!$E$454))=0,"",INDEX('Inspections'!$N$4:$N$503,_calc!$E$454)))=0,"","Owner: "&amp;IF(LEN(INDEX('Inspections'!$N$4:$N$503,_calc!$E$454))=0,"",INDEX('Inspections'!$N$4:$N$503,_calc!$E$454))&amp;". ")&amp;IF(LEN(IF(LEN(INDEX('Inspections'!$O$4:$O$503,_calc!$E$454))=0,"",INDEX('Inspections'!$O$4:$O$503,_calc!$E$454)))=0,"","Backup: "&amp;IF(LEN(INDEX('Inspections'!$O$4:$O$503,_calc!$E$454))=0,"",INDEX('Inspections'!$O$4:$O$503,_calc!$E$454))&amp;". ")&amp;IF(LEN(IF(LEN(INDEX('Inspections'!$R$4:$R$503,_calc!$E$454))=0,"",INDEX('Inspections'!$R$4:$R$503,_calc!$E$454)))=0,"",IF(LEN(INDEX('Inspections'!$R$4:$R$503,_calc!$E$454))=0,"",INDEX('Inspections'!$R$4:$R$503,_calc!$E$454)))))</f>
        <v/>
      </c>
      <c r="G452" s="55">
        <f>IF(_calc!$E$454="","",IF(LEN(INDEX('Inspections'!$Q$4:$Q$503,_calc!$E$454))=0,"",INDEX('Inspections'!$Q$4:$Q$503,_calc!$E$454)))</f>
        <v/>
      </c>
      <c r="K452" s="55">
        <f>IF(_calc!$E$454="","",IF(LEN(INDEX('Inspections'!$P$4:$P$503,_calc!$E$454))=0,"",INDEX('Inspections'!$P$4:$P$503,_calc!$E$454)))</f>
        <v/>
      </c>
    </row>
    <row r="453">
      <c r="A453" s="55">
        <f>IF(_calc!$E$455="","",IF(LEN(INDEX('Inspections'!$C$4:$C$503,_calc!$E$455))=0,"",INDEX('Inspections'!$C$4:$C$503,_calc!$E$455))&amp;" – "&amp;IF(LEN(INDEX('Inspections'!$A$4:$A$503,_calc!$E$455))=0,"",INDEX('Inspections'!$A$4:$A$503,_calc!$E$455)))</f>
        <v/>
      </c>
      <c r="B453" s="55">
        <f>IF(_calc!$E$455="","",IF(ISNUMBER(INDEX('Inspections'!$H$4:$H$503,_calc!$E$455)),TEXT(INDEX('Inspections'!$H$4:$H$503,_calc!$E$455),"yyyy-mm-dd"),""))</f>
        <v/>
      </c>
      <c r="C453" s="55">
        <f>IF(_calc!$E$455="","","Inspection")</f>
        <v/>
      </c>
      <c r="D453" s="55">
        <f>IF(_calc!$E$455="","",IF(ISNUMBER(INDEX('Inspections'!$G$4:$G$503,_calc!$E$455)),TEXT(INDEX('Inspections'!$G$4:$G$503,_calc!$E$455),"yyyy-mm-dd"),""))</f>
        <v/>
      </c>
      <c r="F453" s="55">
        <f>IF(_calc!$E$455="","",TRIM(IF(LEN(IF(LEN(INDEX('Inspections'!$B$4:$B$503,_calc!$E$455))=0,"",INDEX('Inspections'!$B$4:$B$503,_calc!$E$455)))=0,"","System: "&amp;IF(LEN(INDEX('Inspections'!$B$4:$B$503,_calc!$E$455))=0,"",INDEX('Inspections'!$B$4:$B$503,_calc!$E$455))&amp;". ")&amp;IF(LEN(IF(LEN(INDEX('Inspections'!$D$4:$D$503,_calc!$E$455))=0,"",INDEX('Inspections'!$D$4:$D$503,_calc!$E$455)))=0,"","Every: "&amp;IF(LEN(INDEX('Inspections'!$D$4:$D$503,_calc!$E$455))=0,"",INDEX('Inspections'!$D$4:$D$503,_calc!$E$455))&amp;". ")&amp;IF(LEN(IF(LEN(INDEX('Inspections'!$E$4:$E$503,_calc!$E$455))=0,"",INDEX('Inspections'!$E$4:$E$503,_calc!$E$455)))=0,"","Unit: "&amp;IF(LEN(INDEX('Inspections'!$E$4:$E$503,_calc!$E$455))=0,"",INDEX('Inspections'!$E$4:$E$503,_calc!$E$455))&amp;". ")&amp;IF(LEN(IF(LEN(INDEX('Inspections'!$F$4:$F$503,_calc!$E$455))=0,"",INDEX('Inspections'!$F$4:$F$503,_calc!$E$455)))=0,"","Done by: "&amp;IF(LEN(INDEX('Inspections'!$F$4:$F$503,_calc!$E$455))=0,"",INDEX('Inspections'!$F$4:$F$503,_calc!$E$455))&amp;". ")&amp;IF(LEN(IF(LEN(INDEX('Inspections'!$M$4:$M$503,_calc!$E$455))=0,"",INDEX('Inspections'!$M$4:$M$503,_calc!$E$455)))=0,"","Source: "&amp;IF(LEN(INDEX('Inspections'!$M$4:$M$503,_calc!$E$455))=0,"",INDEX('Inspections'!$M$4:$M$503,_calc!$E$455))&amp;". ")&amp;IF(LEN(IF(LEN(INDEX('Inspections'!$N$4:$N$503,_calc!$E$455))=0,"",INDEX('Inspections'!$N$4:$N$503,_calc!$E$455)))=0,"","Owner: "&amp;IF(LEN(INDEX('Inspections'!$N$4:$N$503,_calc!$E$455))=0,"",INDEX('Inspections'!$N$4:$N$503,_calc!$E$455))&amp;". ")&amp;IF(LEN(IF(LEN(INDEX('Inspections'!$O$4:$O$503,_calc!$E$455))=0,"",INDEX('Inspections'!$O$4:$O$503,_calc!$E$455)))=0,"","Backup: "&amp;IF(LEN(INDEX('Inspections'!$O$4:$O$503,_calc!$E$455))=0,"",INDEX('Inspections'!$O$4:$O$503,_calc!$E$455))&amp;". ")&amp;IF(LEN(IF(LEN(INDEX('Inspections'!$R$4:$R$503,_calc!$E$455))=0,"",INDEX('Inspections'!$R$4:$R$503,_calc!$E$455)))=0,"",IF(LEN(INDEX('Inspections'!$R$4:$R$503,_calc!$E$455))=0,"",INDEX('Inspections'!$R$4:$R$503,_calc!$E$455)))))</f>
        <v/>
      </c>
      <c r="G453" s="55">
        <f>IF(_calc!$E$455="","",IF(LEN(INDEX('Inspections'!$Q$4:$Q$503,_calc!$E$455))=0,"",INDEX('Inspections'!$Q$4:$Q$503,_calc!$E$455)))</f>
        <v/>
      </c>
      <c r="K453" s="55">
        <f>IF(_calc!$E$455="","",IF(LEN(INDEX('Inspections'!$P$4:$P$503,_calc!$E$455))=0,"",INDEX('Inspections'!$P$4:$P$503,_calc!$E$455)))</f>
        <v/>
      </c>
    </row>
    <row r="454">
      <c r="A454" s="55">
        <f>IF(_calc!$E$456="","",IF(LEN(INDEX('Inspections'!$C$4:$C$503,_calc!$E$456))=0,"",INDEX('Inspections'!$C$4:$C$503,_calc!$E$456))&amp;" – "&amp;IF(LEN(INDEX('Inspections'!$A$4:$A$503,_calc!$E$456))=0,"",INDEX('Inspections'!$A$4:$A$503,_calc!$E$456)))</f>
        <v/>
      </c>
      <c r="B454" s="55">
        <f>IF(_calc!$E$456="","",IF(ISNUMBER(INDEX('Inspections'!$H$4:$H$503,_calc!$E$456)),TEXT(INDEX('Inspections'!$H$4:$H$503,_calc!$E$456),"yyyy-mm-dd"),""))</f>
        <v/>
      </c>
      <c r="C454" s="55">
        <f>IF(_calc!$E$456="","","Inspection")</f>
        <v/>
      </c>
      <c r="D454" s="55">
        <f>IF(_calc!$E$456="","",IF(ISNUMBER(INDEX('Inspections'!$G$4:$G$503,_calc!$E$456)),TEXT(INDEX('Inspections'!$G$4:$G$503,_calc!$E$456),"yyyy-mm-dd"),""))</f>
        <v/>
      </c>
      <c r="F454" s="55">
        <f>IF(_calc!$E$456="","",TRIM(IF(LEN(IF(LEN(INDEX('Inspections'!$B$4:$B$503,_calc!$E$456))=0,"",INDEX('Inspections'!$B$4:$B$503,_calc!$E$456)))=0,"","System: "&amp;IF(LEN(INDEX('Inspections'!$B$4:$B$503,_calc!$E$456))=0,"",INDEX('Inspections'!$B$4:$B$503,_calc!$E$456))&amp;". ")&amp;IF(LEN(IF(LEN(INDEX('Inspections'!$D$4:$D$503,_calc!$E$456))=0,"",INDEX('Inspections'!$D$4:$D$503,_calc!$E$456)))=0,"","Every: "&amp;IF(LEN(INDEX('Inspections'!$D$4:$D$503,_calc!$E$456))=0,"",INDEX('Inspections'!$D$4:$D$503,_calc!$E$456))&amp;". ")&amp;IF(LEN(IF(LEN(INDEX('Inspections'!$E$4:$E$503,_calc!$E$456))=0,"",INDEX('Inspections'!$E$4:$E$503,_calc!$E$456)))=0,"","Unit: "&amp;IF(LEN(INDEX('Inspections'!$E$4:$E$503,_calc!$E$456))=0,"",INDEX('Inspections'!$E$4:$E$503,_calc!$E$456))&amp;". ")&amp;IF(LEN(IF(LEN(INDEX('Inspections'!$F$4:$F$503,_calc!$E$456))=0,"",INDEX('Inspections'!$F$4:$F$503,_calc!$E$456)))=0,"","Done by: "&amp;IF(LEN(INDEX('Inspections'!$F$4:$F$503,_calc!$E$456))=0,"",INDEX('Inspections'!$F$4:$F$503,_calc!$E$456))&amp;". ")&amp;IF(LEN(IF(LEN(INDEX('Inspections'!$M$4:$M$503,_calc!$E$456))=0,"",INDEX('Inspections'!$M$4:$M$503,_calc!$E$456)))=0,"","Source: "&amp;IF(LEN(INDEX('Inspections'!$M$4:$M$503,_calc!$E$456))=0,"",INDEX('Inspections'!$M$4:$M$503,_calc!$E$456))&amp;". ")&amp;IF(LEN(IF(LEN(INDEX('Inspections'!$N$4:$N$503,_calc!$E$456))=0,"",INDEX('Inspections'!$N$4:$N$503,_calc!$E$456)))=0,"","Owner: "&amp;IF(LEN(INDEX('Inspections'!$N$4:$N$503,_calc!$E$456))=0,"",INDEX('Inspections'!$N$4:$N$503,_calc!$E$456))&amp;". ")&amp;IF(LEN(IF(LEN(INDEX('Inspections'!$O$4:$O$503,_calc!$E$456))=0,"",INDEX('Inspections'!$O$4:$O$503,_calc!$E$456)))=0,"","Backup: "&amp;IF(LEN(INDEX('Inspections'!$O$4:$O$503,_calc!$E$456))=0,"",INDEX('Inspections'!$O$4:$O$503,_calc!$E$456))&amp;". ")&amp;IF(LEN(IF(LEN(INDEX('Inspections'!$R$4:$R$503,_calc!$E$456))=0,"",INDEX('Inspections'!$R$4:$R$503,_calc!$E$456)))=0,"",IF(LEN(INDEX('Inspections'!$R$4:$R$503,_calc!$E$456))=0,"",INDEX('Inspections'!$R$4:$R$503,_calc!$E$456)))))</f>
        <v/>
      </c>
      <c r="G454" s="55">
        <f>IF(_calc!$E$456="","",IF(LEN(INDEX('Inspections'!$Q$4:$Q$503,_calc!$E$456))=0,"",INDEX('Inspections'!$Q$4:$Q$503,_calc!$E$456)))</f>
        <v/>
      </c>
      <c r="K454" s="55">
        <f>IF(_calc!$E$456="","",IF(LEN(INDEX('Inspections'!$P$4:$P$503,_calc!$E$456))=0,"",INDEX('Inspections'!$P$4:$P$503,_calc!$E$456)))</f>
        <v/>
      </c>
    </row>
    <row r="455">
      <c r="A455" s="55">
        <f>IF(_calc!$E$457="","",IF(LEN(INDEX('Inspections'!$C$4:$C$503,_calc!$E$457))=0,"",INDEX('Inspections'!$C$4:$C$503,_calc!$E$457))&amp;" – "&amp;IF(LEN(INDEX('Inspections'!$A$4:$A$503,_calc!$E$457))=0,"",INDEX('Inspections'!$A$4:$A$503,_calc!$E$457)))</f>
        <v/>
      </c>
      <c r="B455" s="55">
        <f>IF(_calc!$E$457="","",IF(ISNUMBER(INDEX('Inspections'!$H$4:$H$503,_calc!$E$457)),TEXT(INDEX('Inspections'!$H$4:$H$503,_calc!$E$457),"yyyy-mm-dd"),""))</f>
        <v/>
      </c>
      <c r="C455" s="55">
        <f>IF(_calc!$E$457="","","Inspection")</f>
        <v/>
      </c>
      <c r="D455" s="55">
        <f>IF(_calc!$E$457="","",IF(ISNUMBER(INDEX('Inspections'!$G$4:$G$503,_calc!$E$457)),TEXT(INDEX('Inspections'!$G$4:$G$503,_calc!$E$457),"yyyy-mm-dd"),""))</f>
        <v/>
      </c>
      <c r="F455" s="55">
        <f>IF(_calc!$E$457="","",TRIM(IF(LEN(IF(LEN(INDEX('Inspections'!$B$4:$B$503,_calc!$E$457))=0,"",INDEX('Inspections'!$B$4:$B$503,_calc!$E$457)))=0,"","System: "&amp;IF(LEN(INDEX('Inspections'!$B$4:$B$503,_calc!$E$457))=0,"",INDEX('Inspections'!$B$4:$B$503,_calc!$E$457))&amp;". ")&amp;IF(LEN(IF(LEN(INDEX('Inspections'!$D$4:$D$503,_calc!$E$457))=0,"",INDEX('Inspections'!$D$4:$D$503,_calc!$E$457)))=0,"","Every: "&amp;IF(LEN(INDEX('Inspections'!$D$4:$D$503,_calc!$E$457))=0,"",INDEX('Inspections'!$D$4:$D$503,_calc!$E$457))&amp;". ")&amp;IF(LEN(IF(LEN(INDEX('Inspections'!$E$4:$E$503,_calc!$E$457))=0,"",INDEX('Inspections'!$E$4:$E$503,_calc!$E$457)))=0,"","Unit: "&amp;IF(LEN(INDEX('Inspections'!$E$4:$E$503,_calc!$E$457))=0,"",INDEX('Inspections'!$E$4:$E$503,_calc!$E$457))&amp;". ")&amp;IF(LEN(IF(LEN(INDEX('Inspections'!$F$4:$F$503,_calc!$E$457))=0,"",INDEX('Inspections'!$F$4:$F$503,_calc!$E$457)))=0,"","Done by: "&amp;IF(LEN(INDEX('Inspections'!$F$4:$F$503,_calc!$E$457))=0,"",INDEX('Inspections'!$F$4:$F$503,_calc!$E$457))&amp;". ")&amp;IF(LEN(IF(LEN(INDEX('Inspections'!$M$4:$M$503,_calc!$E$457))=0,"",INDEX('Inspections'!$M$4:$M$503,_calc!$E$457)))=0,"","Source: "&amp;IF(LEN(INDEX('Inspections'!$M$4:$M$503,_calc!$E$457))=0,"",INDEX('Inspections'!$M$4:$M$503,_calc!$E$457))&amp;". ")&amp;IF(LEN(IF(LEN(INDEX('Inspections'!$N$4:$N$503,_calc!$E$457))=0,"",INDEX('Inspections'!$N$4:$N$503,_calc!$E$457)))=0,"","Owner: "&amp;IF(LEN(INDEX('Inspections'!$N$4:$N$503,_calc!$E$457))=0,"",INDEX('Inspections'!$N$4:$N$503,_calc!$E$457))&amp;". ")&amp;IF(LEN(IF(LEN(INDEX('Inspections'!$O$4:$O$503,_calc!$E$457))=0,"",INDEX('Inspections'!$O$4:$O$503,_calc!$E$457)))=0,"","Backup: "&amp;IF(LEN(INDEX('Inspections'!$O$4:$O$503,_calc!$E$457))=0,"",INDEX('Inspections'!$O$4:$O$503,_calc!$E$457))&amp;". ")&amp;IF(LEN(IF(LEN(INDEX('Inspections'!$R$4:$R$503,_calc!$E$457))=0,"",INDEX('Inspections'!$R$4:$R$503,_calc!$E$457)))=0,"",IF(LEN(INDEX('Inspections'!$R$4:$R$503,_calc!$E$457))=0,"",INDEX('Inspections'!$R$4:$R$503,_calc!$E$457)))))</f>
        <v/>
      </c>
      <c r="G455" s="55">
        <f>IF(_calc!$E$457="","",IF(LEN(INDEX('Inspections'!$Q$4:$Q$503,_calc!$E$457))=0,"",INDEX('Inspections'!$Q$4:$Q$503,_calc!$E$457)))</f>
        <v/>
      </c>
      <c r="K455" s="55">
        <f>IF(_calc!$E$457="","",IF(LEN(INDEX('Inspections'!$P$4:$P$503,_calc!$E$457))=0,"",INDEX('Inspections'!$P$4:$P$503,_calc!$E$457)))</f>
        <v/>
      </c>
    </row>
    <row r="456">
      <c r="A456" s="55">
        <f>IF(_calc!$E$458="","",IF(LEN(INDEX('Inspections'!$C$4:$C$503,_calc!$E$458))=0,"",INDEX('Inspections'!$C$4:$C$503,_calc!$E$458))&amp;" – "&amp;IF(LEN(INDEX('Inspections'!$A$4:$A$503,_calc!$E$458))=0,"",INDEX('Inspections'!$A$4:$A$503,_calc!$E$458)))</f>
        <v/>
      </c>
      <c r="B456" s="55">
        <f>IF(_calc!$E$458="","",IF(ISNUMBER(INDEX('Inspections'!$H$4:$H$503,_calc!$E$458)),TEXT(INDEX('Inspections'!$H$4:$H$503,_calc!$E$458),"yyyy-mm-dd"),""))</f>
        <v/>
      </c>
      <c r="C456" s="55">
        <f>IF(_calc!$E$458="","","Inspection")</f>
        <v/>
      </c>
      <c r="D456" s="55">
        <f>IF(_calc!$E$458="","",IF(ISNUMBER(INDEX('Inspections'!$G$4:$G$503,_calc!$E$458)),TEXT(INDEX('Inspections'!$G$4:$G$503,_calc!$E$458),"yyyy-mm-dd"),""))</f>
        <v/>
      </c>
      <c r="F456" s="55">
        <f>IF(_calc!$E$458="","",TRIM(IF(LEN(IF(LEN(INDEX('Inspections'!$B$4:$B$503,_calc!$E$458))=0,"",INDEX('Inspections'!$B$4:$B$503,_calc!$E$458)))=0,"","System: "&amp;IF(LEN(INDEX('Inspections'!$B$4:$B$503,_calc!$E$458))=0,"",INDEX('Inspections'!$B$4:$B$503,_calc!$E$458))&amp;". ")&amp;IF(LEN(IF(LEN(INDEX('Inspections'!$D$4:$D$503,_calc!$E$458))=0,"",INDEX('Inspections'!$D$4:$D$503,_calc!$E$458)))=0,"","Every: "&amp;IF(LEN(INDEX('Inspections'!$D$4:$D$503,_calc!$E$458))=0,"",INDEX('Inspections'!$D$4:$D$503,_calc!$E$458))&amp;". ")&amp;IF(LEN(IF(LEN(INDEX('Inspections'!$E$4:$E$503,_calc!$E$458))=0,"",INDEX('Inspections'!$E$4:$E$503,_calc!$E$458)))=0,"","Unit: "&amp;IF(LEN(INDEX('Inspections'!$E$4:$E$503,_calc!$E$458))=0,"",INDEX('Inspections'!$E$4:$E$503,_calc!$E$458))&amp;". ")&amp;IF(LEN(IF(LEN(INDEX('Inspections'!$F$4:$F$503,_calc!$E$458))=0,"",INDEX('Inspections'!$F$4:$F$503,_calc!$E$458)))=0,"","Done by: "&amp;IF(LEN(INDEX('Inspections'!$F$4:$F$503,_calc!$E$458))=0,"",INDEX('Inspections'!$F$4:$F$503,_calc!$E$458))&amp;". ")&amp;IF(LEN(IF(LEN(INDEX('Inspections'!$M$4:$M$503,_calc!$E$458))=0,"",INDEX('Inspections'!$M$4:$M$503,_calc!$E$458)))=0,"","Source: "&amp;IF(LEN(INDEX('Inspections'!$M$4:$M$503,_calc!$E$458))=0,"",INDEX('Inspections'!$M$4:$M$503,_calc!$E$458))&amp;". ")&amp;IF(LEN(IF(LEN(INDEX('Inspections'!$N$4:$N$503,_calc!$E$458))=0,"",INDEX('Inspections'!$N$4:$N$503,_calc!$E$458)))=0,"","Owner: "&amp;IF(LEN(INDEX('Inspections'!$N$4:$N$503,_calc!$E$458))=0,"",INDEX('Inspections'!$N$4:$N$503,_calc!$E$458))&amp;". ")&amp;IF(LEN(IF(LEN(INDEX('Inspections'!$O$4:$O$503,_calc!$E$458))=0,"",INDEX('Inspections'!$O$4:$O$503,_calc!$E$458)))=0,"","Backup: "&amp;IF(LEN(INDEX('Inspections'!$O$4:$O$503,_calc!$E$458))=0,"",INDEX('Inspections'!$O$4:$O$503,_calc!$E$458))&amp;". ")&amp;IF(LEN(IF(LEN(INDEX('Inspections'!$R$4:$R$503,_calc!$E$458))=0,"",INDEX('Inspections'!$R$4:$R$503,_calc!$E$458)))=0,"",IF(LEN(INDEX('Inspections'!$R$4:$R$503,_calc!$E$458))=0,"",INDEX('Inspections'!$R$4:$R$503,_calc!$E$458)))))</f>
        <v/>
      </c>
      <c r="G456" s="55">
        <f>IF(_calc!$E$458="","",IF(LEN(INDEX('Inspections'!$Q$4:$Q$503,_calc!$E$458))=0,"",INDEX('Inspections'!$Q$4:$Q$503,_calc!$E$458)))</f>
        <v/>
      </c>
      <c r="K456" s="55">
        <f>IF(_calc!$E$458="","",IF(LEN(INDEX('Inspections'!$P$4:$P$503,_calc!$E$458))=0,"",INDEX('Inspections'!$P$4:$P$503,_calc!$E$458)))</f>
        <v/>
      </c>
    </row>
    <row r="457">
      <c r="A457" s="55">
        <f>IF(_calc!$E$459="","",IF(LEN(INDEX('Inspections'!$C$4:$C$503,_calc!$E$459))=0,"",INDEX('Inspections'!$C$4:$C$503,_calc!$E$459))&amp;" – "&amp;IF(LEN(INDEX('Inspections'!$A$4:$A$503,_calc!$E$459))=0,"",INDEX('Inspections'!$A$4:$A$503,_calc!$E$459)))</f>
        <v/>
      </c>
      <c r="B457" s="55">
        <f>IF(_calc!$E$459="","",IF(ISNUMBER(INDEX('Inspections'!$H$4:$H$503,_calc!$E$459)),TEXT(INDEX('Inspections'!$H$4:$H$503,_calc!$E$459),"yyyy-mm-dd"),""))</f>
        <v/>
      </c>
      <c r="C457" s="55">
        <f>IF(_calc!$E$459="","","Inspection")</f>
        <v/>
      </c>
      <c r="D457" s="55">
        <f>IF(_calc!$E$459="","",IF(ISNUMBER(INDEX('Inspections'!$G$4:$G$503,_calc!$E$459)),TEXT(INDEX('Inspections'!$G$4:$G$503,_calc!$E$459),"yyyy-mm-dd"),""))</f>
        <v/>
      </c>
      <c r="F457" s="55">
        <f>IF(_calc!$E$459="","",TRIM(IF(LEN(IF(LEN(INDEX('Inspections'!$B$4:$B$503,_calc!$E$459))=0,"",INDEX('Inspections'!$B$4:$B$503,_calc!$E$459)))=0,"","System: "&amp;IF(LEN(INDEX('Inspections'!$B$4:$B$503,_calc!$E$459))=0,"",INDEX('Inspections'!$B$4:$B$503,_calc!$E$459))&amp;". ")&amp;IF(LEN(IF(LEN(INDEX('Inspections'!$D$4:$D$503,_calc!$E$459))=0,"",INDEX('Inspections'!$D$4:$D$503,_calc!$E$459)))=0,"","Every: "&amp;IF(LEN(INDEX('Inspections'!$D$4:$D$503,_calc!$E$459))=0,"",INDEX('Inspections'!$D$4:$D$503,_calc!$E$459))&amp;". ")&amp;IF(LEN(IF(LEN(INDEX('Inspections'!$E$4:$E$503,_calc!$E$459))=0,"",INDEX('Inspections'!$E$4:$E$503,_calc!$E$459)))=0,"","Unit: "&amp;IF(LEN(INDEX('Inspections'!$E$4:$E$503,_calc!$E$459))=0,"",INDEX('Inspections'!$E$4:$E$503,_calc!$E$459))&amp;". ")&amp;IF(LEN(IF(LEN(INDEX('Inspections'!$F$4:$F$503,_calc!$E$459))=0,"",INDEX('Inspections'!$F$4:$F$503,_calc!$E$459)))=0,"","Done by: "&amp;IF(LEN(INDEX('Inspections'!$F$4:$F$503,_calc!$E$459))=0,"",INDEX('Inspections'!$F$4:$F$503,_calc!$E$459))&amp;". ")&amp;IF(LEN(IF(LEN(INDEX('Inspections'!$M$4:$M$503,_calc!$E$459))=0,"",INDEX('Inspections'!$M$4:$M$503,_calc!$E$459)))=0,"","Source: "&amp;IF(LEN(INDEX('Inspections'!$M$4:$M$503,_calc!$E$459))=0,"",INDEX('Inspections'!$M$4:$M$503,_calc!$E$459))&amp;". ")&amp;IF(LEN(IF(LEN(INDEX('Inspections'!$N$4:$N$503,_calc!$E$459))=0,"",INDEX('Inspections'!$N$4:$N$503,_calc!$E$459)))=0,"","Owner: "&amp;IF(LEN(INDEX('Inspections'!$N$4:$N$503,_calc!$E$459))=0,"",INDEX('Inspections'!$N$4:$N$503,_calc!$E$459))&amp;". ")&amp;IF(LEN(IF(LEN(INDEX('Inspections'!$O$4:$O$503,_calc!$E$459))=0,"",INDEX('Inspections'!$O$4:$O$503,_calc!$E$459)))=0,"","Backup: "&amp;IF(LEN(INDEX('Inspections'!$O$4:$O$503,_calc!$E$459))=0,"",INDEX('Inspections'!$O$4:$O$503,_calc!$E$459))&amp;". ")&amp;IF(LEN(IF(LEN(INDEX('Inspections'!$R$4:$R$503,_calc!$E$459))=0,"",INDEX('Inspections'!$R$4:$R$503,_calc!$E$459)))=0,"",IF(LEN(INDEX('Inspections'!$R$4:$R$503,_calc!$E$459))=0,"",INDEX('Inspections'!$R$4:$R$503,_calc!$E$459)))))</f>
        <v/>
      </c>
      <c r="G457" s="55">
        <f>IF(_calc!$E$459="","",IF(LEN(INDEX('Inspections'!$Q$4:$Q$503,_calc!$E$459))=0,"",INDEX('Inspections'!$Q$4:$Q$503,_calc!$E$459)))</f>
        <v/>
      </c>
      <c r="K457" s="55">
        <f>IF(_calc!$E$459="","",IF(LEN(INDEX('Inspections'!$P$4:$P$503,_calc!$E$459))=0,"",INDEX('Inspections'!$P$4:$P$503,_calc!$E$459)))</f>
        <v/>
      </c>
    </row>
    <row r="458">
      <c r="A458" s="55">
        <f>IF(_calc!$E$460="","",IF(LEN(INDEX('Inspections'!$C$4:$C$503,_calc!$E$460))=0,"",INDEX('Inspections'!$C$4:$C$503,_calc!$E$460))&amp;" – "&amp;IF(LEN(INDEX('Inspections'!$A$4:$A$503,_calc!$E$460))=0,"",INDEX('Inspections'!$A$4:$A$503,_calc!$E$460)))</f>
        <v/>
      </c>
      <c r="B458" s="55">
        <f>IF(_calc!$E$460="","",IF(ISNUMBER(INDEX('Inspections'!$H$4:$H$503,_calc!$E$460)),TEXT(INDEX('Inspections'!$H$4:$H$503,_calc!$E$460),"yyyy-mm-dd"),""))</f>
        <v/>
      </c>
      <c r="C458" s="55">
        <f>IF(_calc!$E$460="","","Inspection")</f>
        <v/>
      </c>
      <c r="D458" s="55">
        <f>IF(_calc!$E$460="","",IF(ISNUMBER(INDEX('Inspections'!$G$4:$G$503,_calc!$E$460)),TEXT(INDEX('Inspections'!$G$4:$G$503,_calc!$E$460),"yyyy-mm-dd"),""))</f>
        <v/>
      </c>
      <c r="F458" s="55">
        <f>IF(_calc!$E$460="","",TRIM(IF(LEN(IF(LEN(INDEX('Inspections'!$B$4:$B$503,_calc!$E$460))=0,"",INDEX('Inspections'!$B$4:$B$503,_calc!$E$460)))=0,"","System: "&amp;IF(LEN(INDEX('Inspections'!$B$4:$B$503,_calc!$E$460))=0,"",INDEX('Inspections'!$B$4:$B$503,_calc!$E$460))&amp;". ")&amp;IF(LEN(IF(LEN(INDEX('Inspections'!$D$4:$D$503,_calc!$E$460))=0,"",INDEX('Inspections'!$D$4:$D$503,_calc!$E$460)))=0,"","Every: "&amp;IF(LEN(INDEX('Inspections'!$D$4:$D$503,_calc!$E$460))=0,"",INDEX('Inspections'!$D$4:$D$503,_calc!$E$460))&amp;". ")&amp;IF(LEN(IF(LEN(INDEX('Inspections'!$E$4:$E$503,_calc!$E$460))=0,"",INDEX('Inspections'!$E$4:$E$503,_calc!$E$460)))=0,"","Unit: "&amp;IF(LEN(INDEX('Inspections'!$E$4:$E$503,_calc!$E$460))=0,"",INDEX('Inspections'!$E$4:$E$503,_calc!$E$460))&amp;". ")&amp;IF(LEN(IF(LEN(INDEX('Inspections'!$F$4:$F$503,_calc!$E$460))=0,"",INDEX('Inspections'!$F$4:$F$503,_calc!$E$460)))=0,"","Done by: "&amp;IF(LEN(INDEX('Inspections'!$F$4:$F$503,_calc!$E$460))=0,"",INDEX('Inspections'!$F$4:$F$503,_calc!$E$460))&amp;". ")&amp;IF(LEN(IF(LEN(INDEX('Inspections'!$M$4:$M$503,_calc!$E$460))=0,"",INDEX('Inspections'!$M$4:$M$503,_calc!$E$460)))=0,"","Source: "&amp;IF(LEN(INDEX('Inspections'!$M$4:$M$503,_calc!$E$460))=0,"",INDEX('Inspections'!$M$4:$M$503,_calc!$E$460))&amp;". ")&amp;IF(LEN(IF(LEN(INDEX('Inspections'!$N$4:$N$503,_calc!$E$460))=0,"",INDEX('Inspections'!$N$4:$N$503,_calc!$E$460)))=0,"","Owner: "&amp;IF(LEN(INDEX('Inspections'!$N$4:$N$503,_calc!$E$460))=0,"",INDEX('Inspections'!$N$4:$N$503,_calc!$E$460))&amp;". ")&amp;IF(LEN(IF(LEN(INDEX('Inspections'!$O$4:$O$503,_calc!$E$460))=0,"",INDEX('Inspections'!$O$4:$O$503,_calc!$E$460)))=0,"","Backup: "&amp;IF(LEN(INDEX('Inspections'!$O$4:$O$503,_calc!$E$460))=0,"",INDEX('Inspections'!$O$4:$O$503,_calc!$E$460))&amp;". ")&amp;IF(LEN(IF(LEN(INDEX('Inspections'!$R$4:$R$503,_calc!$E$460))=0,"",INDEX('Inspections'!$R$4:$R$503,_calc!$E$460)))=0,"",IF(LEN(INDEX('Inspections'!$R$4:$R$503,_calc!$E$460))=0,"",INDEX('Inspections'!$R$4:$R$503,_calc!$E$460)))))</f>
        <v/>
      </c>
      <c r="G458" s="55">
        <f>IF(_calc!$E$460="","",IF(LEN(INDEX('Inspections'!$Q$4:$Q$503,_calc!$E$460))=0,"",INDEX('Inspections'!$Q$4:$Q$503,_calc!$E$460)))</f>
        <v/>
      </c>
      <c r="K458" s="55">
        <f>IF(_calc!$E$460="","",IF(LEN(INDEX('Inspections'!$P$4:$P$503,_calc!$E$460))=0,"",INDEX('Inspections'!$P$4:$P$503,_calc!$E$460)))</f>
        <v/>
      </c>
    </row>
    <row r="459">
      <c r="A459" s="55">
        <f>IF(_calc!$E$461="","",IF(LEN(INDEX('Inspections'!$C$4:$C$503,_calc!$E$461))=0,"",INDEX('Inspections'!$C$4:$C$503,_calc!$E$461))&amp;" – "&amp;IF(LEN(INDEX('Inspections'!$A$4:$A$503,_calc!$E$461))=0,"",INDEX('Inspections'!$A$4:$A$503,_calc!$E$461)))</f>
        <v/>
      </c>
      <c r="B459" s="55">
        <f>IF(_calc!$E$461="","",IF(ISNUMBER(INDEX('Inspections'!$H$4:$H$503,_calc!$E$461)),TEXT(INDEX('Inspections'!$H$4:$H$503,_calc!$E$461),"yyyy-mm-dd"),""))</f>
        <v/>
      </c>
      <c r="C459" s="55">
        <f>IF(_calc!$E$461="","","Inspection")</f>
        <v/>
      </c>
      <c r="D459" s="55">
        <f>IF(_calc!$E$461="","",IF(ISNUMBER(INDEX('Inspections'!$G$4:$G$503,_calc!$E$461)),TEXT(INDEX('Inspections'!$G$4:$G$503,_calc!$E$461),"yyyy-mm-dd"),""))</f>
        <v/>
      </c>
      <c r="F459" s="55">
        <f>IF(_calc!$E$461="","",TRIM(IF(LEN(IF(LEN(INDEX('Inspections'!$B$4:$B$503,_calc!$E$461))=0,"",INDEX('Inspections'!$B$4:$B$503,_calc!$E$461)))=0,"","System: "&amp;IF(LEN(INDEX('Inspections'!$B$4:$B$503,_calc!$E$461))=0,"",INDEX('Inspections'!$B$4:$B$503,_calc!$E$461))&amp;". ")&amp;IF(LEN(IF(LEN(INDEX('Inspections'!$D$4:$D$503,_calc!$E$461))=0,"",INDEX('Inspections'!$D$4:$D$503,_calc!$E$461)))=0,"","Every: "&amp;IF(LEN(INDEX('Inspections'!$D$4:$D$503,_calc!$E$461))=0,"",INDEX('Inspections'!$D$4:$D$503,_calc!$E$461))&amp;". ")&amp;IF(LEN(IF(LEN(INDEX('Inspections'!$E$4:$E$503,_calc!$E$461))=0,"",INDEX('Inspections'!$E$4:$E$503,_calc!$E$461)))=0,"","Unit: "&amp;IF(LEN(INDEX('Inspections'!$E$4:$E$503,_calc!$E$461))=0,"",INDEX('Inspections'!$E$4:$E$503,_calc!$E$461))&amp;". ")&amp;IF(LEN(IF(LEN(INDEX('Inspections'!$F$4:$F$503,_calc!$E$461))=0,"",INDEX('Inspections'!$F$4:$F$503,_calc!$E$461)))=0,"","Done by: "&amp;IF(LEN(INDEX('Inspections'!$F$4:$F$503,_calc!$E$461))=0,"",INDEX('Inspections'!$F$4:$F$503,_calc!$E$461))&amp;". ")&amp;IF(LEN(IF(LEN(INDEX('Inspections'!$M$4:$M$503,_calc!$E$461))=0,"",INDEX('Inspections'!$M$4:$M$503,_calc!$E$461)))=0,"","Source: "&amp;IF(LEN(INDEX('Inspections'!$M$4:$M$503,_calc!$E$461))=0,"",INDEX('Inspections'!$M$4:$M$503,_calc!$E$461))&amp;". ")&amp;IF(LEN(IF(LEN(INDEX('Inspections'!$N$4:$N$503,_calc!$E$461))=0,"",INDEX('Inspections'!$N$4:$N$503,_calc!$E$461)))=0,"","Owner: "&amp;IF(LEN(INDEX('Inspections'!$N$4:$N$503,_calc!$E$461))=0,"",INDEX('Inspections'!$N$4:$N$503,_calc!$E$461))&amp;". ")&amp;IF(LEN(IF(LEN(INDEX('Inspections'!$O$4:$O$503,_calc!$E$461))=0,"",INDEX('Inspections'!$O$4:$O$503,_calc!$E$461)))=0,"","Backup: "&amp;IF(LEN(INDEX('Inspections'!$O$4:$O$503,_calc!$E$461))=0,"",INDEX('Inspections'!$O$4:$O$503,_calc!$E$461))&amp;". ")&amp;IF(LEN(IF(LEN(INDEX('Inspections'!$R$4:$R$503,_calc!$E$461))=0,"",INDEX('Inspections'!$R$4:$R$503,_calc!$E$461)))=0,"",IF(LEN(INDEX('Inspections'!$R$4:$R$503,_calc!$E$461))=0,"",INDEX('Inspections'!$R$4:$R$503,_calc!$E$461)))))</f>
        <v/>
      </c>
      <c r="G459" s="55">
        <f>IF(_calc!$E$461="","",IF(LEN(INDEX('Inspections'!$Q$4:$Q$503,_calc!$E$461))=0,"",INDEX('Inspections'!$Q$4:$Q$503,_calc!$E$461)))</f>
        <v/>
      </c>
      <c r="K459" s="55">
        <f>IF(_calc!$E$461="","",IF(LEN(INDEX('Inspections'!$P$4:$P$503,_calc!$E$461))=0,"",INDEX('Inspections'!$P$4:$P$503,_calc!$E$461)))</f>
        <v/>
      </c>
    </row>
    <row r="460">
      <c r="A460" s="55">
        <f>IF(_calc!$E$462="","",IF(LEN(INDEX('Inspections'!$C$4:$C$503,_calc!$E$462))=0,"",INDEX('Inspections'!$C$4:$C$503,_calc!$E$462))&amp;" – "&amp;IF(LEN(INDEX('Inspections'!$A$4:$A$503,_calc!$E$462))=0,"",INDEX('Inspections'!$A$4:$A$503,_calc!$E$462)))</f>
        <v/>
      </c>
      <c r="B460" s="55">
        <f>IF(_calc!$E$462="","",IF(ISNUMBER(INDEX('Inspections'!$H$4:$H$503,_calc!$E$462)),TEXT(INDEX('Inspections'!$H$4:$H$503,_calc!$E$462),"yyyy-mm-dd"),""))</f>
        <v/>
      </c>
      <c r="C460" s="55">
        <f>IF(_calc!$E$462="","","Inspection")</f>
        <v/>
      </c>
      <c r="D460" s="55">
        <f>IF(_calc!$E$462="","",IF(ISNUMBER(INDEX('Inspections'!$G$4:$G$503,_calc!$E$462)),TEXT(INDEX('Inspections'!$G$4:$G$503,_calc!$E$462),"yyyy-mm-dd"),""))</f>
        <v/>
      </c>
      <c r="F460" s="55">
        <f>IF(_calc!$E$462="","",TRIM(IF(LEN(IF(LEN(INDEX('Inspections'!$B$4:$B$503,_calc!$E$462))=0,"",INDEX('Inspections'!$B$4:$B$503,_calc!$E$462)))=0,"","System: "&amp;IF(LEN(INDEX('Inspections'!$B$4:$B$503,_calc!$E$462))=0,"",INDEX('Inspections'!$B$4:$B$503,_calc!$E$462))&amp;". ")&amp;IF(LEN(IF(LEN(INDEX('Inspections'!$D$4:$D$503,_calc!$E$462))=0,"",INDEX('Inspections'!$D$4:$D$503,_calc!$E$462)))=0,"","Every: "&amp;IF(LEN(INDEX('Inspections'!$D$4:$D$503,_calc!$E$462))=0,"",INDEX('Inspections'!$D$4:$D$503,_calc!$E$462))&amp;". ")&amp;IF(LEN(IF(LEN(INDEX('Inspections'!$E$4:$E$503,_calc!$E$462))=0,"",INDEX('Inspections'!$E$4:$E$503,_calc!$E$462)))=0,"","Unit: "&amp;IF(LEN(INDEX('Inspections'!$E$4:$E$503,_calc!$E$462))=0,"",INDEX('Inspections'!$E$4:$E$503,_calc!$E$462))&amp;". ")&amp;IF(LEN(IF(LEN(INDEX('Inspections'!$F$4:$F$503,_calc!$E$462))=0,"",INDEX('Inspections'!$F$4:$F$503,_calc!$E$462)))=0,"","Done by: "&amp;IF(LEN(INDEX('Inspections'!$F$4:$F$503,_calc!$E$462))=0,"",INDEX('Inspections'!$F$4:$F$503,_calc!$E$462))&amp;". ")&amp;IF(LEN(IF(LEN(INDEX('Inspections'!$M$4:$M$503,_calc!$E$462))=0,"",INDEX('Inspections'!$M$4:$M$503,_calc!$E$462)))=0,"","Source: "&amp;IF(LEN(INDEX('Inspections'!$M$4:$M$503,_calc!$E$462))=0,"",INDEX('Inspections'!$M$4:$M$503,_calc!$E$462))&amp;". ")&amp;IF(LEN(IF(LEN(INDEX('Inspections'!$N$4:$N$503,_calc!$E$462))=0,"",INDEX('Inspections'!$N$4:$N$503,_calc!$E$462)))=0,"","Owner: "&amp;IF(LEN(INDEX('Inspections'!$N$4:$N$503,_calc!$E$462))=0,"",INDEX('Inspections'!$N$4:$N$503,_calc!$E$462))&amp;". ")&amp;IF(LEN(IF(LEN(INDEX('Inspections'!$O$4:$O$503,_calc!$E$462))=0,"",INDEX('Inspections'!$O$4:$O$503,_calc!$E$462)))=0,"","Backup: "&amp;IF(LEN(INDEX('Inspections'!$O$4:$O$503,_calc!$E$462))=0,"",INDEX('Inspections'!$O$4:$O$503,_calc!$E$462))&amp;". ")&amp;IF(LEN(IF(LEN(INDEX('Inspections'!$R$4:$R$503,_calc!$E$462))=0,"",INDEX('Inspections'!$R$4:$R$503,_calc!$E$462)))=0,"",IF(LEN(INDEX('Inspections'!$R$4:$R$503,_calc!$E$462))=0,"",INDEX('Inspections'!$R$4:$R$503,_calc!$E$462)))))</f>
        <v/>
      </c>
      <c r="G460" s="55">
        <f>IF(_calc!$E$462="","",IF(LEN(INDEX('Inspections'!$Q$4:$Q$503,_calc!$E$462))=0,"",INDEX('Inspections'!$Q$4:$Q$503,_calc!$E$462)))</f>
        <v/>
      </c>
      <c r="K460" s="55">
        <f>IF(_calc!$E$462="","",IF(LEN(INDEX('Inspections'!$P$4:$P$503,_calc!$E$462))=0,"",INDEX('Inspections'!$P$4:$P$503,_calc!$E$462)))</f>
        <v/>
      </c>
    </row>
    <row r="461">
      <c r="A461" s="55">
        <f>IF(_calc!$E$463="","",IF(LEN(INDEX('Inspections'!$C$4:$C$503,_calc!$E$463))=0,"",INDEX('Inspections'!$C$4:$C$503,_calc!$E$463))&amp;" – "&amp;IF(LEN(INDEX('Inspections'!$A$4:$A$503,_calc!$E$463))=0,"",INDEX('Inspections'!$A$4:$A$503,_calc!$E$463)))</f>
        <v/>
      </c>
      <c r="B461" s="55">
        <f>IF(_calc!$E$463="","",IF(ISNUMBER(INDEX('Inspections'!$H$4:$H$503,_calc!$E$463)),TEXT(INDEX('Inspections'!$H$4:$H$503,_calc!$E$463),"yyyy-mm-dd"),""))</f>
        <v/>
      </c>
      <c r="C461" s="55">
        <f>IF(_calc!$E$463="","","Inspection")</f>
        <v/>
      </c>
      <c r="D461" s="55">
        <f>IF(_calc!$E$463="","",IF(ISNUMBER(INDEX('Inspections'!$G$4:$G$503,_calc!$E$463)),TEXT(INDEX('Inspections'!$G$4:$G$503,_calc!$E$463),"yyyy-mm-dd"),""))</f>
        <v/>
      </c>
      <c r="F461" s="55">
        <f>IF(_calc!$E$463="","",TRIM(IF(LEN(IF(LEN(INDEX('Inspections'!$B$4:$B$503,_calc!$E$463))=0,"",INDEX('Inspections'!$B$4:$B$503,_calc!$E$463)))=0,"","System: "&amp;IF(LEN(INDEX('Inspections'!$B$4:$B$503,_calc!$E$463))=0,"",INDEX('Inspections'!$B$4:$B$503,_calc!$E$463))&amp;". ")&amp;IF(LEN(IF(LEN(INDEX('Inspections'!$D$4:$D$503,_calc!$E$463))=0,"",INDEX('Inspections'!$D$4:$D$503,_calc!$E$463)))=0,"","Every: "&amp;IF(LEN(INDEX('Inspections'!$D$4:$D$503,_calc!$E$463))=0,"",INDEX('Inspections'!$D$4:$D$503,_calc!$E$463))&amp;". ")&amp;IF(LEN(IF(LEN(INDEX('Inspections'!$E$4:$E$503,_calc!$E$463))=0,"",INDEX('Inspections'!$E$4:$E$503,_calc!$E$463)))=0,"","Unit: "&amp;IF(LEN(INDEX('Inspections'!$E$4:$E$503,_calc!$E$463))=0,"",INDEX('Inspections'!$E$4:$E$503,_calc!$E$463))&amp;". ")&amp;IF(LEN(IF(LEN(INDEX('Inspections'!$F$4:$F$503,_calc!$E$463))=0,"",INDEX('Inspections'!$F$4:$F$503,_calc!$E$463)))=0,"","Done by: "&amp;IF(LEN(INDEX('Inspections'!$F$4:$F$503,_calc!$E$463))=0,"",INDEX('Inspections'!$F$4:$F$503,_calc!$E$463))&amp;". ")&amp;IF(LEN(IF(LEN(INDEX('Inspections'!$M$4:$M$503,_calc!$E$463))=0,"",INDEX('Inspections'!$M$4:$M$503,_calc!$E$463)))=0,"","Source: "&amp;IF(LEN(INDEX('Inspections'!$M$4:$M$503,_calc!$E$463))=0,"",INDEX('Inspections'!$M$4:$M$503,_calc!$E$463))&amp;". ")&amp;IF(LEN(IF(LEN(INDEX('Inspections'!$N$4:$N$503,_calc!$E$463))=0,"",INDEX('Inspections'!$N$4:$N$503,_calc!$E$463)))=0,"","Owner: "&amp;IF(LEN(INDEX('Inspections'!$N$4:$N$503,_calc!$E$463))=0,"",INDEX('Inspections'!$N$4:$N$503,_calc!$E$463))&amp;". ")&amp;IF(LEN(IF(LEN(INDEX('Inspections'!$O$4:$O$503,_calc!$E$463))=0,"",INDEX('Inspections'!$O$4:$O$503,_calc!$E$463)))=0,"","Backup: "&amp;IF(LEN(INDEX('Inspections'!$O$4:$O$503,_calc!$E$463))=0,"",INDEX('Inspections'!$O$4:$O$503,_calc!$E$463))&amp;". ")&amp;IF(LEN(IF(LEN(INDEX('Inspections'!$R$4:$R$503,_calc!$E$463))=0,"",INDEX('Inspections'!$R$4:$R$503,_calc!$E$463)))=0,"",IF(LEN(INDEX('Inspections'!$R$4:$R$503,_calc!$E$463))=0,"",INDEX('Inspections'!$R$4:$R$503,_calc!$E$463)))))</f>
        <v/>
      </c>
      <c r="G461" s="55">
        <f>IF(_calc!$E$463="","",IF(LEN(INDEX('Inspections'!$Q$4:$Q$503,_calc!$E$463))=0,"",INDEX('Inspections'!$Q$4:$Q$503,_calc!$E$463)))</f>
        <v/>
      </c>
      <c r="K461" s="55">
        <f>IF(_calc!$E$463="","",IF(LEN(INDEX('Inspections'!$P$4:$P$503,_calc!$E$463))=0,"",INDEX('Inspections'!$P$4:$P$503,_calc!$E$463)))</f>
        <v/>
      </c>
    </row>
    <row r="462">
      <c r="A462" s="55">
        <f>IF(_calc!$E$464="","",IF(LEN(INDEX('Inspections'!$C$4:$C$503,_calc!$E$464))=0,"",INDEX('Inspections'!$C$4:$C$503,_calc!$E$464))&amp;" – "&amp;IF(LEN(INDEX('Inspections'!$A$4:$A$503,_calc!$E$464))=0,"",INDEX('Inspections'!$A$4:$A$503,_calc!$E$464)))</f>
        <v/>
      </c>
      <c r="B462" s="55">
        <f>IF(_calc!$E$464="","",IF(ISNUMBER(INDEX('Inspections'!$H$4:$H$503,_calc!$E$464)),TEXT(INDEX('Inspections'!$H$4:$H$503,_calc!$E$464),"yyyy-mm-dd"),""))</f>
        <v/>
      </c>
      <c r="C462" s="55">
        <f>IF(_calc!$E$464="","","Inspection")</f>
        <v/>
      </c>
      <c r="D462" s="55">
        <f>IF(_calc!$E$464="","",IF(ISNUMBER(INDEX('Inspections'!$G$4:$G$503,_calc!$E$464)),TEXT(INDEX('Inspections'!$G$4:$G$503,_calc!$E$464),"yyyy-mm-dd"),""))</f>
        <v/>
      </c>
      <c r="F462" s="55">
        <f>IF(_calc!$E$464="","",TRIM(IF(LEN(IF(LEN(INDEX('Inspections'!$B$4:$B$503,_calc!$E$464))=0,"",INDEX('Inspections'!$B$4:$B$503,_calc!$E$464)))=0,"","System: "&amp;IF(LEN(INDEX('Inspections'!$B$4:$B$503,_calc!$E$464))=0,"",INDEX('Inspections'!$B$4:$B$503,_calc!$E$464))&amp;". ")&amp;IF(LEN(IF(LEN(INDEX('Inspections'!$D$4:$D$503,_calc!$E$464))=0,"",INDEX('Inspections'!$D$4:$D$503,_calc!$E$464)))=0,"","Every: "&amp;IF(LEN(INDEX('Inspections'!$D$4:$D$503,_calc!$E$464))=0,"",INDEX('Inspections'!$D$4:$D$503,_calc!$E$464))&amp;". ")&amp;IF(LEN(IF(LEN(INDEX('Inspections'!$E$4:$E$503,_calc!$E$464))=0,"",INDEX('Inspections'!$E$4:$E$503,_calc!$E$464)))=0,"","Unit: "&amp;IF(LEN(INDEX('Inspections'!$E$4:$E$503,_calc!$E$464))=0,"",INDEX('Inspections'!$E$4:$E$503,_calc!$E$464))&amp;". ")&amp;IF(LEN(IF(LEN(INDEX('Inspections'!$F$4:$F$503,_calc!$E$464))=0,"",INDEX('Inspections'!$F$4:$F$503,_calc!$E$464)))=0,"","Done by: "&amp;IF(LEN(INDEX('Inspections'!$F$4:$F$503,_calc!$E$464))=0,"",INDEX('Inspections'!$F$4:$F$503,_calc!$E$464))&amp;". ")&amp;IF(LEN(IF(LEN(INDEX('Inspections'!$M$4:$M$503,_calc!$E$464))=0,"",INDEX('Inspections'!$M$4:$M$503,_calc!$E$464)))=0,"","Source: "&amp;IF(LEN(INDEX('Inspections'!$M$4:$M$503,_calc!$E$464))=0,"",INDEX('Inspections'!$M$4:$M$503,_calc!$E$464))&amp;". ")&amp;IF(LEN(IF(LEN(INDEX('Inspections'!$N$4:$N$503,_calc!$E$464))=0,"",INDEX('Inspections'!$N$4:$N$503,_calc!$E$464)))=0,"","Owner: "&amp;IF(LEN(INDEX('Inspections'!$N$4:$N$503,_calc!$E$464))=0,"",INDEX('Inspections'!$N$4:$N$503,_calc!$E$464))&amp;". ")&amp;IF(LEN(IF(LEN(INDEX('Inspections'!$O$4:$O$503,_calc!$E$464))=0,"",INDEX('Inspections'!$O$4:$O$503,_calc!$E$464)))=0,"","Backup: "&amp;IF(LEN(INDEX('Inspections'!$O$4:$O$503,_calc!$E$464))=0,"",INDEX('Inspections'!$O$4:$O$503,_calc!$E$464))&amp;". ")&amp;IF(LEN(IF(LEN(INDEX('Inspections'!$R$4:$R$503,_calc!$E$464))=0,"",INDEX('Inspections'!$R$4:$R$503,_calc!$E$464)))=0,"",IF(LEN(INDEX('Inspections'!$R$4:$R$503,_calc!$E$464))=0,"",INDEX('Inspections'!$R$4:$R$503,_calc!$E$464)))))</f>
        <v/>
      </c>
      <c r="G462" s="55">
        <f>IF(_calc!$E$464="","",IF(LEN(INDEX('Inspections'!$Q$4:$Q$503,_calc!$E$464))=0,"",INDEX('Inspections'!$Q$4:$Q$503,_calc!$E$464)))</f>
        <v/>
      </c>
      <c r="K462" s="55">
        <f>IF(_calc!$E$464="","",IF(LEN(INDEX('Inspections'!$P$4:$P$503,_calc!$E$464))=0,"",INDEX('Inspections'!$P$4:$P$503,_calc!$E$464)))</f>
        <v/>
      </c>
    </row>
    <row r="463">
      <c r="A463" s="55">
        <f>IF(_calc!$E$465="","",IF(LEN(INDEX('Inspections'!$C$4:$C$503,_calc!$E$465))=0,"",INDEX('Inspections'!$C$4:$C$503,_calc!$E$465))&amp;" – "&amp;IF(LEN(INDEX('Inspections'!$A$4:$A$503,_calc!$E$465))=0,"",INDEX('Inspections'!$A$4:$A$503,_calc!$E$465)))</f>
        <v/>
      </c>
      <c r="B463" s="55">
        <f>IF(_calc!$E$465="","",IF(ISNUMBER(INDEX('Inspections'!$H$4:$H$503,_calc!$E$465)),TEXT(INDEX('Inspections'!$H$4:$H$503,_calc!$E$465),"yyyy-mm-dd"),""))</f>
        <v/>
      </c>
      <c r="C463" s="55">
        <f>IF(_calc!$E$465="","","Inspection")</f>
        <v/>
      </c>
      <c r="D463" s="55">
        <f>IF(_calc!$E$465="","",IF(ISNUMBER(INDEX('Inspections'!$G$4:$G$503,_calc!$E$465)),TEXT(INDEX('Inspections'!$G$4:$G$503,_calc!$E$465),"yyyy-mm-dd"),""))</f>
        <v/>
      </c>
      <c r="F463" s="55">
        <f>IF(_calc!$E$465="","",TRIM(IF(LEN(IF(LEN(INDEX('Inspections'!$B$4:$B$503,_calc!$E$465))=0,"",INDEX('Inspections'!$B$4:$B$503,_calc!$E$465)))=0,"","System: "&amp;IF(LEN(INDEX('Inspections'!$B$4:$B$503,_calc!$E$465))=0,"",INDEX('Inspections'!$B$4:$B$503,_calc!$E$465))&amp;". ")&amp;IF(LEN(IF(LEN(INDEX('Inspections'!$D$4:$D$503,_calc!$E$465))=0,"",INDEX('Inspections'!$D$4:$D$503,_calc!$E$465)))=0,"","Every: "&amp;IF(LEN(INDEX('Inspections'!$D$4:$D$503,_calc!$E$465))=0,"",INDEX('Inspections'!$D$4:$D$503,_calc!$E$465))&amp;". ")&amp;IF(LEN(IF(LEN(INDEX('Inspections'!$E$4:$E$503,_calc!$E$465))=0,"",INDEX('Inspections'!$E$4:$E$503,_calc!$E$465)))=0,"","Unit: "&amp;IF(LEN(INDEX('Inspections'!$E$4:$E$503,_calc!$E$465))=0,"",INDEX('Inspections'!$E$4:$E$503,_calc!$E$465))&amp;". ")&amp;IF(LEN(IF(LEN(INDEX('Inspections'!$F$4:$F$503,_calc!$E$465))=0,"",INDEX('Inspections'!$F$4:$F$503,_calc!$E$465)))=0,"","Done by: "&amp;IF(LEN(INDEX('Inspections'!$F$4:$F$503,_calc!$E$465))=0,"",INDEX('Inspections'!$F$4:$F$503,_calc!$E$465))&amp;". ")&amp;IF(LEN(IF(LEN(INDEX('Inspections'!$M$4:$M$503,_calc!$E$465))=0,"",INDEX('Inspections'!$M$4:$M$503,_calc!$E$465)))=0,"","Source: "&amp;IF(LEN(INDEX('Inspections'!$M$4:$M$503,_calc!$E$465))=0,"",INDEX('Inspections'!$M$4:$M$503,_calc!$E$465))&amp;". ")&amp;IF(LEN(IF(LEN(INDEX('Inspections'!$N$4:$N$503,_calc!$E$465))=0,"",INDEX('Inspections'!$N$4:$N$503,_calc!$E$465)))=0,"","Owner: "&amp;IF(LEN(INDEX('Inspections'!$N$4:$N$503,_calc!$E$465))=0,"",INDEX('Inspections'!$N$4:$N$503,_calc!$E$465))&amp;". ")&amp;IF(LEN(IF(LEN(INDEX('Inspections'!$O$4:$O$503,_calc!$E$465))=0,"",INDEX('Inspections'!$O$4:$O$503,_calc!$E$465)))=0,"","Backup: "&amp;IF(LEN(INDEX('Inspections'!$O$4:$O$503,_calc!$E$465))=0,"",INDEX('Inspections'!$O$4:$O$503,_calc!$E$465))&amp;". ")&amp;IF(LEN(IF(LEN(INDEX('Inspections'!$R$4:$R$503,_calc!$E$465))=0,"",INDEX('Inspections'!$R$4:$R$503,_calc!$E$465)))=0,"",IF(LEN(INDEX('Inspections'!$R$4:$R$503,_calc!$E$465))=0,"",INDEX('Inspections'!$R$4:$R$503,_calc!$E$465)))))</f>
        <v/>
      </c>
      <c r="G463" s="55">
        <f>IF(_calc!$E$465="","",IF(LEN(INDEX('Inspections'!$Q$4:$Q$503,_calc!$E$465))=0,"",INDEX('Inspections'!$Q$4:$Q$503,_calc!$E$465)))</f>
        <v/>
      </c>
      <c r="K463" s="55">
        <f>IF(_calc!$E$465="","",IF(LEN(INDEX('Inspections'!$P$4:$P$503,_calc!$E$465))=0,"",INDEX('Inspections'!$P$4:$P$503,_calc!$E$465)))</f>
        <v/>
      </c>
    </row>
    <row r="464">
      <c r="A464" s="55">
        <f>IF(_calc!$E$466="","",IF(LEN(INDEX('Inspections'!$C$4:$C$503,_calc!$E$466))=0,"",INDEX('Inspections'!$C$4:$C$503,_calc!$E$466))&amp;" – "&amp;IF(LEN(INDEX('Inspections'!$A$4:$A$503,_calc!$E$466))=0,"",INDEX('Inspections'!$A$4:$A$503,_calc!$E$466)))</f>
        <v/>
      </c>
      <c r="B464" s="55">
        <f>IF(_calc!$E$466="","",IF(ISNUMBER(INDEX('Inspections'!$H$4:$H$503,_calc!$E$466)),TEXT(INDEX('Inspections'!$H$4:$H$503,_calc!$E$466),"yyyy-mm-dd"),""))</f>
        <v/>
      </c>
      <c r="C464" s="55">
        <f>IF(_calc!$E$466="","","Inspection")</f>
        <v/>
      </c>
      <c r="D464" s="55">
        <f>IF(_calc!$E$466="","",IF(ISNUMBER(INDEX('Inspections'!$G$4:$G$503,_calc!$E$466)),TEXT(INDEX('Inspections'!$G$4:$G$503,_calc!$E$466),"yyyy-mm-dd"),""))</f>
        <v/>
      </c>
      <c r="F464" s="55">
        <f>IF(_calc!$E$466="","",TRIM(IF(LEN(IF(LEN(INDEX('Inspections'!$B$4:$B$503,_calc!$E$466))=0,"",INDEX('Inspections'!$B$4:$B$503,_calc!$E$466)))=0,"","System: "&amp;IF(LEN(INDEX('Inspections'!$B$4:$B$503,_calc!$E$466))=0,"",INDEX('Inspections'!$B$4:$B$503,_calc!$E$466))&amp;". ")&amp;IF(LEN(IF(LEN(INDEX('Inspections'!$D$4:$D$503,_calc!$E$466))=0,"",INDEX('Inspections'!$D$4:$D$503,_calc!$E$466)))=0,"","Every: "&amp;IF(LEN(INDEX('Inspections'!$D$4:$D$503,_calc!$E$466))=0,"",INDEX('Inspections'!$D$4:$D$503,_calc!$E$466))&amp;". ")&amp;IF(LEN(IF(LEN(INDEX('Inspections'!$E$4:$E$503,_calc!$E$466))=0,"",INDEX('Inspections'!$E$4:$E$503,_calc!$E$466)))=0,"","Unit: "&amp;IF(LEN(INDEX('Inspections'!$E$4:$E$503,_calc!$E$466))=0,"",INDEX('Inspections'!$E$4:$E$503,_calc!$E$466))&amp;". ")&amp;IF(LEN(IF(LEN(INDEX('Inspections'!$F$4:$F$503,_calc!$E$466))=0,"",INDEX('Inspections'!$F$4:$F$503,_calc!$E$466)))=0,"","Done by: "&amp;IF(LEN(INDEX('Inspections'!$F$4:$F$503,_calc!$E$466))=0,"",INDEX('Inspections'!$F$4:$F$503,_calc!$E$466))&amp;". ")&amp;IF(LEN(IF(LEN(INDEX('Inspections'!$M$4:$M$503,_calc!$E$466))=0,"",INDEX('Inspections'!$M$4:$M$503,_calc!$E$466)))=0,"","Source: "&amp;IF(LEN(INDEX('Inspections'!$M$4:$M$503,_calc!$E$466))=0,"",INDEX('Inspections'!$M$4:$M$503,_calc!$E$466))&amp;". ")&amp;IF(LEN(IF(LEN(INDEX('Inspections'!$N$4:$N$503,_calc!$E$466))=0,"",INDEX('Inspections'!$N$4:$N$503,_calc!$E$466)))=0,"","Owner: "&amp;IF(LEN(INDEX('Inspections'!$N$4:$N$503,_calc!$E$466))=0,"",INDEX('Inspections'!$N$4:$N$503,_calc!$E$466))&amp;". ")&amp;IF(LEN(IF(LEN(INDEX('Inspections'!$O$4:$O$503,_calc!$E$466))=0,"",INDEX('Inspections'!$O$4:$O$503,_calc!$E$466)))=0,"","Backup: "&amp;IF(LEN(INDEX('Inspections'!$O$4:$O$503,_calc!$E$466))=0,"",INDEX('Inspections'!$O$4:$O$503,_calc!$E$466))&amp;". ")&amp;IF(LEN(IF(LEN(INDEX('Inspections'!$R$4:$R$503,_calc!$E$466))=0,"",INDEX('Inspections'!$R$4:$R$503,_calc!$E$466)))=0,"",IF(LEN(INDEX('Inspections'!$R$4:$R$503,_calc!$E$466))=0,"",INDEX('Inspections'!$R$4:$R$503,_calc!$E$466)))))</f>
        <v/>
      </c>
      <c r="G464" s="55">
        <f>IF(_calc!$E$466="","",IF(LEN(INDEX('Inspections'!$Q$4:$Q$503,_calc!$E$466))=0,"",INDEX('Inspections'!$Q$4:$Q$503,_calc!$E$466)))</f>
        <v/>
      </c>
      <c r="K464" s="55">
        <f>IF(_calc!$E$466="","",IF(LEN(INDEX('Inspections'!$P$4:$P$503,_calc!$E$466))=0,"",INDEX('Inspections'!$P$4:$P$503,_calc!$E$466)))</f>
        <v/>
      </c>
    </row>
    <row r="465">
      <c r="A465" s="55">
        <f>IF(_calc!$E$467="","",IF(LEN(INDEX('Inspections'!$C$4:$C$503,_calc!$E$467))=0,"",INDEX('Inspections'!$C$4:$C$503,_calc!$E$467))&amp;" – "&amp;IF(LEN(INDEX('Inspections'!$A$4:$A$503,_calc!$E$467))=0,"",INDEX('Inspections'!$A$4:$A$503,_calc!$E$467)))</f>
        <v/>
      </c>
      <c r="B465" s="55">
        <f>IF(_calc!$E$467="","",IF(ISNUMBER(INDEX('Inspections'!$H$4:$H$503,_calc!$E$467)),TEXT(INDEX('Inspections'!$H$4:$H$503,_calc!$E$467),"yyyy-mm-dd"),""))</f>
        <v/>
      </c>
      <c r="C465" s="55">
        <f>IF(_calc!$E$467="","","Inspection")</f>
        <v/>
      </c>
      <c r="D465" s="55">
        <f>IF(_calc!$E$467="","",IF(ISNUMBER(INDEX('Inspections'!$G$4:$G$503,_calc!$E$467)),TEXT(INDEX('Inspections'!$G$4:$G$503,_calc!$E$467),"yyyy-mm-dd"),""))</f>
        <v/>
      </c>
      <c r="F465" s="55">
        <f>IF(_calc!$E$467="","",TRIM(IF(LEN(IF(LEN(INDEX('Inspections'!$B$4:$B$503,_calc!$E$467))=0,"",INDEX('Inspections'!$B$4:$B$503,_calc!$E$467)))=0,"","System: "&amp;IF(LEN(INDEX('Inspections'!$B$4:$B$503,_calc!$E$467))=0,"",INDEX('Inspections'!$B$4:$B$503,_calc!$E$467))&amp;". ")&amp;IF(LEN(IF(LEN(INDEX('Inspections'!$D$4:$D$503,_calc!$E$467))=0,"",INDEX('Inspections'!$D$4:$D$503,_calc!$E$467)))=0,"","Every: "&amp;IF(LEN(INDEX('Inspections'!$D$4:$D$503,_calc!$E$467))=0,"",INDEX('Inspections'!$D$4:$D$503,_calc!$E$467))&amp;". ")&amp;IF(LEN(IF(LEN(INDEX('Inspections'!$E$4:$E$503,_calc!$E$467))=0,"",INDEX('Inspections'!$E$4:$E$503,_calc!$E$467)))=0,"","Unit: "&amp;IF(LEN(INDEX('Inspections'!$E$4:$E$503,_calc!$E$467))=0,"",INDEX('Inspections'!$E$4:$E$503,_calc!$E$467))&amp;". ")&amp;IF(LEN(IF(LEN(INDEX('Inspections'!$F$4:$F$503,_calc!$E$467))=0,"",INDEX('Inspections'!$F$4:$F$503,_calc!$E$467)))=0,"","Done by: "&amp;IF(LEN(INDEX('Inspections'!$F$4:$F$503,_calc!$E$467))=0,"",INDEX('Inspections'!$F$4:$F$503,_calc!$E$467))&amp;". ")&amp;IF(LEN(IF(LEN(INDEX('Inspections'!$M$4:$M$503,_calc!$E$467))=0,"",INDEX('Inspections'!$M$4:$M$503,_calc!$E$467)))=0,"","Source: "&amp;IF(LEN(INDEX('Inspections'!$M$4:$M$503,_calc!$E$467))=0,"",INDEX('Inspections'!$M$4:$M$503,_calc!$E$467))&amp;". ")&amp;IF(LEN(IF(LEN(INDEX('Inspections'!$N$4:$N$503,_calc!$E$467))=0,"",INDEX('Inspections'!$N$4:$N$503,_calc!$E$467)))=0,"","Owner: "&amp;IF(LEN(INDEX('Inspections'!$N$4:$N$503,_calc!$E$467))=0,"",INDEX('Inspections'!$N$4:$N$503,_calc!$E$467))&amp;". ")&amp;IF(LEN(IF(LEN(INDEX('Inspections'!$O$4:$O$503,_calc!$E$467))=0,"",INDEX('Inspections'!$O$4:$O$503,_calc!$E$467)))=0,"","Backup: "&amp;IF(LEN(INDEX('Inspections'!$O$4:$O$503,_calc!$E$467))=0,"",INDEX('Inspections'!$O$4:$O$503,_calc!$E$467))&amp;". ")&amp;IF(LEN(IF(LEN(INDEX('Inspections'!$R$4:$R$503,_calc!$E$467))=0,"",INDEX('Inspections'!$R$4:$R$503,_calc!$E$467)))=0,"",IF(LEN(INDEX('Inspections'!$R$4:$R$503,_calc!$E$467))=0,"",INDEX('Inspections'!$R$4:$R$503,_calc!$E$467)))))</f>
        <v/>
      </c>
      <c r="G465" s="55">
        <f>IF(_calc!$E$467="","",IF(LEN(INDEX('Inspections'!$Q$4:$Q$503,_calc!$E$467))=0,"",INDEX('Inspections'!$Q$4:$Q$503,_calc!$E$467)))</f>
        <v/>
      </c>
      <c r="K465" s="55">
        <f>IF(_calc!$E$467="","",IF(LEN(INDEX('Inspections'!$P$4:$P$503,_calc!$E$467))=0,"",INDEX('Inspections'!$P$4:$P$503,_calc!$E$467)))</f>
        <v/>
      </c>
    </row>
    <row r="466">
      <c r="A466" s="55">
        <f>IF(_calc!$E$468="","",IF(LEN(INDEX('Inspections'!$C$4:$C$503,_calc!$E$468))=0,"",INDEX('Inspections'!$C$4:$C$503,_calc!$E$468))&amp;" – "&amp;IF(LEN(INDEX('Inspections'!$A$4:$A$503,_calc!$E$468))=0,"",INDEX('Inspections'!$A$4:$A$503,_calc!$E$468)))</f>
        <v/>
      </c>
      <c r="B466" s="55">
        <f>IF(_calc!$E$468="","",IF(ISNUMBER(INDEX('Inspections'!$H$4:$H$503,_calc!$E$468)),TEXT(INDEX('Inspections'!$H$4:$H$503,_calc!$E$468),"yyyy-mm-dd"),""))</f>
        <v/>
      </c>
      <c r="C466" s="55">
        <f>IF(_calc!$E$468="","","Inspection")</f>
        <v/>
      </c>
      <c r="D466" s="55">
        <f>IF(_calc!$E$468="","",IF(ISNUMBER(INDEX('Inspections'!$G$4:$G$503,_calc!$E$468)),TEXT(INDEX('Inspections'!$G$4:$G$503,_calc!$E$468),"yyyy-mm-dd"),""))</f>
        <v/>
      </c>
      <c r="F466" s="55">
        <f>IF(_calc!$E$468="","",TRIM(IF(LEN(IF(LEN(INDEX('Inspections'!$B$4:$B$503,_calc!$E$468))=0,"",INDEX('Inspections'!$B$4:$B$503,_calc!$E$468)))=0,"","System: "&amp;IF(LEN(INDEX('Inspections'!$B$4:$B$503,_calc!$E$468))=0,"",INDEX('Inspections'!$B$4:$B$503,_calc!$E$468))&amp;". ")&amp;IF(LEN(IF(LEN(INDEX('Inspections'!$D$4:$D$503,_calc!$E$468))=0,"",INDEX('Inspections'!$D$4:$D$503,_calc!$E$468)))=0,"","Every: "&amp;IF(LEN(INDEX('Inspections'!$D$4:$D$503,_calc!$E$468))=0,"",INDEX('Inspections'!$D$4:$D$503,_calc!$E$468))&amp;". ")&amp;IF(LEN(IF(LEN(INDEX('Inspections'!$E$4:$E$503,_calc!$E$468))=0,"",INDEX('Inspections'!$E$4:$E$503,_calc!$E$468)))=0,"","Unit: "&amp;IF(LEN(INDEX('Inspections'!$E$4:$E$503,_calc!$E$468))=0,"",INDEX('Inspections'!$E$4:$E$503,_calc!$E$468))&amp;". ")&amp;IF(LEN(IF(LEN(INDEX('Inspections'!$F$4:$F$503,_calc!$E$468))=0,"",INDEX('Inspections'!$F$4:$F$503,_calc!$E$468)))=0,"","Done by: "&amp;IF(LEN(INDEX('Inspections'!$F$4:$F$503,_calc!$E$468))=0,"",INDEX('Inspections'!$F$4:$F$503,_calc!$E$468))&amp;". ")&amp;IF(LEN(IF(LEN(INDEX('Inspections'!$M$4:$M$503,_calc!$E$468))=0,"",INDEX('Inspections'!$M$4:$M$503,_calc!$E$468)))=0,"","Source: "&amp;IF(LEN(INDEX('Inspections'!$M$4:$M$503,_calc!$E$468))=0,"",INDEX('Inspections'!$M$4:$M$503,_calc!$E$468))&amp;". ")&amp;IF(LEN(IF(LEN(INDEX('Inspections'!$N$4:$N$503,_calc!$E$468))=0,"",INDEX('Inspections'!$N$4:$N$503,_calc!$E$468)))=0,"","Owner: "&amp;IF(LEN(INDEX('Inspections'!$N$4:$N$503,_calc!$E$468))=0,"",INDEX('Inspections'!$N$4:$N$503,_calc!$E$468))&amp;". ")&amp;IF(LEN(IF(LEN(INDEX('Inspections'!$O$4:$O$503,_calc!$E$468))=0,"",INDEX('Inspections'!$O$4:$O$503,_calc!$E$468)))=0,"","Backup: "&amp;IF(LEN(INDEX('Inspections'!$O$4:$O$503,_calc!$E$468))=0,"",INDEX('Inspections'!$O$4:$O$503,_calc!$E$468))&amp;". ")&amp;IF(LEN(IF(LEN(INDEX('Inspections'!$R$4:$R$503,_calc!$E$468))=0,"",INDEX('Inspections'!$R$4:$R$503,_calc!$E$468)))=0,"",IF(LEN(INDEX('Inspections'!$R$4:$R$503,_calc!$E$468))=0,"",INDEX('Inspections'!$R$4:$R$503,_calc!$E$468)))))</f>
        <v/>
      </c>
      <c r="G466" s="55">
        <f>IF(_calc!$E$468="","",IF(LEN(INDEX('Inspections'!$Q$4:$Q$503,_calc!$E$468))=0,"",INDEX('Inspections'!$Q$4:$Q$503,_calc!$E$468)))</f>
        <v/>
      </c>
      <c r="K466" s="55">
        <f>IF(_calc!$E$468="","",IF(LEN(INDEX('Inspections'!$P$4:$P$503,_calc!$E$468))=0,"",INDEX('Inspections'!$P$4:$P$503,_calc!$E$468)))</f>
        <v/>
      </c>
    </row>
    <row r="467">
      <c r="A467" s="55">
        <f>IF(_calc!$E$469="","",IF(LEN(INDEX('Inspections'!$C$4:$C$503,_calc!$E$469))=0,"",INDEX('Inspections'!$C$4:$C$503,_calc!$E$469))&amp;" – "&amp;IF(LEN(INDEX('Inspections'!$A$4:$A$503,_calc!$E$469))=0,"",INDEX('Inspections'!$A$4:$A$503,_calc!$E$469)))</f>
        <v/>
      </c>
      <c r="B467" s="55">
        <f>IF(_calc!$E$469="","",IF(ISNUMBER(INDEX('Inspections'!$H$4:$H$503,_calc!$E$469)),TEXT(INDEX('Inspections'!$H$4:$H$503,_calc!$E$469),"yyyy-mm-dd"),""))</f>
        <v/>
      </c>
      <c r="C467" s="55">
        <f>IF(_calc!$E$469="","","Inspection")</f>
        <v/>
      </c>
      <c r="D467" s="55">
        <f>IF(_calc!$E$469="","",IF(ISNUMBER(INDEX('Inspections'!$G$4:$G$503,_calc!$E$469)),TEXT(INDEX('Inspections'!$G$4:$G$503,_calc!$E$469),"yyyy-mm-dd"),""))</f>
        <v/>
      </c>
      <c r="F467" s="55">
        <f>IF(_calc!$E$469="","",TRIM(IF(LEN(IF(LEN(INDEX('Inspections'!$B$4:$B$503,_calc!$E$469))=0,"",INDEX('Inspections'!$B$4:$B$503,_calc!$E$469)))=0,"","System: "&amp;IF(LEN(INDEX('Inspections'!$B$4:$B$503,_calc!$E$469))=0,"",INDEX('Inspections'!$B$4:$B$503,_calc!$E$469))&amp;". ")&amp;IF(LEN(IF(LEN(INDEX('Inspections'!$D$4:$D$503,_calc!$E$469))=0,"",INDEX('Inspections'!$D$4:$D$503,_calc!$E$469)))=0,"","Every: "&amp;IF(LEN(INDEX('Inspections'!$D$4:$D$503,_calc!$E$469))=0,"",INDEX('Inspections'!$D$4:$D$503,_calc!$E$469))&amp;". ")&amp;IF(LEN(IF(LEN(INDEX('Inspections'!$E$4:$E$503,_calc!$E$469))=0,"",INDEX('Inspections'!$E$4:$E$503,_calc!$E$469)))=0,"","Unit: "&amp;IF(LEN(INDEX('Inspections'!$E$4:$E$503,_calc!$E$469))=0,"",INDEX('Inspections'!$E$4:$E$503,_calc!$E$469))&amp;". ")&amp;IF(LEN(IF(LEN(INDEX('Inspections'!$F$4:$F$503,_calc!$E$469))=0,"",INDEX('Inspections'!$F$4:$F$503,_calc!$E$469)))=0,"","Done by: "&amp;IF(LEN(INDEX('Inspections'!$F$4:$F$503,_calc!$E$469))=0,"",INDEX('Inspections'!$F$4:$F$503,_calc!$E$469))&amp;". ")&amp;IF(LEN(IF(LEN(INDEX('Inspections'!$M$4:$M$503,_calc!$E$469))=0,"",INDEX('Inspections'!$M$4:$M$503,_calc!$E$469)))=0,"","Source: "&amp;IF(LEN(INDEX('Inspections'!$M$4:$M$503,_calc!$E$469))=0,"",INDEX('Inspections'!$M$4:$M$503,_calc!$E$469))&amp;". ")&amp;IF(LEN(IF(LEN(INDEX('Inspections'!$N$4:$N$503,_calc!$E$469))=0,"",INDEX('Inspections'!$N$4:$N$503,_calc!$E$469)))=0,"","Owner: "&amp;IF(LEN(INDEX('Inspections'!$N$4:$N$503,_calc!$E$469))=0,"",INDEX('Inspections'!$N$4:$N$503,_calc!$E$469))&amp;". ")&amp;IF(LEN(IF(LEN(INDEX('Inspections'!$O$4:$O$503,_calc!$E$469))=0,"",INDEX('Inspections'!$O$4:$O$503,_calc!$E$469)))=0,"","Backup: "&amp;IF(LEN(INDEX('Inspections'!$O$4:$O$503,_calc!$E$469))=0,"",INDEX('Inspections'!$O$4:$O$503,_calc!$E$469))&amp;". ")&amp;IF(LEN(IF(LEN(INDEX('Inspections'!$R$4:$R$503,_calc!$E$469))=0,"",INDEX('Inspections'!$R$4:$R$503,_calc!$E$469)))=0,"",IF(LEN(INDEX('Inspections'!$R$4:$R$503,_calc!$E$469))=0,"",INDEX('Inspections'!$R$4:$R$503,_calc!$E$469)))))</f>
        <v/>
      </c>
      <c r="G467" s="55">
        <f>IF(_calc!$E$469="","",IF(LEN(INDEX('Inspections'!$Q$4:$Q$503,_calc!$E$469))=0,"",INDEX('Inspections'!$Q$4:$Q$503,_calc!$E$469)))</f>
        <v/>
      </c>
      <c r="K467" s="55">
        <f>IF(_calc!$E$469="","",IF(LEN(INDEX('Inspections'!$P$4:$P$503,_calc!$E$469))=0,"",INDEX('Inspections'!$P$4:$P$503,_calc!$E$469)))</f>
        <v/>
      </c>
    </row>
    <row r="468">
      <c r="A468" s="55">
        <f>IF(_calc!$E$470="","",IF(LEN(INDEX('Inspections'!$C$4:$C$503,_calc!$E$470))=0,"",INDEX('Inspections'!$C$4:$C$503,_calc!$E$470))&amp;" – "&amp;IF(LEN(INDEX('Inspections'!$A$4:$A$503,_calc!$E$470))=0,"",INDEX('Inspections'!$A$4:$A$503,_calc!$E$470)))</f>
        <v/>
      </c>
      <c r="B468" s="55">
        <f>IF(_calc!$E$470="","",IF(ISNUMBER(INDEX('Inspections'!$H$4:$H$503,_calc!$E$470)),TEXT(INDEX('Inspections'!$H$4:$H$503,_calc!$E$470),"yyyy-mm-dd"),""))</f>
        <v/>
      </c>
      <c r="C468" s="55">
        <f>IF(_calc!$E$470="","","Inspection")</f>
        <v/>
      </c>
      <c r="D468" s="55">
        <f>IF(_calc!$E$470="","",IF(ISNUMBER(INDEX('Inspections'!$G$4:$G$503,_calc!$E$470)),TEXT(INDEX('Inspections'!$G$4:$G$503,_calc!$E$470),"yyyy-mm-dd"),""))</f>
        <v/>
      </c>
      <c r="F468" s="55">
        <f>IF(_calc!$E$470="","",TRIM(IF(LEN(IF(LEN(INDEX('Inspections'!$B$4:$B$503,_calc!$E$470))=0,"",INDEX('Inspections'!$B$4:$B$503,_calc!$E$470)))=0,"","System: "&amp;IF(LEN(INDEX('Inspections'!$B$4:$B$503,_calc!$E$470))=0,"",INDEX('Inspections'!$B$4:$B$503,_calc!$E$470))&amp;". ")&amp;IF(LEN(IF(LEN(INDEX('Inspections'!$D$4:$D$503,_calc!$E$470))=0,"",INDEX('Inspections'!$D$4:$D$503,_calc!$E$470)))=0,"","Every: "&amp;IF(LEN(INDEX('Inspections'!$D$4:$D$503,_calc!$E$470))=0,"",INDEX('Inspections'!$D$4:$D$503,_calc!$E$470))&amp;". ")&amp;IF(LEN(IF(LEN(INDEX('Inspections'!$E$4:$E$503,_calc!$E$470))=0,"",INDEX('Inspections'!$E$4:$E$503,_calc!$E$470)))=0,"","Unit: "&amp;IF(LEN(INDEX('Inspections'!$E$4:$E$503,_calc!$E$470))=0,"",INDEX('Inspections'!$E$4:$E$503,_calc!$E$470))&amp;". ")&amp;IF(LEN(IF(LEN(INDEX('Inspections'!$F$4:$F$503,_calc!$E$470))=0,"",INDEX('Inspections'!$F$4:$F$503,_calc!$E$470)))=0,"","Done by: "&amp;IF(LEN(INDEX('Inspections'!$F$4:$F$503,_calc!$E$470))=0,"",INDEX('Inspections'!$F$4:$F$503,_calc!$E$470))&amp;". ")&amp;IF(LEN(IF(LEN(INDEX('Inspections'!$M$4:$M$503,_calc!$E$470))=0,"",INDEX('Inspections'!$M$4:$M$503,_calc!$E$470)))=0,"","Source: "&amp;IF(LEN(INDEX('Inspections'!$M$4:$M$503,_calc!$E$470))=0,"",INDEX('Inspections'!$M$4:$M$503,_calc!$E$470))&amp;". ")&amp;IF(LEN(IF(LEN(INDEX('Inspections'!$N$4:$N$503,_calc!$E$470))=0,"",INDEX('Inspections'!$N$4:$N$503,_calc!$E$470)))=0,"","Owner: "&amp;IF(LEN(INDEX('Inspections'!$N$4:$N$503,_calc!$E$470))=0,"",INDEX('Inspections'!$N$4:$N$503,_calc!$E$470))&amp;". ")&amp;IF(LEN(IF(LEN(INDEX('Inspections'!$O$4:$O$503,_calc!$E$470))=0,"",INDEX('Inspections'!$O$4:$O$503,_calc!$E$470)))=0,"","Backup: "&amp;IF(LEN(INDEX('Inspections'!$O$4:$O$503,_calc!$E$470))=0,"",INDEX('Inspections'!$O$4:$O$503,_calc!$E$470))&amp;". ")&amp;IF(LEN(IF(LEN(INDEX('Inspections'!$R$4:$R$503,_calc!$E$470))=0,"",INDEX('Inspections'!$R$4:$R$503,_calc!$E$470)))=0,"",IF(LEN(INDEX('Inspections'!$R$4:$R$503,_calc!$E$470))=0,"",INDEX('Inspections'!$R$4:$R$503,_calc!$E$470)))))</f>
        <v/>
      </c>
      <c r="G468" s="55">
        <f>IF(_calc!$E$470="","",IF(LEN(INDEX('Inspections'!$Q$4:$Q$503,_calc!$E$470))=0,"",INDEX('Inspections'!$Q$4:$Q$503,_calc!$E$470)))</f>
        <v/>
      </c>
      <c r="K468" s="55">
        <f>IF(_calc!$E$470="","",IF(LEN(INDEX('Inspections'!$P$4:$P$503,_calc!$E$470))=0,"",INDEX('Inspections'!$P$4:$P$503,_calc!$E$470)))</f>
        <v/>
      </c>
    </row>
    <row r="469">
      <c r="A469" s="55">
        <f>IF(_calc!$E$471="","",IF(LEN(INDEX('Inspections'!$C$4:$C$503,_calc!$E$471))=0,"",INDEX('Inspections'!$C$4:$C$503,_calc!$E$471))&amp;" – "&amp;IF(LEN(INDEX('Inspections'!$A$4:$A$503,_calc!$E$471))=0,"",INDEX('Inspections'!$A$4:$A$503,_calc!$E$471)))</f>
        <v/>
      </c>
      <c r="B469" s="55">
        <f>IF(_calc!$E$471="","",IF(ISNUMBER(INDEX('Inspections'!$H$4:$H$503,_calc!$E$471)),TEXT(INDEX('Inspections'!$H$4:$H$503,_calc!$E$471),"yyyy-mm-dd"),""))</f>
        <v/>
      </c>
      <c r="C469" s="55">
        <f>IF(_calc!$E$471="","","Inspection")</f>
        <v/>
      </c>
      <c r="D469" s="55">
        <f>IF(_calc!$E$471="","",IF(ISNUMBER(INDEX('Inspections'!$G$4:$G$503,_calc!$E$471)),TEXT(INDEX('Inspections'!$G$4:$G$503,_calc!$E$471),"yyyy-mm-dd"),""))</f>
        <v/>
      </c>
      <c r="F469" s="55">
        <f>IF(_calc!$E$471="","",TRIM(IF(LEN(IF(LEN(INDEX('Inspections'!$B$4:$B$503,_calc!$E$471))=0,"",INDEX('Inspections'!$B$4:$B$503,_calc!$E$471)))=0,"","System: "&amp;IF(LEN(INDEX('Inspections'!$B$4:$B$503,_calc!$E$471))=0,"",INDEX('Inspections'!$B$4:$B$503,_calc!$E$471))&amp;". ")&amp;IF(LEN(IF(LEN(INDEX('Inspections'!$D$4:$D$503,_calc!$E$471))=0,"",INDEX('Inspections'!$D$4:$D$503,_calc!$E$471)))=0,"","Every: "&amp;IF(LEN(INDEX('Inspections'!$D$4:$D$503,_calc!$E$471))=0,"",INDEX('Inspections'!$D$4:$D$503,_calc!$E$471))&amp;". ")&amp;IF(LEN(IF(LEN(INDEX('Inspections'!$E$4:$E$503,_calc!$E$471))=0,"",INDEX('Inspections'!$E$4:$E$503,_calc!$E$471)))=0,"","Unit: "&amp;IF(LEN(INDEX('Inspections'!$E$4:$E$503,_calc!$E$471))=0,"",INDEX('Inspections'!$E$4:$E$503,_calc!$E$471))&amp;". ")&amp;IF(LEN(IF(LEN(INDEX('Inspections'!$F$4:$F$503,_calc!$E$471))=0,"",INDEX('Inspections'!$F$4:$F$503,_calc!$E$471)))=0,"","Done by: "&amp;IF(LEN(INDEX('Inspections'!$F$4:$F$503,_calc!$E$471))=0,"",INDEX('Inspections'!$F$4:$F$503,_calc!$E$471))&amp;". ")&amp;IF(LEN(IF(LEN(INDEX('Inspections'!$M$4:$M$503,_calc!$E$471))=0,"",INDEX('Inspections'!$M$4:$M$503,_calc!$E$471)))=0,"","Source: "&amp;IF(LEN(INDEX('Inspections'!$M$4:$M$503,_calc!$E$471))=0,"",INDEX('Inspections'!$M$4:$M$503,_calc!$E$471))&amp;". ")&amp;IF(LEN(IF(LEN(INDEX('Inspections'!$N$4:$N$503,_calc!$E$471))=0,"",INDEX('Inspections'!$N$4:$N$503,_calc!$E$471)))=0,"","Owner: "&amp;IF(LEN(INDEX('Inspections'!$N$4:$N$503,_calc!$E$471))=0,"",INDEX('Inspections'!$N$4:$N$503,_calc!$E$471))&amp;". ")&amp;IF(LEN(IF(LEN(INDEX('Inspections'!$O$4:$O$503,_calc!$E$471))=0,"",INDEX('Inspections'!$O$4:$O$503,_calc!$E$471)))=0,"","Backup: "&amp;IF(LEN(INDEX('Inspections'!$O$4:$O$503,_calc!$E$471))=0,"",INDEX('Inspections'!$O$4:$O$503,_calc!$E$471))&amp;". ")&amp;IF(LEN(IF(LEN(INDEX('Inspections'!$R$4:$R$503,_calc!$E$471))=0,"",INDEX('Inspections'!$R$4:$R$503,_calc!$E$471)))=0,"",IF(LEN(INDEX('Inspections'!$R$4:$R$503,_calc!$E$471))=0,"",INDEX('Inspections'!$R$4:$R$503,_calc!$E$471)))))</f>
        <v/>
      </c>
      <c r="G469" s="55">
        <f>IF(_calc!$E$471="","",IF(LEN(INDEX('Inspections'!$Q$4:$Q$503,_calc!$E$471))=0,"",INDEX('Inspections'!$Q$4:$Q$503,_calc!$E$471)))</f>
        <v/>
      </c>
      <c r="K469" s="55">
        <f>IF(_calc!$E$471="","",IF(LEN(INDEX('Inspections'!$P$4:$P$503,_calc!$E$471))=0,"",INDEX('Inspections'!$P$4:$P$503,_calc!$E$471)))</f>
        <v/>
      </c>
    </row>
    <row r="470">
      <c r="A470" s="55">
        <f>IF(_calc!$E$472="","",IF(LEN(INDEX('Inspections'!$C$4:$C$503,_calc!$E$472))=0,"",INDEX('Inspections'!$C$4:$C$503,_calc!$E$472))&amp;" – "&amp;IF(LEN(INDEX('Inspections'!$A$4:$A$503,_calc!$E$472))=0,"",INDEX('Inspections'!$A$4:$A$503,_calc!$E$472)))</f>
        <v/>
      </c>
      <c r="B470" s="55">
        <f>IF(_calc!$E$472="","",IF(ISNUMBER(INDEX('Inspections'!$H$4:$H$503,_calc!$E$472)),TEXT(INDEX('Inspections'!$H$4:$H$503,_calc!$E$472),"yyyy-mm-dd"),""))</f>
        <v/>
      </c>
      <c r="C470" s="55">
        <f>IF(_calc!$E$472="","","Inspection")</f>
        <v/>
      </c>
      <c r="D470" s="55">
        <f>IF(_calc!$E$472="","",IF(ISNUMBER(INDEX('Inspections'!$G$4:$G$503,_calc!$E$472)),TEXT(INDEX('Inspections'!$G$4:$G$503,_calc!$E$472),"yyyy-mm-dd"),""))</f>
        <v/>
      </c>
      <c r="F470" s="55">
        <f>IF(_calc!$E$472="","",TRIM(IF(LEN(IF(LEN(INDEX('Inspections'!$B$4:$B$503,_calc!$E$472))=0,"",INDEX('Inspections'!$B$4:$B$503,_calc!$E$472)))=0,"","System: "&amp;IF(LEN(INDEX('Inspections'!$B$4:$B$503,_calc!$E$472))=0,"",INDEX('Inspections'!$B$4:$B$503,_calc!$E$472))&amp;". ")&amp;IF(LEN(IF(LEN(INDEX('Inspections'!$D$4:$D$503,_calc!$E$472))=0,"",INDEX('Inspections'!$D$4:$D$503,_calc!$E$472)))=0,"","Every: "&amp;IF(LEN(INDEX('Inspections'!$D$4:$D$503,_calc!$E$472))=0,"",INDEX('Inspections'!$D$4:$D$503,_calc!$E$472))&amp;". ")&amp;IF(LEN(IF(LEN(INDEX('Inspections'!$E$4:$E$503,_calc!$E$472))=0,"",INDEX('Inspections'!$E$4:$E$503,_calc!$E$472)))=0,"","Unit: "&amp;IF(LEN(INDEX('Inspections'!$E$4:$E$503,_calc!$E$472))=0,"",INDEX('Inspections'!$E$4:$E$503,_calc!$E$472))&amp;". ")&amp;IF(LEN(IF(LEN(INDEX('Inspections'!$F$4:$F$503,_calc!$E$472))=0,"",INDEX('Inspections'!$F$4:$F$503,_calc!$E$472)))=0,"","Done by: "&amp;IF(LEN(INDEX('Inspections'!$F$4:$F$503,_calc!$E$472))=0,"",INDEX('Inspections'!$F$4:$F$503,_calc!$E$472))&amp;". ")&amp;IF(LEN(IF(LEN(INDEX('Inspections'!$M$4:$M$503,_calc!$E$472))=0,"",INDEX('Inspections'!$M$4:$M$503,_calc!$E$472)))=0,"","Source: "&amp;IF(LEN(INDEX('Inspections'!$M$4:$M$503,_calc!$E$472))=0,"",INDEX('Inspections'!$M$4:$M$503,_calc!$E$472))&amp;". ")&amp;IF(LEN(IF(LEN(INDEX('Inspections'!$N$4:$N$503,_calc!$E$472))=0,"",INDEX('Inspections'!$N$4:$N$503,_calc!$E$472)))=0,"","Owner: "&amp;IF(LEN(INDEX('Inspections'!$N$4:$N$503,_calc!$E$472))=0,"",INDEX('Inspections'!$N$4:$N$503,_calc!$E$472))&amp;". ")&amp;IF(LEN(IF(LEN(INDEX('Inspections'!$O$4:$O$503,_calc!$E$472))=0,"",INDEX('Inspections'!$O$4:$O$503,_calc!$E$472)))=0,"","Backup: "&amp;IF(LEN(INDEX('Inspections'!$O$4:$O$503,_calc!$E$472))=0,"",INDEX('Inspections'!$O$4:$O$503,_calc!$E$472))&amp;". ")&amp;IF(LEN(IF(LEN(INDEX('Inspections'!$R$4:$R$503,_calc!$E$472))=0,"",INDEX('Inspections'!$R$4:$R$503,_calc!$E$472)))=0,"",IF(LEN(INDEX('Inspections'!$R$4:$R$503,_calc!$E$472))=0,"",INDEX('Inspections'!$R$4:$R$503,_calc!$E$472)))))</f>
        <v/>
      </c>
      <c r="G470" s="55">
        <f>IF(_calc!$E$472="","",IF(LEN(INDEX('Inspections'!$Q$4:$Q$503,_calc!$E$472))=0,"",INDEX('Inspections'!$Q$4:$Q$503,_calc!$E$472)))</f>
        <v/>
      </c>
      <c r="K470" s="55">
        <f>IF(_calc!$E$472="","",IF(LEN(INDEX('Inspections'!$P$4:$P$503,_calc!$E$472))=0,"",INDEX('Inspections'!$P$4:$P$503,_calc!$E$472)))</f>
        <v/>
      </c>
    </row>
    <row r="471">
      <c r="A471" s="55">
        <f>IF(_calc!$E$473="","",IF(LEN(INDEX('Inspections'!$C$4:$C$503,_calc!$E$473))=0,"",INDEX('Inspections'!$C$4:$C$503,_calc!$E$473))&amp;" – "&amp;IF(LEN(INDEX('Inspections'!$A$4:$A$503,_calc!$E$473))=0,"",INDEX('Inspections'!$A$4:$A$503,_calc!$E$473)))</f>
        <v/>
      </c>
      <c r="B471" s="55">
        <f>IF(_calc!$E$473="","",IF(ISNUMBER(INDEX('Inspections'!$H$4:$H$503,_calc!$E$473)),TEXT(INDEX('Inspections'!$H$4:$H$503,_calc!$E$473),"yyyy-mm-dd"),""))</f>
        <v/>
      </c>
      <c r="C471" s="55">
        <f>IF(_calc!$E$473="","","Inspection")</f>
        <v/>
      </c>
      <c r="D471" s="55">
        <f>IF(_calc!$E$473="","",IF(ISNUMBER(INDEX('Inspections'!$G$4:$G$503,_calc!$E$473)),TEXT(INDEX('Inspections'!$G$4:$G$503,_calc!$E$473),"yyyy-mm-dd"),""))</f>
        <v/>
      </c>
      <c r="F471" s="55">
        <f>IF(_calc!$E$473="","",TRIM(IF(LEN(IF(LEN(INDEX('Inspections'!$B$4:$B$503,_calc!$E$473))=0,"",INDEX('Inspections'!$B$4:$B$503,_calc!$E$473)))=0,"","System: "&amp;IF(LEN(INDEX('Inspections'!$B$4:$B$503,_calc!$E$473))=0,"",INDEX('Inspections'!$B$4:$B$503,_calc!$E$473))&amp;". ")&amp;IF(LEN(IF(LEN(INDEX('Inspections'!$D$4:$D$503,_calc!$E$473))=0,"",INDEX('Inspections'!$D$4:$D$503,_calc!$E$473)))=0,"","Every: "&amp;IF(LEN(INDEX('Inspections'!$D$4:$D$503,_calc!$E$473))=0,"",INDEX('Inspections'!$D$4:$D$503,_calc!$E$473))&amp;". ")&amp;IF(LEN(IF(LEN(INDEX('Inspections'!$E$4:$E$503,_calc!$E$473))=0,"",INDEX('Inspections'!$E$4:$E$503,_calc!$E$473)))=0,"","Unit: "&amp;IF(LEN(INDEX('Inspections'!$E$4:$E$503,_calc!$E$473))=0,"",INDEX('Inspections'!$E$4:$E$503,_calc!$E$473))&amp;". ")&amp;IF(LEN(IF(LEN(INDEX('Inspections'!$F$4:$F$503,_calc!$E$473))=0,"",INDEX('Inspections'!$F$4:$F$503,_calc!$E$473)))=0,"","Done by: "&amp;IF(LEN(INDEX('Inspections'!$F$4:$F$503,_calc!$E$473))=0,"",INDEX('Inspections'!$F$4:$F$503,_calc!$E$473))&amp;". ")&amp;IF(LEN(IF(LEN(INDEX('Inspections'!$M$4:$M$503,_calc!$E$473))=0,"",INDEX('Inspections'!$M$4:$M$503,_calc!$E$473)))=0,"","Source: "&amp;IF(LEN(INDEX('Inspections'!$M$4:$M$503,_calc!$E$473))=0,"",INDEX('Inspections'!$M$4:$M$503,_calc!$E$473))&amp;". ")&amp;IF(LEN(IF(LEN(INDEX('Inspections'!$N$4:$N$503,_calc!$E$473))=0,"",INDEX('Inspections'!$N$4:$N$503,_calc!$E$473)))=0,"","Owner: "&amp;IF(LEN(INDEX('Inspections'!$N$4:$N$503,_calc!$E$473))=0,"",INDEX('Inspections'!$N$4:$N$503,_calc!$E$473))&amp;". ")&amp;IF(LEN(IF(LEN(INDEX('Inspections'!$O$4:$O$503,_calc!$E$473))=0,"",INDEX('Inspections'!$O$4:$O$503,_calc!$E$473)))=0,"","Backup: "&amp;IF(LEN(INDEX('Inspections'!$O$4:$O$503,_calc!$E$473))=0,"",INDEX('Inspections'!$O$4:$O$503,_calc!$E$473))&amp;". ")&amp;IF(LEN(IF(LEN(INDEX('Inspections'!$R$4:$R$503,_calc!$E$473))=0,"",INDEX('Inspections'!$R$4:$R$503,_calc!$E$473)))=0,"",IF(LEN(INDEX('Inspections'!$R$4:$R$503,_calc!$E$473))=0,"",INDEX('Inspections'!$R$4:$R$503,_calc!$E$473)))))</f>
        <v/>
      </c>
      <c r="G471" s="55">
        <f>IF(_calc!$E$473="","",IF(LEN(INDEX('Inspections'!$Q$4:$Q$503,_calc!$E$473))=0,"",INDEX('Inspections'!$Q$4:$Q$503,_calc!$E$473)))</f>
        <v/>
      </c>
      <c r="K471" s="55">
        <f>IF(_calc!$E$473="","",IF(LEN(INDEX('Inspections'!$P$4:$P$503,_calc!$E$473))=0,"",INDEX('Inspections'!$P$4:$P$503,_calc!$E$473)))</f>
        <v/>
      </c>
    </row>
    <row r="472">
      <c r="A472" s="55">
        <f>IF(_calc!$E$474="","",IF(LEN(INDEX('Inspections'!$C$4:$C$503,_calc!$E$474))=0,"",INDEX('Inspections'!$C$4:$C$503,_calc!$E$474))&amp;" – "&amp;IF(LEN(INDEX('Inspections'!$A$4:$A$503,_calc!$E$474))=0,"",INDEX('Inspections'!$A$4:$A$503,_calc!$E$474)))</f>
        <v/>
      </c>
      <c r="B472" s="55">
        <f>IF(_calc!$E$474="","",IF(ISNUMBER(INDEX('Inspections'!$H$4:$H$503,_calc!$E$474)),TEXT(INDEX('Inspections'!$H$4:$H$503,_calc!$E$474),"yyyy-mm-dd"),""))</f>
        <v/>
      </c>
      <c r="C472" s="55">
        <f>IF(_calc!$E$474="","","Inspection")</f>
        <v/>
      </c>
      <c r="D472" s="55">
        <f>IF(_calc!$E$474="","",IF(ISNUMBER(INDEX('Inspections'!$G$4:$G$503,_calc!$E$474)),TEXT(INDEX('Inspections'!$G$4:$G$503,_calc!$E$474),"yyyy-mm-dd"),""))</f>
        <v/>
      </c>
      <c r="F472" s="55">
        <f>IF(_calc!$E$474="","",TRIM(IF(LEN(IF(LEN(INDEX('Inspections'!$B$4:$B$503,_calc!$E$474))=0,"",INDEX('Inspections'!$B$4:$B$503,_calc!$E$474)))=0,"","System: "&amp;IF(LEN(INDEX('Inspections'!$B$4:$B$503,_calc!$E$474))=0,"",INDEX('Inspections'!$B$4:$B$503,_calc!$E$474))&amp;". ")&amp;IF(LEN(IF(LEN(INDEX('Inspections'!$D$4:$D$503,_calc!$E$474))=0,"",INDEX('Inspections'!$D$4:$D$503,_calc!$E$474)))=0,"","Every: "&amp;IF(LEN(INDEX('Inspections'!$D$4:$D$503,_calc!$E$474))=0,"",INDEX('Inspections'!$D$4:$D$503,_calc!$E$474))&amp;". ")&amp;IF(LEN(IF(LEN(INDEX('Inspections'!$E$4:$E$503,_calc!$E$474))=0,"",INDEX('Inspections'!$E$4:$E$503,_calc!$E$474)))=0,"","Unit: "&amp;IF(LEN(INDEX('Inspections'!$E$4:$E$503,_calc!$E$474))=0,"",INDEX('Inspections'!$E$4:$E$503,_calc!$E$474))&amp;". ")&amp;IF(LEN(IF(LEN(INDEX('Inspections'!$F$4:$F$503,_calc!$E$474))=0,"",INDEX('Inspections'!$F$4:$F$503,_calc!$E$474)))=0,"","Done by: "&amp;IF(LEN(INDEX('Inspections'!$F$4:$F$503,_calc!$E$474))=0,"",INDEX('Inspections'!$F$4:$F$503,_calc!$E$474))&amp;". ")&amp;IF(LEN(IF(LEN(INDEX('Inspections'!$M$4:$M$503,_calc!$E$474))=0,"",INDEX('Inspections'!$M$4:$M$503,_calc!$E$474)))=0,"","Source: "&amp;IF(LEN(INDEX('Inspections'!$M$4:$M$503,_calc!$E$474))=0,"",INDEX('Inspections'!$M$4:$M$503,_calc!$E$474))&amp;". ")&amp;IF(LEN(IF(LEN(INDEX('Inspections'!$N$4:$N$503,_calc!$E$474))=0,"",INDEX('Inspections'!$N$4:$N$503,_calc!$E$474)))=0,"","Owner: "&amp;IF(LEN(INDEX('Inspections'!$N$4:$N$503,_calc!$E$474))=0,"",INDEX('Inspections'!$N$4:$N$503,_calc!$E$474))&amp;". ")&amp;IF(LEN(IF(LEN(INDEX('Inspections'!$O$4:$O$503,_calc!$E$474))=0,"",INDEX('Inspections'!$O$4:$O$503,_calc!$E$474)))=0,"","Backup: "&amp;IF(LEN(INDEX('Inspections'!$O$4:$O$503,_calc!$E$474))=0,"",INDEX('Inspections'!$O$4:$O$503,_calc!$E$474))&amp;". ")&amp;IF(LEN(IF(LEN(INDEX('Inspections'!$R$4:$R$503,_calc!$E$474))=0,"",INDEX('Inspections'!$R$4:$R$503,_calc!$E$474)))=0,"",IF(LEN(INDEX('Inspections'!$R$4:$R$503,_calc!$E$474))=0,"",INDEX('Inspections'!$R$4:$R$503,_calc!$E$474)))))</f>
        <v/>
      </c>
      <c r="G472" s="55">
        <f>IF(_calc!$E$474="","",IF(LEN(INDEX('Inspections'!$Q$4:$Q$503,_calc!$E$474))=0,"",INDEX('Inspections'!$Q$4:$Q$503,_calc!$E$474)))</f>
        <v/>
      </c>
      <c r="K472" s="55">
        <f>IF(_calc!$E$474="","",IF(LEN(INDEX('Inspections'!$P$4:$P$503,_calc!$E$474))=0,"",INDEX('Inspections'!$P$4:$P$503,_calc!$E$474)))</f>
        <v/>
      </c>
    </row>
    <row r="473">
      <c r="A473" s="55">
        <f>IF(_calc!$E$475="","",IF(LEN(INDEX('Inspections'!$C$4:$C$503,_calc!$E$475))=0,"",INDEX('Inspections'!$C$4:$C$503,_calc!$E$475))&amp;" – "&amp;IF(LEN(INDEX('Inspections'!$A$4:$A$503,_calc!$E$475))=0,"",INDEX('Inspections'!$A$4:$A$503,_calc!$E$475)))</f>
        <v/>
      </c>
      <c r="B473" s="55">
        <f>IF(_calc!$E$475="","",IF(ISNUMBER(INDEX('Inspections'!$H$4:$H$503,_calc!$E$475)),TEXT(INDEX('Inspections'!$H$4:$H$503,_calc!$E$475),"yyyy-mm-dd"),""))</f>
        <v/>
      </c>
      <c r="C473" s="55">
        <f>IF(_calc!$E$475="","","Inspection")</f>
        <v/>
      </c>
      <c r="D473" s="55">
        <f>IF(_calc!$E$475="","",IF(ISNUMBER(INDEX('Inspections'!$G$4:$G$503,_calc!$E$475)),TEXT(INDEX('Inspections'!$G$4:$G$503,_calc!$E$475),"yyyy-mm-dd"),""))</f>
        <v/>
      </c>
      <c r="F473" s="55">
        <f>IF(_calc!$E$475="","",TRIM(IF(LEN(IF(LEN(INDEX('Inspections'!$B$4:$B$503,_calc!$E$475))=0,"",INDEX('Inspections'!$B$4:$B$503,_calc!$E$475)))=0,"","System: "&amp;IF(LEN(INDEX('Inspections'!$B$4:$B$503,_calc!$E$475))=0,"",INDEX('Inspections'!$B$4:$B$503,_calc!$E$475))&amp;". ")&amp;IF(LEN(IF(LEN(INDEX('Inspections'!$D$4:$D$503,_calc!$E$475))=0,"",INDEX('Inspections'!$D$4:$D$503,_calc!$E$475)))=0,"","Every: "&amp;IF(LEN(INDEX('Inspections'!$D$4:$D$503,_calc!$E$475))=0,"",INDEX('Inspections'!$D$4:$D$503,_calc!$E$475))&amp;". ")&amp;IF(LEN(IF(LEN(INDEX('Inspections'!$E$4:$E$503,_calc!$E$475))=0,"",INDEX('Inspections'!$E$4:$E$503,_calc!$E$475)))=0,"","Unit: "&amp;IF(LEN(INDEX('Inspections'!$E$4:$E$503,_calc!$E$475))=0,"",INDEX('Inspections'!$E$4:$E$503,_calc!$E$475))&amp;". ")&amp;IF(LEN(IF(LEN(INDEX('Inspections'!$F$4:$F$503,_calc!$E$475))=0,"",INDEX('Inspections'!$F$4:$F$503,_calc!$E$475)))=0,"","Done by: "&amp;IF(LEN(INDEX('Inspections'!$F$4:$F$503,_calc!$E$475))=0,"",INDEX('Inspections'!$F$4:$F$503,_calc!$E$475))&amp;". ")&amp;IF(LEN(IF(LEN(INDEX('Inspections'!$M$4:$M$503,_calc!$E$475))=0,"",INDEX('Inspections'!$M$4:$M$503,_calc!$E$475)))=0,"","Source: "&amp;IF(LEN(INDEX('Inspections'!$M$4:$M$503,_calc!$E$475))=0,"",INDEX('Inspections'!$M$4:$M$503,_calc!$E$475))&amp;". ")&amp;IF(LEN(IF(LEN(INDEX('Inspections'!$N$4:$N$503,_calc!$E$475))=0,"",INDEX('Inspections'!$N$4:$N$503,_calc!$E$475)))=0,"","Owner: "&amp;IF(LEN(INDEX('Inspections'!$N$4:$N$503,_calc!$E$475))=0,"",INDEX('Inspections'!$N$4:$N$503,_calc!$E$475))&amp;". ")&amp;IF(LEN(IF(LEN(INDEX('Inspections'!$O$4:$O$503,_calc!$E$475))=0,"",INDEX('Inspections'!$O$4:$O$503,_calc!$E$475)))=0,"","Backup: "&amp;IF(LEN(INDEX('Inspections'!$O$4:$O$503,_calc!$E$475))=0,"",INDEX('Inspections'!$O$4:$O$503,_calc!$E$475))&amp;". ")&amp;IF(LEN(IF(LEN(INDEX('Inspections'!$R$4:$R$503,_calc!$E$475))=0,"",INDEX('Inspections'!$R$4:$R$503,_calc!$E$475)))=0,"",IF(LEN(INDEX('Inspections'!$R$4:$R$503,_calc!$E$475))=0,"",INDEX('Inspections'!$R$4:$R$503,_calc!$E$475)))))</f>
        <v/>
      </c>
      <c r="G473" s="55">
        <f>IF(_calc!$E$475="","",IF(LEN(INDEX('Inspections'!$Q$4:$Q$503,_calc!$E$475))=0,"",INDEX('Inspections'!$Q$4:$Q$503,_calc!$E$475)))</f>
        <v/>
      </c>
      <c r="K473" s="55">
        <f>IF(_calc!$E$475="","",IF(LEN(INDEX('Inspections'!$P$4:$P$503,_calc!$E$475))=0,"",INDEX('Inspections'!$P$4:$P$503,_calc!$E$475)))</f>
        <v/>
      </c>
    </row>
    <row r="474">
      <c r="A474" s="55">
        <f>IF(_calc!$E$476="","",IF(LEN(INDEX('Inspections'!$C$4:$C$503,_calc!$E$476))=0,"",INDEX('Inspections'!$C$4:$C$503,_calc!$E$476))&amp;" – "&amp;IF(LEN(INDEX('Inspections'!$A$4:$A$503,_calc!$E$476))=0,"",INDEX('Inspections'!$A$4:$A$503,_calc!$E$476)))</f>
        <v/>
      </c>
      <c r="B474" s="55">
        <f>IF(_calc!$E$476="","",IF(ISNUMBER(INDEX('Inspections'!$H$4:$H$503,_calc!$E$476)),TEXT(INDEX('Inspections'!$H$4:$H$503,_calc!$E$476),"yyyy-mm-dd"),""))</f>
        <v/>
      </c>
      <c r="C474" s="55">
        <f>IF(_calc!$E$476="","","Inspection")</f>
        <v/>
      </c>
      <c r="D474" s="55">
        <f>IF(_calc!$E$476="","",IF(ISNUMBER(INDEX('Inspections'!$G$4:$G$503,_calc!$E$476)),TEXT(INDEX('Inspections'!$G$4:$G$503,_calc!$E$476),"yyyy-mm-dd"),""))</f>
        <v/>
      </c>
      <c r="F474" s="55">
        <f>IF(_calc!$E$476="","",TRIM(IF(LEN(IF(LEN(INDEX('Inspections'!$B$4:$B$503,_calc!$E$476))=0,"",INDEX('Inspections'!$B$4:$B$503,_calc!$E$476)))=0,"","System: "&amp;IF(LEN(INDEX('Inspections'!$B$4:$B$503,_calc!$E$476))=0,"",INDEX('Inspections'!$B$4:$B$503,_calc!$E$476))&amp;". ")&amp;IF(LEN(IF(LEN(INDEX('Inspections'!$D$4:$D$503,_calc!$E$476))=0,"",INDEX('Inspections'!$D$4:$D$503,_calc!$E$476)))=0,"","Every: "&amp;IF(LEN(INDEX('Inspections'!$D$4:$D$503,_calc!$E$476))=0,"",INDEX('Inspections'!$D$4:$D$503,_calc!$E$476))&amp;". ")&amp;IF(LEN(IF(LEN(INDEX('Inspections'!$E$4:$E$503,_calc!$E$476))=0,"",INDEX('Inspections'!$E$4:$E$503,_calc!$E$476)))=0,"","Unit: "&amp;IF(LEN(INDEX('Inspections'!$E$4:$E$503,_calc!$E$476))=0,"",INDEX('Inspections'!$E$4:$E$503,_calc!$E$476))&amp;". ")&amp;IF(LEN(IF(LEN(INDEX('Inspections'!$F$4:$F$503,_calc!$E$476))=0,"",INDEX('Inspections'!$F$4:$F$503,_calc!$E$476)))=0,"","Done by: "&amp;IF(LEN(INDEX('Inspections'!$F$4:$F$503,_calc!$E$476))=0,"",INDEX('Inspections'!$F$4:$F$503,_calc!$E$476))&amp;". ")&amp;IF(LEN(IF(LEN(INDEX('Inspections'!$M$4:$M$503,_calc!$E$476))=0,"",INDEX('Inspections'!$M$4:$M$503,_calc!$E$476)))=0,"","Source: "&amp;IF(LEN(INDEX('Inspections'!$M$4:$M$503,_calc!$E$476))=0,"",INDEX('Inspections'!$M$4:$M$503,_calc!$E$476))&amp;". ")&amp;IF(LEN(IF(LEN(INDEX('Inspections'!$N$4:$N$503,_calc!$E$476))=0,"",INDEX('Inspections'!$N$4:$N$503,_calc!$E$476)))=0,"","Owner: "&amp;IF(LEN(INDEX('Inspections'!$N$4:$N$503,_calc!$E$476))=0,"",INDEX('Inspections'!$N$4:$N$503,_calc!$E$476))&amp;". ")&amp;IF(LEN(IF(LEN(INDEX('Inspections'!$O$4:$O$503,_calc!$E$476))=0,"",INDEX('Inspections'!$O$4:$O$503,_calc!$E$476)))=0,"","Backup: "&amp;IF(LEN(INDEX('Inspections'!$O$4:$O$503,_calc!$E$476))=0,"",INDEX('Inspections'!$O$4:$O$503,_calc!$E$476))&amp;". ")&amp;IF(LEN(IF(LEN(INDEX('Inspections'!$R$4:$R$503,_calc!$E$476))=0,"",INDEX('Inspections'!$R$4:$R$503,_calc!$E$476)))=0,"",IF(LEN(INDEX('Inspections'!$R$4:$R$503,_calc!$E$476))=0,"",INDEX('Inspections'!$R$4:$R$503,_calc!$E$476)))))</f>
        <v/>
      </c>
      <c r="G474" s="55">
        <f>IF(_calc!$E$476="","",IF(LEN(INDEX('Inspections'!$Q$4:$Q$503,_calc!$E$476))=0,"",INDEX('Inspections'!$Q$4:$Q$503,_calc!$E$476)))</f>
        <v/>
      </c>
      <c r="K474" s="55">
        <f>IF(_calc!$E$476="","",IF(LEN(INDEX('Inspections'!$P$4:$P$503,_calc!$E$476))=0,"",INDEX('Inspections'!$P$4:$P$503,_calc!$E$476)))</f>
        <v/>
      </c>
    </row>
    <row r="475">
      <c r="A475" s="55">
        <f>IF(_calc!$E$477="","",IF(LEN(INDEX('Inspections'!$C$4:$C$503,_calc!$E$477))=0,"",INDEX('Inspections'!$C$4:$C$503,_calc!$E$477))&amp;" – "&amp;IF(LEN(INDEX('Inspections'!$A$4:$A$503,_calc!$E$477))=0,"",INDEX('Inspections'!$A$4:$A$503,_calc!$E$477)))</f>
        <v/>
      </c>
      <c r="B475" s="55">
        <f>IF(_calc!$E$477="","",IF(ISNUMBER(INDEX('Inspections'!$H$4:$H$503,_calc!$E$477)),TEXT(INDEX('Inspections'!$H$4:$H$503,_calc!$E$477),"yyyy-mm-dd"),""))</f>
        <v/>
      </c>
      <c r="C475" s="55">
        <f>IF(_calc!$E$477="","","Inspection")</f>
        <v/>
      </c>
      <c r="D475" s="55">
        <f>IF(_calc!$E$477="","",IF(ISNUMBER(INDEX('Inspections'!$G$4:$G$503,_calc!$E$477)),TEXT(INDEX('Inspections'!$G$4:$G$503,_calc!$E$477),"yyyy-mm-dd"),""))</f>
        <v/>
      </c>
      <c r="F475" s="55">
        <f>IF(_calc!$E$477="","",TRIM(IF(LEN(IF(LEN(INDEX('Inspections'!$B$4:$B$503,_calc!$E$477))=0,"",INDEX('Inspections'!$B$4:$B$503,_calc!$E$477)))=0,"","System: "&amp;IF(LEN(INDEX('Inspections'!$B$4:$B$503,_calc!$E$477))=0,"",INDEX('Inspections'!$B$4:$B$503,_calc!$E$477))&amp;". ")&amp;IF(LEN(IF(LEN(INDEX('Inspections'!$D$4:$D$503,_calc!$E$477))=0,"",INDEX('Inspections'!$D$4:$D$503,_calc!$E$477)))=0,"","Every: "&amp;IF(LEN(INDEX('Inspections'!$D$4:$D$503,_calc!$E$477))=0,"",INDEX('Inspections'!$D$4:$D$503,_calc!$E$477))&amp;". ")&amp;IF(LEN(IF(LEN(INDEX('Inspections'!$E$4:$E$503,_calc!$E$477))=0,"",INDEX('Inspections'!$E$4:$E$503,_calc!$E$477)))=0,"","Unit: "&amp;IF(LEN(INDEX('Inspections'!$E$4:$E$503,_calc!$E$477))=0,"",INDEX('Inspections'!$E$4:$E$503,_calc!$E$477))&amp;". ")&amp;IF(LEN(IF(LEN(INDEX('Inspections'!$F$4:$F$503,_calc!$E$477))=0,"",INDEX('Inspections'!$F$4:$F$503,_calc!$E$477)))=0,"","Done by: "&amp;IF(LEN(INDEX('Inspections'!$F$4:$F$503,_calc!$E$477))=0,"",INDEX('Inspections'!$F$4:$F$503,_calc!$E$477))&amp;". ")&amp;IF(LEN(IF(LEN(INDEX('Inspections'!$M$4:$M$503,_calc!$E$477))=0,"",INDEX('Inspections'!$M$4:$M$503,_calc!$E$477)))=0,"","Source: "&amp;IF(LEN(INDEX('Inspections'!$M$4:$M$503,_calc!$E$477))=0,"",INDEX('Inspections'!$M$4:$M$503,_calc!$E$477))&amp;". ")&amp;IF(LEN(IF(LEN(INDEX('Inspections'!$N$4:$N$503,_calc!$E$477))=0,"",INDEX('Inspections'!$N$4:$N$503,_calc!$E$477)))=0,"","Owner: "&amp;IF(LEN(INDEX('Inspections'!$N$4:$N$503,_calc!$E$477))=0,"",INDEX('Inspections'!$N$4:$N$503,_calc!$E$477))&amp;". ")&amp;IF(LEN(IF(LEN(INDEX('Inspections'!$O$4:$O$503,_calc!$E$477))=0,"",INDEX('Inspections'!$O$4:$O$503,_calc!$E$477)))=0,"","Backup: "&amp;IF(LEN(INDEX('Inspections'!$O$4:$O$503,_calc!$E$477))=0,"",INDEX('Inspections'!$O$4:$O$503,_calc!$E$477))&amp;". ")&amp;IF(LEN(IF(LEN(INDEX('Inspections'!$R$4:$R$503,_calc!$E$477))=0,"",INDEX('Inspections'!$R$4:$R$503,_calc!$E$477)))=0,"",IF(LEN(INDEX('Inspections'!$R$4:$R$503,_calc!$E$477))=0,"",INDEX('Inspections'!$R$4:$R$503,_calc!$E$477)))))</f>
        <v/>
      </c>
      <c r="G475" s="55">
        <f>IF(_calc!$E$477="","",IF(LEN(INDEX('Inspections'!$Q$4:$Q$503,_calc!$E$477))=0,"",INDEX('Inspections'!$Q$4:$Q$503,_calc!$E$477)))</f>
        <v/>
      </c>
      <c r="K475" s="55">
        <f>IF(_calc!$E$477="","",IF(LEN(INDEX('Inspections'!$P$4:$P$503,_calc!$E$477))=0,"",INDEX('Inspections'!$P$4:$P$503,_calc!$E$477)))</f>
        <v/>
      </c>
    </row>
    <row r="476">
      <c r="A476" s="55">
        <f>IF(_calc!$E$478="","",IF(LEN(INDEX('Inspections'!$C$4:$C$503,_calc!$E$478))=0,"",INDEX('Inspections'!$C$4:$C$503,_calc!$E$478))&amp;" – "&amp;IF(LEN(INDEX('Inspections'!$A$4:$A$503,_calc!$E$478))=0,"",INDEX('Inspections'!$A$4:$A$503,_calc!$E$478)))</f>
        <v/>
      </c>
      <c r="B476" s="55">
        <f>IF(_calc!$E$478="","",IF(ISNUMBER(INDEX('Inspections'!$H$4:$H$503,_calc!$E$478)),TEXT(INDEX('Inspections'!$H$4:$H$503,_calc!$E$478),"yyyy-mm-dd"),""))</f>
        <v/>
      </c>
      <c r="C476" s="55">
        <f>IF(_calc!$E$478="","","Inspection")</f>
        <v/>
      </c>
      <c r="D476" s="55">
        <f>IF(_calc!$E$478="","",IF(ISNUMBER(INDEX('Inspections'!$G$4:$G$503,_calc!$E$478)),TEXT(INDEX('Inspections'!$G$4:$G$503,_calc!$E$478),"yyyy-mm-dd"),""))</f>
        <v/>
      </c>
      <c r="F476" s="55">
        <f>IF(_calc!$E$478="","",TRIM(IF(LEN(IF(LEN(INDEX('Inspections'!$B$4:$B$503,_calc!$E$478))=0,"",INDEX('Inspections'!$B$4:$B$503,_calc!$E$478)))=0,"","System: "&amp;IF(LEN(INDEX('Inspections'!$B$4:$B$503,_calc!$E$478))=0,"",INDEX('Inspections'!$B$4:$B$503,_calc!$E$478))&amp;". ")&amp;IF(LEN(IF(LEN(INDEX('Inspections'!$D$4:$D$503,_calc!$E$478))=0,"",INDEX('Inspections'!$D$4:$D$503,_calc!$E$478)))=0,"","Every: "&amp;IF(LEN(INDEX('Inspections'!$D$4:$D$503,_calc!$E$478))=0,"",INDEX('Inspections'!$D$4:$D$503,_calc!$E$478))&amp;". ")&amp;IF(LEN(IF(LEN(INDEX('Inspections'!$E$4:$E$503,_calc!$E$478))=0,"",INDEX('Inspections'!$E$4:$E$503,_calc!$E$478)))=0,"","Unit: "&amp;IF(LEN(INDEX('Inspections'!$E$4:$E$503,_calc!$E$478))=0,"",INDEX('Inspections'!$E$4:$E$503,_calc!$E$478))&amp;". ")&amp;IF(LEN(IF(LEN(INDEX('Inspections'!$F$4:$F$503,_calc!$E$478))=0,"",INDEX('Inspections'!$F$4:$F$503,_calc!$E$478)))=0,"","Done by: "&amp;IF(LEN(INDEX('Inspections'!$F$4:$F$503,_calc!$E$478))=0,"",INDEX('Inspections'!$F$4:$F$503,_calc!$E$478))&amp;". ")&amp;IF(LEN(IF(LEN(INDEX('Inspections'!$M$4:$M$503,_calc!$E$478))=0,"",INDEX('Inspections'!$M$4:$M$503,_calc!$E$478)))=0,"","Source: "&amp;IF(LEN(INDEX('Inspections'!$M$4:$M$503,_calc!$E$478))=0,"",INDEX('Inspections'!$M$4:$M$503,_calc!$E$478))&amp;". ")&amp;IF(LEN(IF(LEN(INDEX('Inspections'!$N$4:$N$503,_calc!$E$478))=0,"",INDEX('Inspections'!$N$4:$N$503,_calc!$E$478)))=0,"","Owner: "&amp;IF(LEN(INDEX('Inspections'!$N$4:$N$503,_calc!$E$478))=0,"",INDEX('Inspections'!$N$4:$N$503,_calc!$E$478))&amp;". ")&amp;IF(LEN(IF(LEN(INDEX('Inspections'!$O$4:$O$503,_calc!$E$478))=0,"",INDEX('Inspections'!$O$4:$O$503,_calc!$E$478)))=0,"","Backup: "&amp;IF(LEN(INDEX('Inspections'!$O$4:$O$503,_calc!$E$478))=0,"",INDEX('Inspections'!$O$4:$O$503,_calc!$E$478))&amp;". ")&amp;IF(LEN(IF(LEN(INDEX('Inspections'!$R$4:$R$503,_calc!$E$478))=0,"",INDEX('Inspections'!$R$4:$R$503,_calc!$E$478)))=0,"",IF(LEN(INDEX('Inspections'!$R$4:$R$503,_calc!$E$478))=0,"",INDEX('Inspections'!$R$4:$R$503,_calc!$E$478)))))</f>
        <v/>
      </c>
      <c r="G476" s="55">
        <f>IF(_calc!$E$478="","",IF(LEN(INDEX('Inspections'!$Q$4:$Q$503,_calc!$E$478))=0,"",INDEX('Inspections'!$Q$4:$Q$503,_calc!$E$478)))</f>
        <v/>
      </c>
      <c r="K476" s="55">
        <f>IF(_calc!$E$478="","",IF(LEN(INDEX('Inspections'!$P$4:$P$503,_calc!$E$478))=0,"",INDEX('Inspections'!$P$4:$P$503,_calc!$E$478)))</f>
        <v/>
      </c>
    </row>
    <row r="477">
      <c r="A477" s="55">
        <f>IF(_calc!$E$479="","",IF(LEN(INDEX('Inspections'!$C$4:$C$503,_calc!$E$479))=0,"",INDEX('Inspections'!$C$4:$C$503,_calc!$E$479))&amp;" – "&amp;IF(LEN(INDEX('Inspections'!$A$4:$A$503,_calc!$E$479))=0,"",INDEX('Inspections'!$A$4:$A$503,_calc!$E$479)))</f>
        <v/>
      </c>
      <c r="B477" s="55">
        <f>IF(_calc!$E$479="","",IF(ISNUMBER(INDEX('Inspections'!$H$4:$H$503,_calc!$E$479)),TEXT(INDEX('Inspections'!$H$4:$H$503,_calc!$E$479),"yyyy-mm-dd"),""))</f>
        <v/>
      </c>
      <c r="C477" s="55">
        <f>IF(_calc!$E$479="","","Inspection")</f>
        <v/>
      </c>
      <c r="D477" s="55">
        <f>IF(_calc!$E$479="","",IF(ISNUMBER(INDEX('Inspections'!$G$4:$G$503,_calc!$E$479)),TEXT(INDEX('Inspections'!$G$4:$G$503,_calc!$E$479),"yyyy-mm-dd"),""))</f>
        <v/>
      </c>
      <c r="F477" s="55">
        <f>IF(_calc!$E$479="","",TRIM(IF(LEN(IF(LEN(INDEX('Inspections'!$B$4:$B$503,_calc!$E$479))=0,"",INDEX('Inspections'!$B$4:$B$503,_calc!$E$479)))=0,"","System: "&amp;IF(LEN(INDEX('Inspections'!$B$4:$B$503,_calc!$E$479))=0,"",INDEX('Inspections'!$B$4:$B$503,_calc!$E$479))&amp;". ")&amp;IF(LEN(IF(LEN(INDEX('Inspections'!$D$4:$D$503,_calc!$E$479))=0,"",INDEX('Inspections'!$D$4:$D$503,_calc!$E$479)))=0,"","Every: "&amp;IF(LEN(INDEX('Inspections'!$D$4:$D$503,_calc!$E$479))=0,"",INDEX('Inspections'!$D$4:$D$503,_calc!$E$479))&amp;". ")&amp;IF(LEN(IF(LEN(INDEX('Inspections'!$E$4:$E$503,_calc!$E$479))=0,"",INDEX('Inspections'!$E$4:$E$503,_calc!$E$479)))=0,"","Unit: "&amp;IF(LEN(INDEX('Inspections'!$E$4:$E$503,_calc!$E$479))=0,"",INDEX('Inspections'!$E$4:$E$503,_calc!$E$479))&amp;". ")&amp;IF(LEN(IF(LEN(INDEX('Inspections'!$F$4:$F$503,_calc!$E$479))=0,"",INDEX('Inspections'!$F$4:$F$503,_calc!$E$479)))=0,"","Done by: "&amp;IF(LEN(INDEX('Inspections'!$F$4:$F$503,_calc!$E$479))=0,"",INDEX('Inspections'!$F$4:$F$503,_calc!$E$479))&amp;". ")&amp;IF(LEN(IF(LEN(INDEX('Inspections'!$M$4:$M$503,_calc!$E$479))=0,"",INDEX('Inspections'!$M$4:$M$503,_calc!$E$479)))=0,"","Source: "&amp;IF(LEN(INDEX('Inspections'!$M$4:$M$503,_calc!$E$479))=0,"",INDEX('Inspections'!$M$4:$M$503,_calc!$E$479))&amp;". ")&amp;IF(LEN(IF(LEN(INDEX('Inspections'!$N$4:$N$503,_calc!$E$479))=0,"",INDEX('Inspections'!$N$4:$N$503,_calc!$E$479)))=0,"","Owner: "&amp;IF(LEN(INDEX('Inspections'!$N$4:$N$503,_calc!$E$479))=0,"",INDEX('Inspections'!$N$4:$N$503,_calc!$E$479))&amp;". ")&amp;IF(LEN(IF(LEN(INDEX('Inspections'!$O$4:$O$503,_calc!$E$479))=0,"",INDEX('Inspections'!$O$4:$O$503,_calc!$E$479)))=0,"","Backup: "&amp;IF(LEN(INDEX('Inspections'!$O$4:$O$503,_calc!$E$479))=0,"",INDEX('Inspections'!$O$4:$O$503,_calc!$E$479))&amp;". ")&amp;IF(LEN(IF(LEN(INDEX('Inspections'!$R$4:$R$503,_calc!$E$479))=0,"",INDEX('Inspections'!$R$4:$R$503,_calc!$E$479)))=0,"",IF(LEN(INDEX('Inspections'!$R$4:$R$503,_calc!$E$479))=0,"",INDEX('Inspections'!$R$4:$R$503,_calc!$E$479)))))</f>
        <v/>
      </c>
      <c r="G477" s="55">
        <f>IF(_calc!$E$479="","",IF(LEN(INDEX('Inspections'!$Q$4:$Q$503,_calc!$E$479))=0,"",INDEX('Inspections'!$Q$4:$Q$503,_calc!$E$479)))</f>
        <v/>
      </c>
      <c r="K477" s="55">
        <f>IF(_calc!$E$479="","",IF(LEN(INDEX('Inspections'!$P$4:$P$503,_calc!$E$479))=0,"",INDEX('Inspections'!$P$4:$P$503,_calc!$E$479)))</f>
        <v/>
      </c>
    </row>
    <row r="478">
      <c r="A478" s="55">
        <f>IF(_calc!$E$480="","",IF(LEN(INDEX('Inspections'!$C$4:$C$503,_calc!$E$480))=0,"",INDEX('Inspections'!$C$4:$C$503,_calc!$E$480))&amp;" – "&amp;IF(LEN(INDEX('Inspections'!$A$4:$A$503,_calc!$E$480))=0,"",INDEX('Inspections'!$A$4:$A$503,_calc!$E$480)))</f>
        <v/>
      </c>
      <c r="B478" s="55">
        <f>IF(_calc!$E$480="","",IF(ISNUMBER(INDEX('Inspections'!$H$4:$H$503,_calc!$E$480)),TEXT(INDEX('Inspections'!$H$4:$H$503,_calc!$E$480),"yyyy-mm-dd"),""))</f>
        <v/>
      </c>
      <c r="C478" s="55">
        <f>IF(_calc!$E$480="","","Inspection")</f>
        <v/>
      </c>
      <c r="D478" s="55">
        <f>IF(_calc!$E$480="","",IF(ISNUMBER(INDEX('Inspections'!$G$4:$G$503,_calc!$E$480)),TEXT(INDEX('Inspections'!$G$4:$G$503,_calc!$E$480),"yyyy-mm-dd"),""))</f>
        <v/>
      </c>
      <c r="F478" s="55">
        <f>IF(_calc!$E$480="","",TRIM(IF(LEN(IF(LEN(INDEX('Inspections'!$B$4:$B$503,_calc!$E$480))=0,"",INDEX('Inspections'!$B$4:$B$503,_calc!$E$480)))=0,"","System: "&amp;IF(LEN(INDEX('Inspections'!$B$4:$B$503,_calc!$E$480))=0,"",INDEX('Inspections'!$B$4:$B$503,_calc!$E$480))&amp;". ")&amp;IF(LEN(IF(LEN(INDEX('Inspections'!$D$4:$D$503,_calc!$E$480))=0,"",INDEX('Inspections'!$D$4:$D$503,_calc!$E$480)))=0,"","Every: "&amp;IF(LEN(INDEX('Inspections'!$D$4:$D$503,_calc!$E$480))=0,"",INDEX('Inspections'!$D$4:$D$503,_calc!$E$480))&amp;". ")&amp;IF(LEN(IF(LEN(INDEX('Inspections'!$E$4:$E$503,_calc!$E$480))=0,"",INDEX('Inspections'!$E$4:$E$503,_calc!$E$480)))=0,"","Unit: "&amp;IF(LEN(INDEX('Inspections'!$E$4:$E$503,_calc!$E$480))=0,"",INDEX('Inspections'!$E$4:$E$503,_calc!$E$480))&amp;". ")&amp;IF(LEN(IF(LEN(INDEX('Inspections'!$F$4:$F$503,_calc!$E$480))=0,"",INDEX('Inspections'!$F$4:$F$503,_calc!$E$480)))=0,"","Done by: "&amp;IF(LEN(INDEX('Inspections'!$F$4:$F$503,_calc!$E$480))=0,"",INDEX('Inspections'!$F$4:$F$503,_calc!$E$480))&amp;". ")&amp;IF(LEN(IF(LEN(INDEX('Inspections'!$M$4:$M$503,_calc!$E$480))=0,"",INDEX('Inspections'!$M$4:$M$503,_calc!$E$480)))=0,"","Source: "&amp;IF(LEN(INDEX('Inspections'!$M$4:$M$503,_calc!$E$480))=0,"",INDEX('Inspections'!$M$4:$M$503,_calc!$E$480))&amp;". ")&amp;IF(LEN(IF(LEN(INDEX('Inspections'!$N$4:$N$503,_calc!$E$480))=0,"",INDEX('Inspections'!$N$4:$N$503,_calc!$E$480)))=0,"","Owner: "&amp;IF(LEN(INDEX('Inspections'!$N$4:$N$503,_calc!$E$480))=0,"",INDEX('Inspections'!$N$4:$N$503,_calc!$E$480))&amp;". ")&amp;IF(LEN(IF(LEN(INDEX('Inspections'!$O$4:$O$503,_calc!$E$480))=0,"",INDEX('Inspections'!$O$4:$O$503,_calc!$E$480)))=0,"","Backup: "&amp;IF(LEN(INDEX('Inspections'!$O$4:$O$503,_calc!$E$480))=0,"",INDEX('Inspections'!$O$4:$O$503,_calc!$E$480))&amp;". ")&amp;IF(LEN(IF(LEN(INDEX('Inspections'!$R$4:$R$503,_calc!$E$480))=0,"",INDEX('Inspections'!$R$4:$R$503,_calc!$E$480)))=0,"",IF(LEN(INDEX('Inspections'!$R$4:$R$503,_calc!$E$480))=0,"",INDEX('Inspections'!$R$4:$R$503,_calc!$E$480)))))</f>
        <v/>
      </c>
      <c r="G478" s="55">
        <f>IF(_calc!$E$480="","",IF(LEN(INDEX('Inspections'!$Q$4:$Q$503,_calc!$E$480))=0,"",INDEX('Inspections'!$Q$4:$Q$503,_calc!$E$480)))</f>
        <v/>
      </c>
      <c r="K478" s="55">
        <f>IF(_calc!$E$480="","",IF(LEN(INDEX('Inspections'!$P$4:$P$503,_calc!$E$480))=0,"",INDEX('Inspections'!$P$4:$P$503,_calc!$E$480)))</f>
        <v/>
      </c>
    </row>
    <row r="479">
      <c r="A479" s="55">
        <f>IF(_calc!$E$481="","",IF(LEN(INDEX('Inspections'!$C$4:$C$503,_calc!$E$481))=0,"",INDEX('Inspections'!$C$4:$C$503,_calc!$E$481))&amp;" – "&amp;IF(LEN(INDEX('Inspections'!$A$4:$A$503,_calc!$E$481))=0,"",INDEX('Inspections'!$A$4:$A$503,_calc!$E$481)))</f>
        <v/>
      </c>
      <c r="B479" s="55">
        <f>IF(_calc!$E$481="","",IF(ISNUMBER(INDEX('Inspections'!$H$4:$H$503,_calc!$E$481)),TEXT(INDEX('Inspections'!$H$4:$H$503,_calc!$E$481),"yyyy-mm-dd"),""))</f>
        <v/>
      </c>
      <c r="C479" s="55">
        <f>IF(_calc!$E$481="","","Inspection")</f>
        <v/>
      </c>
      <c r="D479" s="55">
        <f>IF(_calc!$E$481="","",IF(ISNUMBER(INDEX('Inspections'!$G$4:$G$503,_calc!$E$481)),TEXT(INDEX('Inspections'!$G$4:$G$503,_calc!$E$481),"yyyy-mm-dd"),""))</f>
        <v/>
      </c>
      <c r="F479" s="55">
        <f>IF(_calc!$E$481="","",TRIM(IF(LEN(IF(LEN(INDEX('Inspections'!$B$4:$B$503,_calc!$E$481))=0,"",INDEX('Inspections'!$B$4:$B$503,_calc!$E$481)))=0,"","System: "&amp;IF(LEN(INDEX('Inspections'!$B$4:$B$503,_calc!$E$481))=0,"",INDEX('Inspections'!$B$4:$B$503,_calc!$E$481))&amp;". ")&amp;IF(LEN(IF(LEN(INDEX('Inspections'!$D$4:$D$503,_calc!$E$481))=0,"",INDEX('Inspections'!$D$4:$D$503,_calc!$E$481)))=0,"","Every: "&amp;IF(LEN(INDEX('Inspections'!$D$4:$D$503,_calc!$E$481))=0,"",INDEX('Inspections'!$D$4:$D$503,_calc!$E$481))&amp;". ")&amp;IF(LEN(IF(LEN(INDEX('Inspections'!$E$4:$E$503,_calc!$E$481))=0,"",INDEX('Inspections'!$E$4:$E$503,_calc!$E$481)))=0,"","Unit: "&amp;IF(LEN(INDEX('Inspections'!$E$4:$E$503,_calc!$E$481))=0,"",INDEX('Inspections'!$E$4:$E$503,_calc!$E$481))&amp;". ")&amp;IF(LEN(IF(LEN(INDEX('Inspections'!$F$4:$F$503,_calc!$E$481))=0,"",INDEX('Inspections'!$F$4:$F$503,_calc!$E$481)))=0,"","Done by: "&amp;IF(LEN(INDEX('Inspections'!$F$4:$F$503,_calc!$E$481))=0,"",INDEX('Inspections'!$F$4:$F$503,_calc!$E$481))&amp;". ")&amp;IF(LEN(IF(LEN(INDEX('Inspections'!$M$4:$M$503,_calc!$E$481))=0,"",INDEX('Inspections'!$M$4:$M$503,_calc!$E$481)))=0,"","Source: "&amp;IF(LEN(INDEX('Inspections'!$M$4:$M$503,_calc!$E$481))=0,"",INDEX('Inspections'!$M$4:$M$503,_calc!$E$481))&amp;". ")&amp;IF(LEN(IF(LEN(INDEX('Inspections'!$N$4:$N$503,_calc!$E$481))=0,"",INDEX('Inspections'!$N$4:$N$503,_calc!$E$481)))=0,"","Owner: "&amp;IF(LEN(INDEX('Inspections'!$N$4:$N$503,_calc!$E$481))=0,"",INDEX('Inspections'!$N$4:$N$503,_calc!$E$481))&amp;". ")&amp;IF(LEN(IF(LEN(INDEX('Inspections'!$O$4:$O$503,_calc!$E$481))=0,"",INDEX('Inspections'!$O$4:$O$503,_calc!$E$481)))=0,"","Backup: "&amp;IF(LEN(INDEX('Inspections'!$O$4:$O$503,_calc!$E$481))=0,"",INDEX('Inspections'!$O$4:$O$503,_calc!$E$481))&amp;". ")&amp;IF(LEN(IF(LEN(INDEX('Inspections'!$R$4:$R$503,_calc!$E$481))=0,"",INDEX('Inspections'!$R$4:$R$503,_calc!$E$481)))=0,"",IF(LEN(INDEX('Inspections'!$R$4:$R$503,_calc!$E$481))=0,"",INDEX('Inspections'!$R$4:$R$503,_calc!$E$481)))))</f>
        <v/>
      </c>
      <c r="G479" s="55">
        <f>IF(_calc!$E$481="","",IF(LEN(INDEX('Inspections'!$Q$4:$Q$503,_calc!$E$481))=0,"",INDEX('Inspections'!$Q$4:$Q$503,_calc!$E$481)))</f>
        <v/>
      </c>
      <c r="K479" s="55">
        <f>IF(_calc!$E$481="","",IF(LEN(INDEX('Inspections'!$P$4:$P$503,_calc!$E$481))=0,"",INDEX('Inspections'!$P$4:$P$503,_calc!$E$481)))</f>
        <v/>
      </c>
    </row>
    <row r="480">
      <c r="A480" s="55">
        <f>IF(_calc!$E$482="","",IF(LEN(INDEX('Inspections'!$C$4:$C$503,_calc!$E$482))=0,"",INDEX('Inspections'!$C$4:$C$503,_calc!$E$482))&amp;" – "&amp;IF(LEN(INDEX('Inspections'!$A$4:$A$503,_calc!$E$482))=0,"",INDEX('Inspections'!$A$4:$A$503,_calc!$E$482)))</f>
        <v/>
      </c>
      <c r="B480" s="55">
        <f>IF(_calc!$E$482="","",IF(ISNUMBER(INDEX('Inspections'!$H$4:$H$503,_calc!$E$482)),TEXT(INDEX('Inspections'!$H$4:$H$503,_calc!$E$482),"yyyy-mm-dd"),""))</f>
        <v/>
      </c>
      <c r="C480" s="55">
        <f>IF(_calc!$E$482="","","Inspection")</f>
        <v/>
      </c>
      <c r="D480" s="55">
        <f>IF(_calc!$E$482="","",IF(ISNUMBER(INDEX('Inspections'!$G$4:$G$503,_calc!$E$482)),TEXT(INDEX('Inspections'!$G$4:$G$503,_calc!$E$482),"yyyy-mm-dd"),""))</f>
        <v/>
      </c>
      <c r="F480" s="55">
        <f>IF(_calc!$E$482="","",TRIM(IF(LEN(IF(LEN(INDEX('Inspections'!$B$4:$B$503,_calc!$E$482))=0,"",INDEX('Inspections'!$B$4:$B$503,_calc!$E$482)))=0,"","System: "&amp;IF(LEN(INDEX('Inspections'!$B$4:$B$503,_calc!$E$482))=0,"",INDEX('Inspections'!$B$4:$B$503,_calc!$E$482))&amp;". ")&amp;IF(LEN(IF(LEN(INDEX('Inspections'!$D$4:$D$503,_calc!$E$482))=0,"",INDEX('Inspections'!$D$4:$D$503,_calc!$E$482)))=0,"","Every: "&amp;IF(LEN(INDEX('Inspections'!$D$4:$D$503,_calc!$E$482))=0,"",INDEX('Inspections'!$D$4:$D$503,_calc!$E$482))&amp;". ")&amp;IF(LEN(IF(LEN(INDEX('Inspections'!$E$4:$E$503,_calc!$E$482))=0,"",INDEX('Inspections'!$E$4:$E$503,_calc!$E$482)))=0,"","Unit: "&amp;IF(LEN(INDEX('Inspections'!$E$4:$E$503,_calc!$E$482))=0,"",INDEX('Inspections'!$E$4:$E$503,_calc!$E$482))&amp;". ")&amp;IF(LEN(IF(LEN(INDEX('Inspections'!$F$4:$F$503,_calc!$E$482))=0,"",INDEX('Inspections'!$F$4:$F$503,_calc!$E$482)))=0,"","Done by: "&amp;IF(LEN(INDEX('Inspections'!$F$4:$F$503,_calc!$E$482))=0,"",INDEX('Inspections'!$F$4:$F$503,_calc!$E$482))&amp;". ")&amp;IF(LEN(IF(LEN(INDEX('Inspections'!$M$4:$M$503,_calc!$E$482))=0,"",INDEX('Inspections'!$M$4:$M$503,_calc!$E$482)))=0,"","Source: "&amp;IF(LEN(INDEX('Inspections'!$M$4:$M$503,_calc!$E$482))=0,"",INDEX('Inspections'!$M$4:$M$503,_calc!$E$482))&amp;". ")&amp;IF(LEN(IF(LEN(INDEX('Inspections'!$N$4:$N$503,_calc!$E$482))=0,"",INDEX('Inspections'!$N$4:$N$503,_calc!$E$482)))=0,"","Owner: "&amp;IF(LEN(INDEX('Inspections'!$N$4:$N$503,_calc!$E$482))=0,"",INDEX('Inspections'!$N$4:$N$503,_calc!$E$482))&amp;". ")&amp;IF(LEN(IF(LEN(INDEX('Inspections'!$O$4:$O$503,_calc!$E$482))=0,"",INDEX('Inspections'!$O$4:$O$503,_calc!$E$482)))=0,"","Backup: "&amp;IF(LEN(INDEX('Inspections'!$O$4:$O$503,_calc!$E$482))=0,"",INDEX('Inspections'!$O$4:$O$503,_calc!$E$482))&amp;". ")&amp;IF(LEN(IF(LEN(INDEX('Inspections'!$R$4:$R$503,_calc!$E$482))=0,"",INDEX('Inspections'!$R$4:$R$503,_calc!$E$482)))=0,"",IF(LEN(INDEX('Inspections'!$R$4:$R$503,_calc!$E$482))=0,"",INDEX('Inspections'!$R$4:$R$503,_calc!$E$482)))))</f>
        <v/>
      </c>
      <c r="G480" s="55">
        <f>IF(_calc!$E$482="","",IF(LEN(INDEX('Inspections'!$Q$4:$Q$503,_calc!$E$482))=0,"",INDEX('Inspections'!$Q$4:$Q$503,_calc!$E$482)))</f>
        <v/>
      </c>
      <c r="K480" s="55">
        <f>IF(_calc!$E$482="","",IF(LEN(INDEX('Inspections'!$P$4:$P$503,_calc!$E$482))=0,"",INDEX('Inspections'!$P$4:$P$503,_calc!$E$482)))</f>
        <v/>
      </c>
    </row>
    <row r="481">
      <c r="A481" s="55">
        <f>IF(_calc!$E$483="","",IF(LEN(INDEX('Inspections'!$C$4:$C$503,_calc!$E$483))=0,"",INDEX('Inspections'!$C$4:$C$503,_calc!$E$483))&amp;" – "&amp;IF(LEN(INDEX('Inspections'!$A$4:$A$503,_calc!$E$483))=0,"",INDEX('Inspections'!$A$4:$A$503,_calc!$E$483)))</f>
        <v/>
      </c>
      <c r="B481" s="55">
        <f>IF(_calc!$E$483="","",IF(ISNUMBER(INDEX('Inspections'!$H$4:$H$503,_calc!$E$483)),TEXT(INDEX('Inspections'!$H$4:$H$503,_calc!$E$483),"yyyy-mm-dd"),""))</f>
        <v/>
      </c>
      <c r="C481" s="55">
        <f>IF(_calc!$E$483="","","Inspection")</f>
        <v/>
      </c>
      <c r="D481" s="55">
        <f>IF(_calc!$E$483="","",IF(ISNUMBER(INDEX('Inspections'!$G$4:$G$503,_calc!$E$483)),TEXT(INDEX('Inspections'!$G$4:$G$503,_calc!$E$483),"yyyy-mm-dd"),""))</f>
        <v/>
      </c>
      <c r="F481" s="55">
        <f>IF(_calc!$E$483="","",TRIM(IF(LEN(IF(LEN(INDEX('Inspections'!$B$4:$B$503,_calc!$E$483))=0,"",INDEX('Inspections'!$B$4:$B$503,_calc!$E$483)))=0,"","System: "&amp;IF(LEN(INDEX('Inspections'!$B$4:$B$503,_calc!$E$483))=0,"",INDEX('Inspections'!$B$4:$B$503,_calc!$E$483))&amp;". ")&amp;IF(LEN(IF(LEN(INDEX('Inspections'!$D$4:$D$503,_calc!$E$483))=0,"",INDEX('Inspections'!$D$4:$D$503,_calc!$E$483)))=0,"","Every: "&amp;IF(LEN(INDEX('Inspections'!$D$4:$D$503,_calc!$E$483))=0,"",INDEX('Inspections'!$D$4:$D$503,_calc!$E$483))&amp;". ")&amp;IF(LEN(IF(LEN(INDEX('Inspections'!$E$4:$E$503,_calc!$E$483))=0,"",INDEX('Inspections'!$E$4:$E$503,_calc!$E$483)))=0,"","Unit: "&amp;IF(LEN(INDEX('Inspections'!$E$4:$E$503,_calc!$E$483))=0,"",INDEX('Inspections'!$E$4:$E$503,_calc!$E$483))&amp;". ")&amp;IF(LEN(IF(LEN(INDEX('Inspections'!$F$4:$F$503,_calc!$E$483))=0,"",INDEX('Inspections'!$F$4:$F$503,_calc!$E$483)))=0,"","Done by: "&amp;IF(LEN(INDEX('Inspections'!$F$4:$F$503,_calc!$E$483))=0,"",INDEX('Inspections'!$F$4:$F$503,_calc!$E$483))&amp;". ")&amp;IF(LEN(IF(LEN(INDEX('Inspections'!$M$4:$M$503,_calc!$E$483))=0,"",INDEX('Inspections'!$M$4:$M$503,_calc!$E$483)))=0,"","Source: "&amp;IF(LEN(INDEX('Inspections'!$M$4:$M$503,_calc!$E$483))=0,"",INDEX('Inspections'!$M$4:$M$503,_calc!$E$483))&amp;". ")&amp;IF(LEN(IF(LEN(INDEX('Inspections'!$N$4:$N$503,_calc!$E$483))=0,"",INDEX('Inspections'!$N$4:$N$503,_calc!$E$483)))=0,"","Owner: "&amp;IF(LEN(INDEX('Inspections'!$N$4:$N$503,_calc!$E$483))=0,"",INDEX('Inspections'!$N$4:$N$503,_calc!$E$483))&amp;". ")&amp;IF(LEN(IF(LEN(INDEX('Inspections'!$O$4:$O$503,_calc!$E$483))=0,"",INDEX('Inspections'!$O$4:$O$503,_calc!$E$483)))=0,"","Backup: "&amp;IF(LEN(INDEX('Inspections'!$O$4:$O$503,_calc!$E$483))=0,"",INDEX('Inspections'!$O$4:$O$503,_calc!$E$483))&amp;". ")&amp;IF(LEN(IF(LEN(INDEX('Inspections'!$R$4:$R$503,_calc!$E$483))=0,"",INDEX('Inspections'!$R$4:$R$503,_calc!$E$483)))=0,"",IF(LEN(INDEX('Inspections'!$R$4:$R$503,_calc!$E$483))=0,"",INDEX('Inspections'!$R$4:$R$503,_calc!$E$483)))))</f>
        <v/>
      </c>
      <c r="G481" s="55">
        <f>IF(_calc!$E$483="","",IF(LEN(INDEX('Inspections'!$Q$4:$Q$503,_calc!$E$483))=0,"",INDEX('Inspections'!$Q$4:$Q$503,_calc!$E$483)))</f>
        <v/>
      </c>
      <c r="K481" s="55">
        <f>IF(_calc!$E$483="","",IF(LEN(INDEX('Inspections'!$P$4:$P$503,_calc!$E$483))=0,"",INDEX('Inspections'!$P$4:$P$503,_calc!$E$483)))</f>
        <v/>
      </c>
    </row>
    <row r="482">
      <c r="A482" s="55">
        <f>IF(_calc!$E$484="","",IF(LEN(INDEX('Inspections'!$C$4:$C$503,_calc!$E$484))=0,"",INDEX('Inspections'!$C$4:$C$503,_calc!$E$484))&amp;" – "&amp;IF(LEN(INDEX('Inspections'!$A$4:$A$503,_calc!$E$484))=0,"",INDEX('Inspections'!$A$4:$A$503,_calc!$E$484)))</f>
        <v/>
      </c>
      <c r="B482" s="55">
        <f>IF(_calc!$E$484="","",IF(ISNUMBER(INDEX('Inspections'!$H$4:$H$503,_calc!$E$484)),TEXT(INDEX('Inspections'!$H$4:$H$503,_calc!$E$484),"yyyy-mm-dd"),""))</f>
        <v/>
      </c>
      <c r="C482" s="55">
        <f>IF(_calc!$E$484="","","Inspection")</f>
        <v/>
      </c>
      <c r="D482" s="55">
        <f>IF(_calc!$E$484="","",IF(ISNUMBER(INDEX('Inspections'!$G$4:$G$503,_calc!$E$484)),TEXT(INDEX('Inspections'!$G$4:$G$503,_calc!$E$484),"yyyy-mm-dd"),""))</f>
        <v/>
      </c>
      <c r="F482" s="55">
        <f>IF(_calc!$E$484="","",TRIM(IF(LEN(IF(LEN(INDEX('Inspections'!$B$4:$B$503,_calc!$E$484))=0,"",INDEX('Inspections'!$B$4:$B$503,_calc!$E$484)))=0,"","System: "&amp;IF(LEN(INDEX('Inspections'!$B$4:$B$503,_calc!$E$484))=0,"",INDEX('Inspections'!$B$4:$B$503,_calc!$E$484))&amp;". ")&amp;IF(LEN(IF(LEN(INDEX('Inspections'!$D$4:$D$503,_calc!$E$484))=0,"",INDEX('Inspections'!$D$4:$D$503,_calc!$E$484)))=0,"","Every: "&amp;IF(LEN(INDEX('Inspections'!$D$4:$D$503,_calc!$E$484))=0,"",INDEX('Inspections'!$D$4:$D$503,_calc!$E$484))&amp;". ")&amp;IF(LEN(IF(LEN(INDEX('Inspections'!$E$4:$E$503,_calc!$E$484))=0,"",INDEX('Inspections'!$E$4:$E$503,_calc!$E$484)))=0,"","Unit: "&amp;IF(LEN(INDEX('Inspections'!$E$4:$E$503,_calc!$E$484))=0,"",INDEX('Inspections'!$E$4:$E$503,_calc!$E$484))&amp;". ")&amp;IF(LEN(IF(LEN(INDEX('Inspections'!$F$4:$F$503,_calc!$E$484))=0,"",INDEX('Inspections'!$F$4:$F$503,_calc!$E$484)))=0,"","Done by: "&amp;IF(LEN(INDEX('Inspections'!$F$4:$F$503,_calc!$E$484))=0,"",INDEX('Inspections'!$F$4:$F$503,_calc!$E$484))&amp;". ")&amp;IF(LEN(IF(LEN(INDEX('Inspections'!$M$4:$M$503,_calc!$E$484))=0,"",INDEX('Inspections'!$M$4:$M$503,_calc!$E$484)))=0,"","Source: "&amp;IF(LEN(INDEX('Inspections'!$M$4:$M$503,_calc!$E$484))=0,"",INDEX('Inspections'!$M$4:$M$503,_calc!$E$484))&amp;". ")&amp;IF(LEN(IF(LEN(INDEX('Inspections'!$N$4:$N$503,_calc!$E$484))=0,"",INDEX('Inspections'!$N$4:$N$503,_calc!$E$484)))=0,"","Owner: "&amp;IF(LEN(INDEX('Inspections'!$N$4:$N$503,_calc!$E$484))=0,"",INDEX('Inspections'!$N$4:$N$503,_calc!$E$484))&amp;". ")&amp;IF(LEN(IF(LEN(INDEX('Inspections'!$O$4:$O$503,_calc!$E$484))=0,"",INDEX('Inspections'!$O$4:$O$503,_calc!$E$484)))=0,"","Backup: "&amp;IF(LEN(INDEX('Inspections'!$O$4:$O$503,_calc!$E$484))=0,"",INDEX('Inspections'!$O$4:$O$503,_calc!$E$484))&amp;". ")&amp;IF(LEN(IF(LEN(INDEX('Inspections'!$R$4:$R$503,_calc!$E$484))=0,"",INDEX('Inspections'!$R$4:$R$503,_calc!$E$484)))=0,"",IF(LEN(INDEX('Inspections'!$R$4:$R$503,_calc!$E$484))=0,"",INDEX('Inspections'!$R$4:$R$503,_calc!$E$484)))))</f>
        <v/>
      </c>
      <c r="G482" s="55">
        <f>IF(_calc!$E$484="","",IF(LEN(INDEX('Inspections'!$Q$4:$Q$503,_calc!$E$484))=0,"",INDEX('Inspections'!$Q$4:$Q$503,_calc!$E$484)))</f>
        <v/>
      </c>
      <c r="K482" s="55">
        <f>IF(_calc!$E$484="","",IF(LEN(INDEX('Inspections'!$P$4:$P$503,_calc!$E$484))=0,"",INDEX('Inspections'!$P$4:$P$503,_calc!$E$484)))</f>
        <v/>
      </c>
    </row>
    <row r="483">
      <c r="A483" s="55">
        <f>IF(_calc!$E$485="","",IF(LEN(INDEX('Inspections'!$C$4:$C$503,_calc!$E$485))=0,"",INDEX('Inspections'!$C$4:$C$503,_calc!$E$485))&amp;" – "&amp;IF(LEN(INDEX('Inspections'!$A$4:$A$503,_calc!$E$485))=0,"",INDEX('Inspections'!$A$4:$A$503,_calc!$E$485)))</f>
        <v/>
      </c>
      <c r="B483" s="55">
        <f>IF(_calc!$E$485="","",IF(ISNUMBER(INDEX('Inspections'!$H$4:$H$503,_calc!$E$485)),TEXT(INDEX('Inspections'!$H$4:$H$503,_calc!$E$485),"yyyy-mm-dd"),""))</f>
        <v/>
      </c>
      <c r="C483" s="55">
        <f>IF(_calc!$E$485="","","Inspection")</f>
        <v/>
      </c>
      <c r="D483" s="55">
        <f>IF(_calc!$E$485="","",IF(ISNUMBER(INDEX('Inspections'!$G$4:$G$503,_calc!$E$485)),TEXT(INDEX('Inspections'!$G$4:$G$503,_calc!$E$485),"yyyy-mm-dd"),""))</f>
        <v/>
      </c>
      <c r="F483" s="55">
        <f>IF(_calc!$E$485="","",TRIM(IF(LEN(IF(LEN(INDEX('Inspections'!$B$4:$B$503,_calc!$E$485))=0,"",INDEX('Inspections'!$B$4:$B$503,_calc!$E$485)))=0,"","System: "&amp;IF(LEN(INDEX('Inspections'!$B$4:$B$503,_calc!$E$485))=0,"",INDEX('Inspections'!$B$4:$B$503,_calc!$E$485))&amp;". ")&amp;IF(LEN(IF(LEN(INDEX('Inspections'!$D$4:$D$503,_calc!$E$485))=0,"",INDEX('Inspections'!$D$4:$D$503,_calc!$E$485)))=0,"","Every: "&amp;IF(LEN(INDEX('Inspections'!$D$4:$D$503,_calc!$E$485))=0,"",INDEX('Inspections'!$D$4:$D$503,_calc!$E$485))&amp;". ")&amp;IF(LEN(IF(LEN(INDEX('Inspections'!$E$4:$E$503,_calc!$E$485))=0,"",INDEX('Inspections'!$E$4:$E$503,_calc!$E$485)))=0,"","Unit: "&amp;IF(LEN(INDEX('Inspections'!$E$4:$E$503,_calc!$E$485))=0,"",INDEX('Inspections'!$E$4:$E$503,_calc!$E$485))&amp;". ")&amp;IF(LEN(IF(LEN(INDEX('Inspections'!$F$4:$F$503,_calc!$E$485))=0,"",INDEX('Inspections'!$F$4:$F$503,_calc!$E$485)))=0,"","Done by: "&amp;IF(LEN(INDEX('Inspections'!$F$4:$F$503,_calc!$E$485))=0,"",INDEX('Inspections'!$F$4:$F$503,_calc!$E$485))&amp;". ")&amp;IF(LEN(IF(LEN(INDEX('Inspections'!$M$4:$M$503,_calc!$E$485))=0,"",INDEX('Inspections'!$M$4:$M$503,_calc!$E$485)))=0,"","Source: "&amp;IF(LEN(INDEX('Inspections'!$M$4:$M$503,_calc!$E$485))=0,"",INDEX('Inspections'!$M$4:$M$503,_calc!$E$485))&amp;". ")&amp;IF(LEN(IF(LEN(INDEX('Inspections'!$N$4:$N$503,_calc!$E$485))=0,"",INDEX('Inspections'!$N$4:$N$503,_calc!$E$485)))=0,"","Owner: "&amp;IF(LEN(INDEX('Inspections'!$N$4:$N$503,_calc!$E$485))=0,"",INDEX('Inspections'!$N$4:$N$503,_calc!$E$485))&amp;". ")&amp;IF(LEN(IF(LEN(INDEX('Inspections'!$O$4:$O$503,_calc!$E$485))=0,"",INDEX('Inspections'!$O$4:$O$503,_calc!$E$485)))=0,"","Backup: "&amp;IF(LEN(INDEX('Inspections'!$O$4:$O$503,_calc!$E$485))=0,"",INDEX('Inspections'!$O$4:$O$503,_calc!$E$485))&amp;". ")&amp;IF(LEN(IF(LEN(INDEX('Inspections'!$R$4:$R$503,_calc!$E$485))=0,"",INDEX('Inspections'!$R$4:$R$503,_calc!$E$485)))=0,"",IF(LEN(INDEX('Inspections'!$R$4:$R$503,_calc!$E$485))=0,"",INDEX('Inspections'!$R$4:$R$503,_calc!$E$485)))))</f>
        <v/>
      </c>
      <c r="G483" s="55">
        <f>IF(_calc!$E$485="","",IF(LEN(INDEX('Inspections'!$Q$4:$Q$503,_calc!$E$485))=0,"",INDEX('Inspections'!$Q$4:$Q$503,_calc!$E$485)))</f>
        <v/>
      </c>
      <c r="K483" s="55">
        <f>IF(_calc!$E$485="","",IF(LEN(INDEX('Inspections'!$P$4:$P$503,_calc!$E$485))=0,"",INDEX('Inspections'!$P$4:$P$503,_calc!$E$485)))</f>
        <v/>
      </c>
    </row>
    <row r="484">
      <c r="A484" s="55">
        <f>IF(_calc!$E$486="","",IF(LEN(INDEX('Inspections'!$C$4:$C$503,_calc!$E$486))=0,"",INDEX('Inspections'!$C$4:$C$503,_calc!$E$486))&amp;" – "&amp;IF(LEN(INDEX('Inspections'!$A$4:$A$503,_calc!$E$486))=0,"",INDEX('Inspections'!$A$4:$A$503,_calc!$E$486)))</f>
        <v/>
      </c>
      <c r="B484" s="55">
        <f>IF(_calc!$E$486="","",IF(ISNUMBER(INDEX('Inspections'!$H$4:$H$503,_calc!$E$486)),TEXT(INDEX('Inspections'!$H$4:$H$503,_calc!$E$486),"yyyy-mm-dd"),""))</f>
        <v/>
      </c>
      <c r="C484" s="55">
        <f>IF(_calc!$E$486="","","Inspection")</f>
        <v/>
      </c>
      <c r="D484" s="55">
        <f>IF(_calc!$E$486="","",IF(ISNUMBER(INDEX('Inspections'!$G$4:$G$503,_calc!$E$486)),TEXT(INDEX('Inspections'!$G$4:$G$503,_calc!$E$486),"yyyy-mm-dd"),""))</f>
        <v/>
      </c>
      <c r="F484" s="55">
        <f>IF(_calc!$E$486="","",TRIM(IF(LEN(IF(LEN(INDEX('Inspections'!$B$4:$B$503,_calc!$E$486))=0,"",INDEX('Inspections'!$B$4:$B$503,_calc!$E$486)))=0,"","System: "&amp;IF(LEN(INDEX('Inspections'!$B$4:$B$503,_calc!$E$486))=0,"",INDEX('Inspections'!$B$4:$B$503,_calc!$E$486))&amp;". ")&amp;IF(LEN(IF(LEN(INDEX('Inspections'!$D$4:$D$503,_calc!$E$486))=0,"",INDEX('Inspections'!$D$4:$D$503,_calc!$E$486)))=0,"","Every: "&amp;IF(LEN(INDEX('Inspections'!$D$4:$D$503,_calc!$E$486))=0,"",INDEX('Inspections'!$D$4:$D$503,_calc!$E$486))&amp;". ")&amp;IF(LEN(IF(LEN(INDEX('Inspections'!$E$4:$E$503,_calc!$E$486))=0,"",INDEX('Inspections'!$E$4:$E$503,_calc!$E$486)))=0,"","Unit: "&amp;IF(LEN(INDEX('Inspections'!$E$4:$E$503,_calc!$E$486))=0,"",INDEX('Inspections'!$E$4:$E$503,_calc!$E$486))&amp;". ")&amp;IF(LEN(IF(LEN(INDEX('Inspections'!$F$4:$F$503,_calc!$E$486))=0,"",INDEX('Inspections'!$F$4:$F$503,_calc!$E$486)))=0,"","Done by: "&amp;IF(LEN(INDEX('Inspections'!$F$4:$F$503,_calc!$E$486))=0,"",INDEX('Inspections'!$F$4:$F$503,_calc!$E$486))&amp;". ")&amp;IF(LEN(IF(LEN(INDEX('Inspections'!$M$4:$M$503,_calc!$E$486))=0,"",INDEX('Inspections'!$M$4:$M$503,_calc!$E$486)))=0,"","Source: "&amp;IF(LEN(INDEX('Inspections'!$M$4:$M$503,_calc!$E$486))=0,"",INDEX('Inspections'!$M$4:$M$503,_calc!$E$486))&amp;". ")&amp;IF(LEN(IF(LEN(INDEX('Inspections'!$N$4:$N$503,_calc!$E$486))=0,"",INDEX('Inspections'!$N$4:$N$503,_calc!$E$486)))=0,"","Owner: "&amp;IF(LEN(INDEX('Inspections'!$N$4:$N$503,_calc!$E$486))=0,"",INDEX('Inspections'!$N$4:$N$503,_calc!$E$486))&amp;". ")&amp;IF(LEN(IF(LEN(INDEX('Inspections'!$O$4:$O$503,_calc!$E$486))=0,"",INDEX('Inspections'!$O$4:$O$503,_calc!$E$486)))=0,"","Backup: "&amp;IF(LEN(INDEX('Inspections'!$O$4:$O$503,_calc!$E$486))=0,"",INDEX('Inspections'!$O$4:$O$503,_calc!$E$486))&amp;". ")&amp;IF(LEN(IF(LEN(INDEX('Inspections'!$R$4:$R$503,_calc!$E$486))=0,"",INDEX('Inspections'!$R$4:$R$503,_calc!$E$486)))=0,"",IF(LEN(INDEX('Inspections'!$R$4:$R$503,_calc!$E$486))=0,"",INDEX('Inspections'!$R$4:$R$503,_calc!$E$486)))))</f>
        <v/>
      </c>
      <c r="G484" s="55">
        <f>IF(_calc!$E$486="","",IF(LEN(INDEX('Inspections'!$Q$4:$Q$503,_calc!$E$486))=0,"",INDEX('Inspections'!$Q$4:$Q$503,_calc!$E$486)))</f>
        <v/>
      </c>
      <c r="K484" s="55">
        <f>IF(_calc!$E$486="","",IF(LEN(INDEX('Inspections'!$P$4:$P$503,_calc!$E$486))=0,"",INDEX('Inspections'!$P$4:$P$503,_calc!$E$486)))</f>
        <v/>
      </c>
    </row>
    <row r="485">
      <c r="A485" s="55">
        <f>IF(_calc!$E$487="","",IF(LEN(INDEX('Inspections'!$C$4:$C$503,_calc!$E$487))=0,"",INDEX('Inspections'!$C$4:$C$503,_calc!$E$487))&amp;" – "&amp;IF(LEN(INDEX('Inspections'!$A$4:$A$503,_calc!$E$487))=0,"",INDEX('Inspections'!$A$4:$A$503,_calc!$E$487)))</f>
        <v/>
      </c>
      <c r="B485" s="55">
        <f>IF(_calc!$E$487="","",IF(ISNUMBER(INDEX('Inspections'!$H$4:$H$503,_calc!$E$487)),TEXT(INDEX('Inspections'!$H$4:$H$503,_calc!$E$487),"yyyy-mm-dd"),""))</f>
        <v/>
      </c>
      <c r="C485" s="55">
        <f>IF(_calc!$E$487="","","Inspection")</f>
        <v/>
      </c>
      <c r="D485" s="55">
        <f>IF(_calc!$E$487="","",IF(ISNUMBER(INDEX('Inspections'!$G$4:$G$503,_calc!$E$487)),TEXT(INDEX('Inspections'!$G$4:$G$503,_calc!$E$487),"yyyy-mm-dd"),""))</f>
        <v/>
      </c>
      <c r="F485" s="55">
        <f>IF(_calc!$E$487="","",TRIM(IF(LEN(IF(LEN(INDEX('Inspections'!$B$4:$B$503,_calc!$E$487))=0,"",INDEX('Inspections'!$B$4:$B$503,_calc!$E$487)))=0,"","System: "&amp;IF(LEN(INDEX('Inspections'!$B$4:$B$503,_calc!$E$487))=0,"",INDEX('Inspections'!$B$4:$B$503,_calc!$E$487))&amp;". ")&amp;IF(LEN(IF(LEN(INDEX('Inspections'!$D$4:$D$503,_calc!$E$487))=0,"",INDEX('Inspections'!$D$4:$D$503,_calc!$E$487)))=0,"","Every: "&amp;IF(LEN(INDEX('Inspections'!$D$4:$D$503,_calc!$E$487))=0,"",INDEX('Inspections'!$D$4:$D$503,_calc!$E$487))&amp;". ")&amp;IF(LEN(IF(LEN(INDEX('Inspections'!$E$4:$E$503,_calc!$E$487))=0,"",INDEX('Inspections'!$E$4:$E$503,_calc!$E$487)))=0,"","Unit: "&amp;IF(LEN(INDEX('Inspections'!$E$4:$E$503,_calc!$E$487))=0,"",INDEX('Inspections'!$E$4:$E$503,_calc!$E$487))&amp;". ")&amp;IF(LEN(IF(LEN(INDEX('Inspections'!$F$4:$F$503,_calc!$E$487))=0,"",INDEX('Inspections'!$F$4:$F$503,_calc!$E$487)))=0,"","Done by: "&amp;IF(LEN(INDEX('Inspections'!$F$4:$F$503,_calc!$E$487))=0,"",INDEX('Inspections'!$F$4:$F$503,_calc!$E$487))&amp;". ")&amp;IF(LEN(IF(LEN(INDEX('Inspections'!$M$4:$M$503,_calc!$E$487))=0,"",INDEX('Inspections'!$M$4:$M$503,_calc!$E$487)))=0,"","Source: "&amp;IF(LEN(INDEX('Inspections'!$M$4:$M$503,_calc!$E$487))=0,"",INDEX('Inspections'!$M$4:$M$503,_calc!$E$487))&amp;". ")&amp;IF(LEN(IF(LEN(INDEX('Inspections'!$N$4:$N$503,_calc!$E$487))=0,"",INDEX('Inspections'!$N$4:$N$503,_calc!$E$487)))=0,"","Owner: "&amp;IF(LEN(INDEX('Inspections'!$N$4:$N$503,_calc!$E$487))=0,"",INDEX('Inspections'!$N$4:$N$503,_calc!$E$487))&amp;". ")&amp;IF(LEN(IF(LEN(INDEX('Inspections'!$O$4:$O$503,_calc!$E$487))=0,"",INDEX('Inspections'!$O$4:$O$503,_calc!$E$487)))=0,"","Backup: "&amp;IF(LEN(INDEX('Inspections'!$O$4:$O$503,_calc!$E$487))=0,"",INDEX('Inspections'!$O$4:$O$503,_calc!$E$487))&amp;". ")&amp;IF(LEN(IF(LEN(INDEX('Inspections'!$R$4:$R$503,_calc!$E$487))=0,"",INDEX('Inspections'!$R$4:$R$503,_calc!$E$487)))=0,"",IF(LEN(INDEX('Inspections'!$R$4:$R$503,_calc!$E$487))=0,"",INDEX('Inspections'!$R$4:$R$503,_calc!$E$487)))))</f>
        <v/>
      </c>
      <c r="G485" s="55">
        <f>IF(_calc!$E$487="","",IF(LEN(INDEX('Inspections'!$Q$4:$Q$503,_calc!$E$487))=0,"",INDEX('Inspections'!$Q$4:$Q$503,_calc!$E$487)))</f>
        <v/>
      </c>
      <c r="K485" s="55">
        <f>IF(_calc!$E$487="","",IF(LEN(INDEX('Inspections'!$P$4:$P$503,_calc!$E$487))=0,"",INDEX('Inspections'!$P$4:$P$503,_calc!$E$487)))</f>
        <v/>
      </c>
    </row>
    <row r="486">
      <c r="A486" s="55">
        <f>IF(_calc!$E$488="","",IF(LEN(INDEX('Inspections'!$C$4:$C$503,_calc!$E$488))=0,"",INDEX('Inspections'!$C$4:$C$503,_calc!$E$488))&amp;" – "&amp;IF(LEN(INDEX('Inspections'!$A$4:$A$503,_calc!$E$488))=0,"",INDEX('Inspections'!$A$4:$A$503,_calc!$E$488)))</f>
        <v/>
      </c>
      <c r="B486" s="55">
        <f>IF(_calc!$E$488="","",IF(ISNUMBER(INDEX('Inspections'!$H$4:$H$503,_calc!$E$488)),TEXT(INDEX('Inspections'!$H$4:$H$503,_calc!$E$488),"yyyy-mm-dd"),""))</f>
        <v/>
      </c>
      <c r="C486" s="55">
        <f>IF(_calc!$E$488="","","Inspection")</f>
        <v/>
      </c>
      <c r="D486" s="55">
        <f>IF(_calc!$E$488="","",IF(ISNUMBER(INDEX('Inspections'!$G$4:$G$503,_calc!$E$488)),TEXT(INDEX('Inspections'!$G$4:$G$503,_calc!$E$488),"yyyy-mm-dd"),""))</f>
        <v/>
      </c>
      <c r="F486" s="55">
        <f>IF(_calc!$E$488="","",TRIM(IF(LEN(IF(LEN(INDEX('Inspections'!$B$4:$B$503,_calc!$E$488))=0,"",INDEX('Inspections'!$B$4:$B$503,_calc!$E$488)))=0,"","System: "&amp;IF(LEN(INDEX('Inspections'!$B$4:$B$503,_calc!$E$488))=0,"",INDEX('Inspections'!$B$4:$B$503,_calc!$E$488))&amp;". ")&amp;IF(LEN(IF(LEN(INDEX('Inspections'!$D$4:$D$503,_calc!$E$488))=0,"",INDEX('Inspections'!$D$4:$D$503,_calc!$E$488)))=0,"","Every: "&amp;IF(LEN(INDEX('Inspections'!$D$4:$D$503,_calc!$E$488))=0,"",INDEX('Inspections'!$D$4:$D$503,_calc!$E$488))&amp;". ")&amp;IF(LEN(IF(LEN(INDEX('Inspections'!$E$4:$E$503,_calc!$E$488))=0,"",INDEX('Inspections'!$E$4:$E$503,_calc!$E$488)))=0,"","Unit: "&amp;IF(LEN(INDEX('Inspections'!$E$4:$E$503,_calc!$E$488))=0,"",INDEX('Inspections'!$E$4:$E$503,_calc!$E$488))&amp;". ")&amp;IF(LEN(IF(LEN(INDEX('Inspections'!$F$4:$F$503,_calc!$E$488))=0,"",INDEX('Inspections'!$F$4:$F$503,_calc!$E$488)))=0,"","Done by: "&amp;IF(LEN(INDEX('Inspections'!$F$4:$F$503,_calc!$E$488))=0,"",INDEX('Inspections'!$F$4:$F$503,_calc!$E$488))&amp;". ")&amp;IF(LEN(IF(LEN(INDEX('Inspections'!$M$4:$M$503,_calc!$E$488))=0,"",INDEX('Inspections'!$M$4:$M$503,_calc!$E$488)))=0,"","Source: "&amp;IF(LEN(INDEX('Inspections'!$M$4:$M$503,_calc!$E$488))=0,"",INDEX('Inspections'!$M$4:$M$503,_calc!$E$488))&amp;". ")&amp;IF(LEN(IF(LEN(INDEX('Inspections'!$N$4:$N$503,_calc!$E$488))=0,"",INDEX('Inspections'!$N$4:$N$503,_calc!$E$488)))=0,"","Owner: "&amp;IF(LEN(INDEX('Inspections'!$N$4:$N$503,_calc!$E$488))=0,"",INDEX('Inspections'!$N$4:$N$503,_calc!$E$488))&amp;". ")&amp;IF(LEN(IF(LEN(INDEX('Inspections'!$O$4:$O$503,_calc!$E$488))=0,"",INDEX('Inspections'!$O$4:$O$503,_calc!$E$488)))=0,"","Backup: "&amp;IF(LEN(INDEX('Inspections'!$O$4:$O$503,_calc!$E$488))=0,"",INDEX('Inspections'!$O$4:$O$503,_calc!$E$488))&amp;". ")&amp;IF(LEN(IF(LEN(INDEX('Inspections'!$R$4:$R$503,_calc!$E$488))=0,"",INDEX('Inspections'!$R$4:$R$503,_calc!$E$488)))=0,"",IF(LEN(INDEX('Inspections'!$R$4:$R$503,_calc!$E$488))=0,"",INDEX('Inspections'!$R$4:$R$503,_calc!$E$488)))))</f>
        <v/>
      </c>
      <c r="G486" s="55">
        <f>IF(_calc!$E$488="","",IF(LEN(INDEX('Inspections'!$Q$4:$Q$503,_calc!$E$488))=0,"",INDEX('Inspections'!$Q$4:$Q$503,_calc!$E$488)))</f>
        <v/>
      </c>
      <c r="K486" s="55">
        <f>IF(_calc!$E$488="","",IF(LEN(INDEX('Inspections'!$P$4:$P$503,_calc!$E$488))=0,"",INDEX('Inspections'!$P$4:$P$503,_calc!$E$488)))</f>
        <v/>
      </c>
    </row>
    <row r="487">
      <c r="A487" s="55">
        <f>IF(_calc!$E$489="","",IF(LEN(INDEX('Inspections'!$C$4:$C$503,_calc!$E$489))=0,"",INDEX('Inspections'!$C$4:$C$503,_calc!$E$489))&amp;" – "&amp;IF(LEN(INDEX('Inspections'!$A$4:$A$503,_calc!$E$489))=0,"",INDEX('Inspections'!$A$4:$A$503,_calc!$E$489)))</f>
        <v/>
      </c>
      <c r="B487" s="55">
        <f>IF(_calc!$E$489="","",IF(ISNUMBER(INDEX('Inspections'!$H$4:$H$503,_calc!$E$489)),TEXT(INDEX('Inspections'!$H$4:$H$503,_calc!$E$489),"yyyy-mm-dd"),""))</f>
        <v/>
      </c>
      <c r="C487" s="55">
        <f>IF(_calc!$E$489="","","Inspection")</f>
        <v/>
      </c>
      <c r="D487" s="55">
        <f>IF(_calc!$E$489="","",IF(ISNUMBER(INDEX('Inspections'!$G$4:$G$503,_calc!$E$489)),TEXT(INDEX('Inspections'!$G$4:$G$503,_calc!$E$489),"yyyy-mm-dd"),""))</f>
        <v/>
      </c>
      <c r="F487" s="55">
        <f>IF(_calc!$E$489="","",TRIM(IF(LEN(IF(LEN(INDEX('Inspections'!$B$4:$B$503,_calc!$E$489))=0,"",INDEX('Inspections'!$B$4:$B$503,_calc!$E$489)))=0,"","System: "&amp;IF(LEN(INDEX('Inspections'!$B$4:$B$503,_calc!$E$489))=0,"",INDEX('Inspections'!$B$4:$B$503,_calc!$E$489))&amp;". ")&amp;IF(LEN(IF(LEN(INDEX('Inspections'!$D$4:$D$503,_calc!$E$489))=0,"",INDEX('Inspections'!$D$4:$D$503,_calc!$E$489)))=0,"","Every: "&amp;IF(LEN(INDEX('Inspections'!$D$4:$D$503,_calc!$E$489))=0,"",INDEX('Inspections'!$D$4:$D$503,_calc!$E$489))&amp;". ")&amp;IF(LEN(IF(LEN(INDEX('Inspections'!$E$4:$E$503,_calc!$E$489))=0,"",INDEX('Inspections'!$E$4:$E$503,_calc!$E$489)))=0,"","Unit: "&amp;IF(LEN(INDEX('Inspections'!$E$4:$E$503,_calc!$E$489))=0,"",INDEX('Inspections'!$E$4:$E$503,_calc!$E$489))&amp;". ")&amp;IF(LEN(IF(LEN(INDEX('Inspections'!$F$4:$F$503,_calc!$E$489))=0,"",INDEX('Inspections'!$F$4:$F$503,_calc!$E$489)))=0,"","Done by: "&amp;IF(LEN(INDEX('Inspections'!$F$4:$F$503,_calc!$E$489))=0,"",INDEX('Inspections'!$F$4:$F$503,_calc!$E$489))&amp;". ")&amp;IF(LEN(IF(LEN(INDEX('Inspections'!$M$4:$M$503,_calc!$E$489))=0,"",INDEX('Inspections'!$M$4:$M$503,_calc!$E$489)))=0,"","Source: "&amp;IF(LEN(INDEX('Inspections'!$M$4:$M$503,_calc!$E$489))=0,"",INDEX('Inspections'!$M$4:$M$503,_calc!$E$489))&amp;". ")&amp;IF(LEN(IF(LEN(INDEX('Inspections'!$N$4:$N$503,_calc!$E$489))=0,"",INDEX('Inspections'!$N$4:$N$503,_calc!$E$489)))=0,"","Owner: "&amp;IF(LEN(INDEX('Inspections'!$N$4:$N$503,_calc!$E$489))=0,"",INDEX('Inspections'!$N$4:$N$503,_calc!$E$489))&amp;". ")&amp;IF(LEN(IF(LEN(INDEX('Inspections'!$O$4:$O$503,_calc!$E$489))=0,"",INDEX('Inspections'!$O$4:$O$503,_calc!$E$489)))=0,"","Backup: "&amp;IF(LEN(INDEX('Inspections'!$O$4:$O$503,_calc!$E$489))=0,"",INDEX('Inspections'!$O$4:$O$503,_calc!$E$489))&amp;". ")&amp;IF(LEN(IF(LEN(INDEX('Inspections'!$R$4:$R$503,_calc!$E$489))=0,"",INDEX('Inspections'!$R$4:$R$503,_calc!$E$489)))=0,"",IF(LEN(INDEX('Inspections'!$R$4:$R$503,_calc!$E$489))=0,"",INDEX('Inspections'!$R$4:$R$503,_calc!$E$489)))))</f>
        <v/>
      </c>
      <c r="G487" s="55">
        <f>IF(_calc!$E$489="","",IF(LEN(INDEX('Inspections'!$Q$4:$Q$503,_calc!$E$489))=0,"",INDEX('Inspections'!$Q$4:$Q$503,_calc!$E$489)))</f>
        <v/>
      </c>
      <c r="K487" s="55">
        <f>IF(_calc!$E$489="","",IF(LEN(INDEX('Inspections'!$P$4:$P$503,_calc!$E$489))=0,"",INDEX('Inspections'!$P$4:$P$503,_calc!$E$489)))</f>
        <v/>
      </c>
    </row>
    <row r="488">
      <c r="A488" s="55">
        <f>IF(_calc!$E$490="","",IF(LEN(INDEX('Inspections'!$C$4:$C$503,_calc!$E$490))=0,"",INDEX('Inspections'!$C$4:$C$503,_calc!$E$490))&amp;" – "&amp;IF(LEN(INDEX('Inspections'!$A$4:$A$503,_calc!$E$490))=0,"",INDEX('Inspections'!$A$4:$A$503,_calc!$E$490)))</f>
        <v/>
      </c>
      <c r="B488" s="55">
        <f>IF(_calc!$E$490="","",IF(ISNUMBER(INDEX('Inspections'!$H$4:$H$503,_calc!$E$490)),TEXT(INDEX('Inspections'!$H$4:$H$503,_calc!$E$490),"yyyy-mm-dd"),""))</f>
        <v/>
      </c>
      <c r="C488" s="55">
        <f>IF(_calc!$E$490="","","Inspection")</f>
        <v/>
      </c>
      <c r="D488" s="55">
        <f>IF(_calc!$E$490="","",IF(ISNUMBER(INDEX('Inspections'!$G$4:$G$503,_calc!$E$490)),TEXT(INDEX('Inspections'!$G$4:$G$503,_calc!$E$490),"yyyy-mm-dd"),""))</f>
        <v/>
      </c>
      <c r="F488" s="55">
        <f>IF(_calc!$E$490="","",TRIM(IF(LEN(IF(LEN(INDEX('Inspections'!$B$4:$B$503,_calc!$E$490))=0,"",INDEX('Inspections'!$B$4:$B$503,_calc!$E$490)))=0,"","System: "&amp;IF(LEN(INDEX('Inspections'!$B$4:$B$503,_calc!$E$490))=0,"",INDEX('Inspections'!$B$4:$B$503,_calc!$E$490))&amp;". ")&amp;IF(LEN(IF(LEN(INDEX('Inspections'!$D$4:$D$503,_calc!$E$490))=0,"",INDEX('Inspections'!$D$4:$D$503,_calc!$E$490)))=0,"","Every: "&amp;IF(LEN(INDEX('Inspections'!$D$4:$D$503,_calc!$E$490))=0,"",INDEX('Inspections'!$D$4:$D$503,_calc!$E$490))&amp;". ")&amp;IF(LEN(IF(LEN(INDEX('Inspections'!$E$4:$E$503,_calc!$E$490))=0,"",INDEX('Inspections'!$E$4:$E$503,_calc!$E$490)))=0,"","Unit: "&amp;IF(LEN(INDEX('Inspections'!$E$4:$E$503,_calc!$E$490))=0,"",INDEX('Inspections'!$E$4:$E$503,_calc!$E$490))&amp;". ")&amp;IF(LEN(IF(LEN(INDEX('Inspections'!$F$4:$F$503,_calc!$E$490))=0,"",INDEX('Inspections'!$F$4:$F$503,_calc!$E$490)))=0,"","Done by: "&amp;IF(LEN(INDEX('Inspections'!$F$4:$F$503,_calc!$E$490))=0,"",INDEX('Inspections'!$F$4:$F$503,_calc!$E$490))&amp;". ")&amp;IF(LEN(IF(LEN(INDEX('Inspections'!$M$4:$M$503,_calc!$E$490))=0,"",INDEX('Inspections'!$M$4:$M$503,_calc!$E$490)))=0,"","Source: "&amp;IF(LEN(INDEX('Inspections'!$M$4:$M$503,_calc!$E$490))=0,"",INDEX('Inspections'!$M$4:$M$503,_calc!$E$490))&amp;". ")&amp;IF(LEN(IF(LEN(INDEX('Inspections'!$N$4:$N$503,_calc!$E$490))=0,"",INDEX('Inspections'!$N$4:$N$503,_calc!$E$490)))=0,"","Owner: "&amp;IF(LEN(INDEX('Inspections'!$N$4:$N$503,_calc!$E$490))=0,"",INDEX('Inspections'!$N$4:$N$503,_calc!$E$490))&amp;". ")&amp;IF(LEN(IF(LEN(INDEX('Inspections'!$O$4:$O$503,_calc!$E$490))=0,"",INDEX('Inspections'!$O$4:$O$503,_calc!$E$490)))=0,"","Backup: "&amp;IF(LEN(INDEX('Inspections'!$O$4:$O$503,_calc!$E$490))=0,"",INDEX('Inspections'!$O$4:$O$503,_calc!$E$490))&amp;". ")&amp;IF(LEN(IF(LEN(INDEX('Inspections'!$R$4:$R$503,_calc!$E$490))=0,"",INDEX('Inspections'!$R$4:$R$503,_calc!$E$490)))=0,"",IF(LEN(INDEX('Inspections'!$R$4:$R$503,_calc!$E$490))=0,"",INDEX('Inspections'!$R$4:$R$503,_calc!$E$490)))))</f>
        <v/>
      </c>
      <c r="G488" s="55">
        <f>IF(_calc!$E$490="","",IF(LEN(INDEX('Inspections'!$Q$4:$Q$503,_calc!$E$490))=0,"",INDEX('Inspections'!$Q$4:$Q$503,_calc!$E$490)))</f>
        <v/>
      </c>
      <c r="K488" s="55">
        <f>IF(_calc!$E$490="","",IF(LEN(INDEX('Inspections'!$P$4:$P$503,_calc!$E$490))=0,"",INDEX('Inspections'!$P$4:$P$503,_calc!$E$490)))</f>
        <v/>
      </c>
    </row>
    <row r="489">
      <c r="A489" s="55">
        <f>IF(_calc!$E$491="","",IF(LEN(INDEX('Inspections'!$C$4:$C$503,_calc!$E$491))=0,"",INDEX('Inspections'!$C$4:$C$503,_calc!$E$491))&amp;" – "&amp;IF(LEN(INDEX('Inspections'!$A$4:$A$503,_calc!$E$491))=0,"",INDEX('Inspections'!$A$4:$A$503,_calc!$E$491)))</f>
        <v/>
      </c>
      <c r="B489" s="55">
        <f>IF(_calc!$E$491="","",IF(ISNUMBER(INDEX('Inspections'!$H$4:$H$503,_calc!$E$491)),TEXT(INDEX('Inspections'!$H$4:$H$503,_calc!$E$491),"yyyy-mm-dd"),""))</f>
        <v/>
      </c>
      <c r="C489" s="55">
        <f>IF(_calc!$E$491="","","Inspection")</f>
        <v/>
      </c>
      <c r="D489" s="55">
        <f>IF(_calc!$E$491="","",IF(ISNUMBER(INDEX('Inspections'!$G$4:$G$503,_calc!$E$491)),TEXT(INDEX('Inspections'!$G$4:$G$503,_calc!$E$491),"yyyy-mm-dd"),""))</f>
        <v/>
      </c>
      <c r="F489" s="55">
        <f>IF(_calc!$E$491="","",TRIM(IF(LEN(IF(LEN(INDEX('Inspections'!$B$4:$B$503,_calc!$E$491))=0,"",INDEX('Inspections'!$B$4:$B$503,_calc!$E$491)))=0,"","System: "&amp;IF(LEN(INDEX('Inspections'!$B$4:$B$503,_calc!$E$491))=0,"",INDEX('Inspections'!$B$4:$B$503,_calc!$E$491))&amp;". ")&amp;IF(LEN(IF(LEN(INDEX('Inspections'!$D$4:$D$503,_calc!$E$491))=0,"",INDEX('Inspections'!$D$4:$D$503,_calc!$E$491)))=0,"","Every: "&amp;IF(LEN(INDEX('Inspections'!$D$4:$D$503,_calc!$E$491))=0,"",INDEX('Inspections'!$D$4:$D$503,_calc!$E$491))&amp;". ")&amp;IF(LEN(IF(LEN(INDEX('Inspections'!$E$4:$E$503,_calc!$E$491))=0,"",INDEX('Inspections'!$E$4:$E$503,_calc!$E$491)))=0,"","Unit: "&amp;IF(LEN(INDEX('Inspections'!$E$4:$E$503,_calc!$E$491))=0,"",INDEX('Inspections'!$E$4:$E$503,_calc!$E$491))&amp;". ")&amp;IF(LEN(IF(LEN(INDEX('Inspections'!$F$4:$F$503,_calc!$E$491))=0,"",INDEX('Inspections'!$F$4:$F$503,_calc!$E$491)))=0,"","Done by: "&amp;IF(LEN(INDEX('Inspections'!$F$4:$F$503,_calc!$E$491))=0,"",INDEX('Inspections'!$F$4:$F$503,_calc!$E$491))&amp;". ")&amp;IF(LEN(IF(LEN(INDEX('Inspections'!$M$4:$M$503,_calc!$E$491))=0,"",INDEX('Inspections'!$M$4:$M$503,_calc!$E$491)))=0,"","Source: "&amp;IF(LEN(INDEX('Inspections'!$M$4:$M$503,_calc!$E$491))=0,"",INDEX('Inspections'!$M$4:$M$503,_calc!$E$491))&amp;". ")&amp;IF(LEN(IF(LEN(INDEX('Inspections'!$N$4:$N$503,_calc!$E$491))=0,"",INDEX('Inspections'!$N$4:$N$503,_calc!$E$491)))=0,"","Owner: "&amp;IF(LEN(INDEX('Inspections'!$N$4:$N$503,_calc!$E$491))=0,"",INDEX('Inspections'!$N$4:$N$503,_calc!$E$491))&amp;". ")&amp;IF(LEN(IF(LEN(INDEX('Inspections'!$O$4:$O$503,_calc!$E$491))=0,"",INDEX('Inspections'!$O$4:$O$503,_calc!$E$491)))=0,"","Backup: "&amp;IF(LEN(INDEX('Inspections'!$O$4:$O$503,_calc!$E$491))=0,"",INDEX('Inspections'!$O$4:$O$503,_calc!$E$491))&amp;". ")&amp;IF(LEN(IF(LEN(INDEX('Inspections'!$R$4:$R$503,_calc!$E$491))=0,"",INDEX('Inspections'!$R$4:$R$503,_calc!$E$491)))=0,"",IF(LEN(INDEX('Inspections'!$R$4:$R$503,_calc!$E$491))=0,"",INDEX('Inspections'!$R$4:$R$503,_calc!$E$491)))))</f>
        <v/>
      </c>
      <c r="G489" s="55">
        <f>IF(_calc!$E$491="","",IF(LEN(INDEX('Inspections'!$Q$4:$Q$503,_calc!$E$491))=0,"",INDEX('Inspections'!$Q$4:$Q$503,_calc!$E$491)))</f>
        <v/>
      </c>
      <c r="K489" s="55">
        <f>IF(_calc!$E$491="","",IF(LEN(INDEX('Inspections'!$P$4:$P$503,_calc!$E$491))=0,"",INDEX('Inspections'!$P$4:$P$503,_calc!$E$491)))</f>
        <v/>
      </c>
    </row>
    <row r="490">
      <c r="A490" s="55">
        <f>IF(_calc!$E$492="","",IF(LEN(INDEX('Inspections'!$C$4:$C$503,_calc!$E$492))=0,"",INDEX('Inspections'!$C$4:$C$503,_calc!$E$492))&amp;" – "&amp;IF(LEN(INDEX('Inspections'!$A$4:$A$503,_calc!$E$492))=0,"",INDEX('Inspections'!$A$4:$A$503,_calc!$E$492)))</f>
        <v/>
      </c>
      <c r="B490" s="55">
        <f>IF(_calc!$E$492="","",IF(ISNUMBER(INDEX('Inspections'!$H$4:$H$503,_calc!$E$492)),TEXT(INDEX('Inspections'!$H$4:$H$503,_calc!$E$492),"yyyy-mm-dd"),""))</f>
        <v/>
      </c>
      <c r="C490" s="55">
        <f>IF(_calc!$E$492="","","Inspection")</f>
        <v/>
      </c>
      <c r="D490" s="55">
        <f>IF(_calc!$E$492="","",IF(ISNUMBER(INDEX('Inspections'!$G$4:$G$503,_calc!$E$492)),TEXT(INDEX('Inspections'!$G$4:$G$503,_calc!$E$492),"yyyy-mm-dd"),""))</f>
        <v/>
      </c>
      <c r="F490" s="55">
        <f>IF(_calc!$E$492="","",TRIM(IF(LEN(IF(LEN(INDEX('Inspections'!$B$4:$B$503,_calc!$E$492))=0,"",INDEX('Inspections'!$B$4:$B$503,_calc!$E$492)))=0,"","System: "&amp;IF(LEN(INDEX('Inspections'!$B$4:$B$503,_calc!$E$492))=0,"",INDEX('Inspections'!$B$4:$B$503,_calc!$E$492))&amp;". ")&amp;IF(LEN(IF(LEN(INDEX('Inspections'!$D$4:$D$503,_calc!$E$492))=0,"",INDEX('Inspections'!$D$4:$D$503,_calc!$E$492)))=0,"","Every: "&amp;IF(LEN(INDEX('Inspections'!$D$4:$D$503,_calc!$E$492))=0,"",INDEX('Inspections'!$D$4:$D$503,_calc!$E$492))&amp;". ")&amp;IF(LEN(IF(LEN(INDEX('Inspections'!$E$4:$E$503,_calc!$E$492))=0,"",INDEX('Inspections'!$E$4:$E$503,_calc!$E$492)))=0,"","Unit: "&amp;IF(LEN(INDEX('Inspections'!$E$4:$E$503,_calc!$E$492))=0,"",INDEX('Inspections'!$E$4:$E$503,_calc!$E$492))&amp;". ")&amp;IF(LEN(IF(LEN(INDEX('Inspections'!$F$4:$F$503,_calc!$E$492))=0,"",INDEX('Inspections'!$F$4:$F$503,_calc!$E$492)))=0,"","Done by: "&amp;IF(LEN(INDEX('Inspections'!$F$4:$F$503,_calc!$E$492))=0,"",INDEX('Inspections'!$F$4:$F$503,_calc!$E$492))&amp;". ")&amp;IF(LEN(IF(LEN(INDEX('Inspections'!$M$4:$M$503,_calc!$E$492))=0,"",INDEX('Inspections'!$M$4:$M$503,_calc!$E$492)))=0,"","Source: "&amp;IF(LEN(INDEX('Inspections'!$M$4:$M$503,_calc!$E$492))=0,"",INDEX('Inspections'!$M$4:$M$503,_calc!$E$492))&amp;". ")&amp;IF(LEN(IF(LEN(INDEX('Inspections'!$N$4:$N$503,_calc!$E$492))=0,"",INDEX('Inspections'!$N$4:$N$503,_calc!$E$492)))=0,"","Owner: "&amp;IF(LEN(INDEX('Inspections'!$N$4:$N$503,_calc!$E$492))=0,"",INDEX('Inspections'!$N$4:$N$503,_calc!$E$492))&amp;". ")&amp;IF(LEN(IF(LEN(INDEX('Inspections'!$O$4:$O$503,_calc!$E$492))=0,"",INDEX('Inspections'!$O$4:$O$503,_calc!$E$492)))=0,"","Backup: "&amp;IF(LEN(INDEX('Inspections'!$O$4:$O$503,_calc!$E$492))=0,"",INDEX('Inspections'!$O$4:$O$503,_calc!$E$492))&amp;". ")&amp;IF(LEN(IF(LEN(INDEX('Inspections'!$R$4:$R$503,_calc!$E$492))=0,"",INDEX('Inspections'!$R$4:$R$503,_calc!$E$492)))=0,"",IF(LEN(INDEX('Inspections'!$R$4:$R$503,_calc!$E$492))=0,"",INDEX('Inspections'!$R$4:$R$503,_calc!$E$492)))))</f>
        <v/>
      </c>
      <c r="G490" s="55">
        <f>IF(_calc!$E$492="","",IF(LEN(INDEX('Inspections'!$Q$4:$Q$503,_calc!$E$492))=0,"",INDEX('Inspections'!$Q$4:$Q$503,_calc!$E$492)))</f>
        <v/>
      </c>
      <c r="K490" s="55">
        <f>IF(_calc!$E$492="","",IF(LEN(INDEX('Inspections'!$P$4:$P$503,_calc!$E$492))=0,"",INDEX('Inspections'!$P$4:$P$503,_calc!$E$492)))</f>
        <v/>
      </c>
    </row>
    <row r="491">
      <c r="A491" s="55">
        <f>IF(_calc!$E$493="","",IF(LEN(INDEX('Inspections'!$C$4:$C$503,_calc!$E$493))=0,"",INDEX('Inspections'!$C$4:$C$503,_calc!$E$493))&amp;" – "&amp;IF(LEN(INDEX('Inspections'!$A$4:$A$503,_calc!$E$493))=0,"",INDEX('Inspections'!$A$4:$A$503,_calc!$E$493)))</f>
        <v/>
      </c>
      <c r="B491" s="55">
        <f>IF(_calc!$E$493="","",IF(ISNUMBER(INDEX('Inspections'!$H$4:$H$503,_calc!$E$493)),TEXT(INDEX('Inspections'!$H$4:$H$503,_calc!$E$493),"yyyy-mm-dd"),""))</f>
        <v/>
      </c>
      <c r="C491" s="55">
        <f>IF(_calc!$E$493="","","Inspection")</f>
        <v/>
      </c>
      <c r="D491" s="55">
        <f>IF(_calc!$E$493="","",IF(ISNUMBER(INDEX('Inspections'!$G$4:$G$503,_calc!$E$493)),TEXT(INDEX('Inspections'!$G$4:$G$503,_calc!$E$493),"yyyy-mm-dd"),""))</f>
        <v/>
      </c>
      <c r="F491" s="55">
        <f>IF(_calc!$E$493="","",TRIM(IF(LEN(IF(LEN(INDEX('Inspections'!$B$4:$B$503,_calc!$E$493))=0,"",INDEX('Inspections'!$B$4:$B$503,_calc!$E$493)))=0,"","System: "&amp;IF(LEN(INDEX('Inspections'!$B$4:$B$503,_calc!$E$493))=0,"",INDEX('Inspections'!$B$4:$B$503,_calc!$E$493))&amp;". ")&amp;IF(LEN(IF(LEN(INDEX('Inspections'!$D$4:$D$503,_calc!$E$493))=0,"",INDEX('Inspections'!$D$4:$D$503,_calc!$E$493)))=0,"","Every: "&amp;IF(LEN(INDEX('Inspections'!$D$4:$D$503,_calc!$E$493))=0,"",INDEX('Inspections'!$D$4:$D$503,_calc!$E$493))&amp;". ")&amp;IF(LEN(IF(LEN(INDEX('Inspections'!$E$4:$E$503,_calc!$E$493))=0,"",INDEX('Inspections'!$E$4:$E$503,_calc!$E$493)))=0,"","Unit: "&amp;IF(LEN(INDEX('Inspections'!$E$4:$E$503,_calc!$E$493))=0,"",INDEX('Inspections'!$E$4:$E$503,_calc!$E$493))&amp;". ")&amp;IF(LEN(IF(LEN(INDEX('Inspections'!$F$4:$F$503,_calc!$E$493))=0,"",INDEX('Inspections'!$F$4:$F$503,_calc!$E$493)))=0,"","Done by: "&amp;IF(LEN(INDEX('Inspections'!$F$4:$F$503,_calc!$E$493))=0,"",INDEX('Inspections'!$F$4:$F$503,_calc!$E$493))&amp;". ")&amp;IF(LEN(IF(LEN(INDEX('Inspections'!$M$4:$M$503,_calc!$E$493))=0,"",INDEX('Inspections'!$M$4:$M$503,_calc!$E$493)))=0,"","Source: "&amp;IF(LEN(INDEX('Inspections'!$M$4:$M$503,_calc!$E$493))=0,"",INDEX('Inspections'!$M$4:$M$503,_calc!$E$493))&amp;". ")&amp;IF(LEN(IF(LEN(INDEX('Inspections'!$N$4:$N$503,_calc!$E$493))=0,"",INDEX('Inspections'!$N$4:$N$503,_calc!$E$493)))=0,"","Owner: "&amp;IF(LEN(INDEX('Inspections'!$N$4:$N$503,_calc!$E$493))=0,"",INDEX('Inspections'!$N$4:$N$503,_calc!$E$493))&amp;". ")&amp;IF(LEN(IF(LEN(INDEX('Inspections'!$O$4:$O$503,_calc!$E$493))=0,"",INDEX('Inspections'!$O$4:$O$503,_calc!$E$493)))=0,"","Backup: "&amp;IF(LEN(INDEX('Inspections'!$O$4:$O$503,_calc!$E$493))=0,"",INDEX('Inspections'!$O$4:$O$503,_calc!$E$493))&amp;". ")&amp;IF(LEN(IF(LEN(INDEX('Inspections'!$R$4:$R$503,_calc!$E$493))=0,"",INDEX('Inspections'!$R$4:$R$503,_calc!$E$493)))=0,"",IF(LEN(INDEX('Inspections'!$R$4:$R$503,_calc!$E$493))=0,"",INDEX('Inspections'!$R$4:$R$503,_calc!$E$493)))))</f>
        <v/>
      </c>
      <c r="G491" s="55">
        <f>IF(_calc!$E$493="","",IF(LEN(INDEX('Inspections'!$Q$4:$Q$503,_calc!$E$493))=0,"",INDEX('Inspections'!$Q$4:$Q$503,_calc!$E$493)))</f>
        <v/>
      </c>
      <c r="K491" s="55">
        <f>IF(_calc!$E$493="","",IF(LEN(INDEX('Inspections'!$P$4:$P$503,_calc!$E$493))=0,"",INDEX('Inspections'!$P$4:$P$503,_calc!$E$493)))</f>
        <v/>
      </c>
    </row>
    <row r="492">
      <c r="A492" s="55">
        <f>IF(_calc!$E$494="","",IF(LEN(INDEX('Inspections'!$C$4:$C$503,_calc!$E$494))=0,"",INDEX('Inspections'!$C$4:$C$503,_calc!$E$494))&amp;" – "&amp;IF(LEN(INDEX('Inspections'!$A$4:$A$503,_calc!$E$494))=0,"",INDEX('Inspections'!$A$4:$A$503,_calc!$E$494)))</f>
        <v/>
      </c>
      <c r="B492" s="55">
        <f>IF(_calc!$E$494="","",IF(ISNUMBER(INDEX('Inspections'!$H$4:$H$503,_calc!$E$494)),TEXT(INDEX('Inspections'!$H$4:$H$503,_calc!$E$494),"yyyy-mm-dd"),""))</f>
        <v/>
      </c>
      <c r="C492" s="55">
        <f>IF(_calc!$E$494="","","Inspection")</f>
        <v/>
      </c>
      <c r="D492" s="55">
        <f>IF(_calc!$E$494="","",IF(ISNUMBER(INDEX('Inspections'!$G$4:$G$503,_calc!$E$494)),TEXT(INDEX('Inspections'!$G$4:$G$503,_calc!$E$494),"yyyy-mm-dd"),""))</f>
        <v/>
      </c>
      <c r="F492" s="55">
        <f>IF(_calc!$E$494="","",TRIM(IF(LEN(IF(LEN(INDEX('Inspections'!$B$4:$B$503,_calc!$E$494))=0,"",INDEX('Inspections'!$B$4:$B$503,_calc!$E$494)))=0,"","System: "&amp;IF(LEN(INDEX('Inspections'!$B$4:$B$503,_calc!$E$494))=0,"",INDEX('Inspections'!$B$4:$B$503,_calc!$E$494))&amp;". ")&amp;IF(LEN(IF(LEN(INDEX('Inspections'!$D$4:$D$503,_calc!$E$494))=0,"",INDEX('Inspections'!$D$4:$D$503,_calc!$E$494)))=0,"","Every: "&amp;IF(LEN(INDEX('Inspections'!$D$4:$D$503,_calc!$E$494))=0,"",INDEX('Inspections'!$D$4:$D$503,_calc!$E$494))&amp;". ")&amp;IF(LEN(IF(LEN(INDEX('Inspections'!$E$4:$E$503,_calc!$E$494))=0,"",INDEX('Inspections'!$E$4:$E$503,_calc!$E$494)))=0,"","Unit: "&amp;IF(LEN(INDEX('Inspections'!$E$4:$E$503,_calc!$E$494))=0,"",INDEX('Inspections'!$E$4:$E$503,_calc!$E$494))&amp;". ")&amp;IF(LEN(IF(LEN(INDEX('Inspections'!$F$4:$F$503,_calc!$E$494))=0,"",INDEX('Inspections'!$F$4:$F$503,_calc!$E$494)))=0,"","Done by: "&amp;IF(LEN(INDEX('Inspections'!$F$4:$F$503,_calc!$E$494))=0,"",INDEX('Inspections'!$F$4:$F$503,_calc!$E$494))&amp;". ")&amp;IF(LEN(IF(LEN(INDEX('Inspections'!$M$4:$M$503,_calc!$E$494))=0,"",INDEX('Inspections'!$M$4:$M$503,_calc!$E$494)))=0,"","Source: "&amp;IF(LEN(INDEX('Inspections'!$M$4:$M$503,_calc!$E$494))=0,"",INDEX('Inspections'!$M$4:$M$503,_calc!$E$494))&amp;". ")&amp;IF(LEN(IF(LEN(INDEX('Inspections'!$N$4:$N$503,_calc!$E$494))=0,"",INDEX('Inspections'!$N$4:$N$503,_calc!$E$494)))=0,"","Owner: "&amp;IF(LEN(INDEX('Inspections'!$N$4:$N$503,_calc!$E$494))=0,"",INDEX('Inspections'!$N$4:$N$503,_calc!$E$494))&amp;". ")&amp;IF(LEN(IF(LEN(INDEX('Inspections'!$O$4:$O$503,_calc!$E$494))=0,"",INDEX('Inspections'!$O$4:$O$503,_calc!$E$494)))=0,"","Backup: "&amp;IF(LEN(INDEX('Inspections'!$O$4:$O$503,_calc!$E$494))=0,"",INDEX('Inspections'!$O$4:$O$503,_calc!$E$494))&amp;". ")&amp;IF(LEN(IF(LEN(INDEX('Inspections'!$R$4:$R$503,_calc!$E$494))=0,"",INDEX('Inspections'!$R$4:$R$503,_calc!$E$494)))=0,"",IF(LEN(INDEX('Inspections'!$R$4:$R$503,_calc!$E$494))=0,"",INDEX('Inspections'!$R$4:$R$503,_calc!$E$494)))))</f>
        <v/>
      </c>
      <c r="G492" s="55">
        <f>IF(_calc!$E$494="","",IF(LEN(INDEX('Inspections'!$Q$4:$Q$503,_calc!$E$494))=0,"",INDEX('Inspections'!$Q$4:$Q$503,_calc!$E$494)))</f>
        <v/>
      </c>
      <c r="K492" s="55">
        <f>IF(_calc!$E$494="","",IF(LEN(INDEX('Inspections'!$P$4:$P$503,_calc!$E$494))=0,"",INDEX('Inspections'!$P$4:$P$503,_calc!$E$494)))</f>
        <v/>
      </c>
    </row>
    <row r="493">
      <c r="A493" s="55">
        <f>IF(_calc!$E$495="","",IF(LEN(INDEX('Inspections'!$C$4:$C$503,_calc!$E$495))=0,"",INDEX('Inspections'!$C$4:$C$503,_calc!$E$495))&amp;" – "&amp;IF(LEN(INDEX('Inspections'!$A$4:$A$503,_calc!$E$495))=0,"",INDEX('Inspections'!$A$4:$A$503,_calc!$E$495)))</f>
        <v/>
      </c>
      <c r="B493" s="55">
        <f>IF(_calc!$E$495="","",IF(ISNUMBER(INDEX('Inspections'!$H$4:$H$503,_calc!$E$495)),TEXT(INDEX('Inspections'!$H$4:$H$503,_calc!$E$495),"yyyy-mm-dd"),""))</f>
        <v/>
      </c>
      <c r="C493" s="55">
        <f>IF(_calc!$E$495="","","Inspection")</f>
        <v/>
      </c>
      <c r="D493" s="55">
        <f>IF(_calc!$E$495="","",IF(ISNUMBER(INDEX('Inspections'!$G$4:$G$503,_calc!$E$495)),TEXT(INDEX('Inspections'!$G$4:$G$503,_calc!$E$495),"yyyy-mm-dd"),""))</f>
        <v/>
      </c>
      <c r="F493" s="55">
        <f>IF(_calc!$E$495="","",TRIM(IF(LEN(IF(LEN(INDEX('Inspections'!$B$4:$B$503,_calc!$E$495))=0,"",INDEX('Inspections'!$B$4:$B$503,_calc!$E$495)))=0,"","System: "&amp;IF(LEN(INDEX('Inspections'!$B$4:$B$503,_calc!$E$495))=0,"",INDEX('Inspections'!$B$4:$B$503,_calc!$E$495))&amp;". ")&amp;IF(LEN(IF(LEN(INDEX('Inspections'!$D$4:$D$503,_calc!$E$495))=0,"",INDEX('Inspections'!$D$4:$D$503,_calc!$E$495)))=0,"","Every: "&amp;IF(LEN(INDEX('Inspections'!$D$4:$D$503,_calc!$E$495))=0,"",INDEX('Inspections'!$D$4:$D$503,_calc!$E$495))&amp;". ")&amp;IF(LEN(IF(LEN(INDEX('Inspections'!$E$4:$E$503,_calc!$E$495))=0,"",INDEX('Inspections'!$E$4:$E$503,_calc!$E$495)))=0,"","Unit: "&amp;IF(LEN(INDEX('Inspections'!$E$4:$E$503,_calc!$E$495))=0,"",INDEX('Inspections'!$E$4:$E$503,_calc!$E$495))&amp;". ")&amp;IF(LEN(IF(LEN(INDEX('Inspections'!$F$4:$F$503,_calc!$E$495))=0,"",INDEX('Inspections'!$F$4:$F$503,_calc!$E$495)))=0,"","Done by: "&amp;IF(LEN(INDEX('Inspections'!$F$4:$F$503,_calc!$E$495))=0,"",INDEX('Inspections'!$F$4:$F$503,_calc!$E$495))&amp;". ")&amp;IF(LEN(IF(LEN(INDEX('Inspections'!$M$4:$M$503,_calc!$E$495))=0,"",INDEX('Inspections'!$M$4:$M$503,_calc!$E$495)))=0,"","Source: "&amp;IF(LEN(INDEX('Inspections'!$M$4:$M$503,_calc!$E$495))=0,"",INDEX('Inspections'!$M$4:$M$503,_calc!$E$495))&amp;". ")&amp;IF(LEN(IF(LEN(INDEX('Inspections'!$N$4:$N$503,_calc!$E$495))=0,"",INDEX('Inspections'!$N$4:$N$503,_calc!$E$495)))=0,"","Owner: "&amp;IF(LEN(INDEX('Inspections'!$N$4:$N$503,_calc!$E$495))=0,"",INDEX('Inspections'!$N$4:$N$503,_calc!$E$495))&amp;". ")&amp;IF(LEN(IF(LEN(INDEX('Inspections'!$O$4:$O$503,_calc!$E$495))=0,"",INDEX('Inspections'!$O$4:$O$503,_calc!$E$495)))=0,"","Backup: "&amp;IF(LEN(INDEX('Inspections'!$O$4:$O$503,_calc!$E$495))=0,"",INDEX('Inspections'!$O$4:$O$503,_calc!$E$495))&amp;". ")&amp;IF(LEN(IF(LEN(INDEX('Inspections'!$R$4:$R$503,_calc!$E$495))=0,"",INDEX('Inspections'!$R$4:$R$503,_calc!$E$495)))=0,"",IF(LEN(INDEX('Inspections'!$R$4:$R$503,_calc!$E$495))=0,"",INDEX('Inspections'!$R$4:$R$503,_calc!$E$495)))))</f>
        <v/>
      </c>
      <c r="G493" s="55">
        <f>IF(_calc!$E$495="","",IF(LEN(INDEX('Inspections'!$Q$4:$Q$503,_calc!$E$495))=0,"",INDEX('Inspections'!$Q$4:$Q$503,_calc!$E$495)))</f>
        <v/>
      </c>
      <c r="K493" s="55">
        <f>IF(_calc!$E$495="","",IF(LEN(INDEX('Inspections'!$P$4:$P$503,_calc!$E$495))=0,"",INDEX('Inspections'!$P$4:$P$503,_calc!$E$495)))</f>
        <v/>
      </c>
    </row>
    <row r="494">
      <c r="A494" s="55">
        <f>IF(_calc!$E$496="","",IF(LEN(INDEX('Inspections'!$C$4:$C$503,_calc!$E$496))=0,"",INDEX('Inspections'!$C$4:$C$503,_calc!$E$496))&amp;" – "&amp;IF(LEN(INDEX('Inspections'!$A$4:$A$503,_calc!$E$496))=0,"",INDEX('Inspections'!$A$4:$A$503,_calc!$E$496)))</f>
        <v/>
      </c>
      <c r="B494" s="55">
        <f>IF(_calc!$E$496="","",IF(ISNUMBER(INDEX('Inspections'!$H$4:$H$503,_calc!$E$496)),TEXT(INDEX('Inspections'!$H$4:$H$503,_calc!$E$496),"yyyy-mm-dd"),""))</f>
        <v/>
      </c>
      <c r="C494" s="55">
        <f>IF(_calc!$E$496="","","Inspection")</f>
        <v/>
      </c>
      <c r="D494" s="55">
        <f>IF(_calc!$E$496="","",IF(ISNUMBER(INDEX('Inspections'!$G$4:$G$503,_calc!$E$496)),TEXT(INDEX('Inspections'!$G$4:$G$503,_calc!$E$496),"yyyy-mm-dd"),""))</f>
        <v/>
      </c>
      <c r="F494" s="55">
        <f>IF(_calc!$E$496="","",TRIM(IF(LEN(IF(LEN(INDEX('Inspections'!$B$4:$B$503,_calc!$E$496))=0,"",INDEX('Inspections'!$B$4:$B$503,_calc!$E$496)))=0,"","System: "&amp;IF(LEN(INDEX('Inspections'!$B$4:$B$503,_calc!$E$496))=0,"",INDEX('Inspections'!$B$4:$B$503,_calc!$E$496))&amp;". ")&amp;IF(LEN(IF(LEN(INDEX('Inspections'!$D$4:$D$503,_calc!$E$496))=0,"",INDEX('Inspections'!$D$4:$D$503,_calc!$E$496)))=0,"","Every: "&amp;IF(LEN(INDEX('Inspections'!$D$4:$D$503,_calc!$E$496))=0,"",INDEX('Inspections'!$D$4:$D$503,_calc!$E$496))&amp;". ")&amp;IF(LEN(IF(LEN(INDEX('Inspections'!$E$4:$E$503,_calc!$E$496))=0,"",INDEX('Inspections'!$E$4:$E$503,_calc!$E$496)))=0,"","Unit: "&amp;IF(LEN(INDEX('Inspections'!$E$4:$E$503,_calc!$E$496))=0,"",INDEX('Inspections'!$E$4:$E$503,_calc!$E$496))&amp;". ")&amp;IF(LEN(IF(LEN(INDEX('Inspections'!$F$4:$F$503,_calc!$E$496))=0,"",INDEX('Inspections'!$F$4:$F$503,_calc!$E$496)))=0,"","Done by: "&amp;IF(LEN(INDEX('Inspections'!$F$4:$F$503,_calc!$E$496))=0,"",INDEX('Inspections'!$F$4:$F$503,_calc!$E$496))&amp;". ")&amp;IF(LEN(IF(LEN(INDEX('Inspections'!$M$4:$M$503,_calc!$E$496))=0,"",INDEX('Inspections'!$M$4:$M$503,_calc!$E$496)))=0,"","Source: "&amp;IF(LEN(INDEX('Inspections'!$M$4:$M$503,_calc!$E$496))=0,"",INDEX('Inspections'!$M$4:$M$503,_calc!$E$496))&amp;". ")&amp;IF(LEN(IF(LEN(INDEX('Inspections'!$N$4:$N$503,_calc!$E$496))=0,"",INDEX('Inspections'!$N$4:$N$503,_calc!$E$496)))=0,"","Owner: "&amp;IF(LEN(INDEX('Inspections'!$N$4:$N$503,_calc!$E$496))=0,"",INDEX('Inspections'!$N$4:$N$503,_calc!$E$496))&amp;". ")&amp;IF(LEN(IF(LEN(INDEX('Inspections'!$O$4:$O$503,_calc!$E$496))=0,"",INDEX('Inspections'!$O$4:$O$503,_calc!$E$496)))=0,"","Backup: "&amp;IF(LEN(INDEX('Inspections'!$O$4:$O$503,_calc!$E$496))=0,"",INDEX('Inspections'!$O$4:$O$503,_calc!$E$496))&amp;". ")&amp;IF(LEN(IF(LEN(INDEX('Inspections'!$R$4:$R$503,_calc!$E$496))=0,"",INDEX('Inspections'!$R$4:$R$503,_calc!$E$496)))=0,"",IF(LEN(INDEX('Inspections'!$R$4:$R$503,_calc!$E$496))=0,"",INDEX('Inspections'!$R$4:$R$503,_calc!$E$496)))))</f>
        <v/>
      </c>
      <c r="G494" s="55">
        <f>IF(_calc!$E$496="","",IF(LEN(INDEX('Inspections'!$Q$4:$Q$503,_calc!$E$496))=0,"",INDEX('Inspections'!$Q$4:$Q$503,_calc!$E$496)))</f>
        <v/>
      </c>
      <c r="K494" s="55">
        <f>IF(_calc!$E$496="","",IF(LEN(INDEX('Inspections'!$P$4:$P$503,_calc!$E$496))=0,"",INDEX('Inspections'!$P$4:$P$503,_calc!$E$496)))</f>
        <v/>
      </c>
    </row>
    <row r="495">
      <c r="A495" s="55">
        <f>IF(_calc!$E$497="","",IF(LEN(INDEX('Inspections'!$C$4:$C$503,_calc!$E$497))=0,"",INDEX('Inspections'!$C$4:$C$503,_calc!$E$497))&amp;" – "&amp;IF(LEN(INDEX('Inspections'!$A$4:$A$503,_calc!$E$497))=0,"",INDEX('Inspections'!$A$4:$A$503,_calc!$E$497)))</f>
        <v/>
      </c>
      <c r="B495" s="55">
        <f>IF(_calc!$E$497="","",IF(ISNUMBER(INDEX('Inspections'!$H$4:$H$503,_calc!$E$497)),TEXT(INDEX('Inspections'!$H$4:$H$503,_calc!$E$497),"yyyy-mm-dd"),""))</f>
        <v/>
      </c>
      <c r="C495" s="55">
        <f>IF(_calc!$E$497="","","Inspection")</f>
        <v/>
      </c>
      <c r="D495" s="55">
        <f>IF(_calc!$E$497="","",IF(ISNUMBER(INDEX('Inspections'!$G$4:$G$503,_calc!$E$497)),TEXT(INDEX('Inspections'!$G$4:$G$503,_calc!$E$497),"yyyy-mm-dd"),""))</f>
        <v/>
      </c>
      <c r="F495" s="55">
        <f>IF(_calc!$E$497="","",TRIM(IF(LEN(IF(LEN(INDEX('Inspections'!$B$4:$B$503,_calc!$E$497))=0,"",INDEX('Inspections'!$B$4:$B$503,_calc!$E$497)))=0,"","System: "&amp;IF(LEN(INDEX('Inspections'!$B$4:$B$503,_calc!$E$497))=0,"",INDEX('Inspections'!$B$4:$B$503,_calc!$E$497))&amp;". ")&amp;IF(LEN(IF(LEN(INDEX('Inspections'!$D$4:$D$503,_calc!$E$497))=0,"",INDEX('Inspections'!$D$4:$D$503,_calc!$E$497)))=0,"","Every: "&amp;IF(LEN(INDEX('Inspections'!$D$4:$D$503,_calc!$E$497))=0,"",INDEX('Inspections'!$D$4:$D$503,_calc!$E$497))&amp;". ")&amp;IF(LEN(IF(LEN(INDEX('Inspections'!$E$4:$E$503,_calc!$E$497))=0,"",INDEX('Inspections'!$E$4:$E$503,_calc!$E$497)))=0,"","Unit: "&amp;IF(LEN(INDEX('Inspections'!$E$4:$E$503,_calc!$E$497))=0,"",INDEX('Inspections'!$E$4:$E$503,_calc!$E$497))&amp;". ")&amp;IF(LEN(IF(LEN(INDEX('Inspections'!$F$4:$F$503,_calc!$E$497))=0,"",INDEX('Inspections'!$F$4:$F$503,_calc!$E$497)))=0,"","Done by: "&amp;IF(LEN(INDEX('Inspections'!$F$4:$F$503,_calc!$E$497))=0,"",INDEX('Inspections'!$F$4:$F$503,_calc!$E$497))&amp;". ")&amp;IF(LEN(IF(LEN(INDEX('Inspections'!$M$4:$M$503,_calc!$E$497))=0,"",INDEX('Inspections'!$M$4:$M$503,_calc!$E$497)))=0,"","Source: "&amp;IF(LEN(INDEX('Inspections'!$M$4:$M$503,_calc!$E$497))=0,"",INDEX('Inspections'!$M$4:$M$503,_calc!$E$497))&amp;". ")&amp;IF(LEN(IF(LEN(INDEX('Inspections'!$N$4:$N$503,_calc!$E$497))=0,"",INDEX('Inspections'!$N$4:$N$503,_calc!$E$497)))=0,"","Owner: "&amp;IF(LEN(INDEX('Inspections'!$N$4:$N$503,_calc!$E$497))=0,"",INDEX('Inspections'!$N$4:$N$503,_calc!$E$497))&amp;". ")&amp;IF(LEN(IF(LEN(INDEX('Inspections'!$O$4:$O$503,_calc!$E$497))=0,"",INDEX('Inspections'!$O$4:$O$503,_calc!$E$497)))=0,"","Backup: "&amp;IF(LEN(INDEX('Inspections'!$O$4:$O$503,_calc!$E$497))=0,"",INDEX('Inspections'!$O$4:$O$503,_calc!$E$497))&amp;". ")&amp;IF(LEN(IF(LEN(INDEX('Inspections'!$R$4:$R$503,_calc!$E$497))=0,"",INDEX('Inspections'!$R$4:$R$503,_calc!$E$497)))=0,"",IF(LEN(INDEX('Inspections'!$R$4:$R$503,_calc!$E$497))=0,"",INDEX('Inspections'!$R$4:$R$503,_calc!$E$497)))))</f>
        <v/>
      </c>
      <c r="G495" s="55">
        <f>IF(_calc!$E$497="","",IF(LEN(INDEX('Inspections'!$Q$4:$Q$503,_calc!$E$497))=0,"",INDEX('Inspections'!$Q$4:$Q$503,_calc!$E$497)))</f>
        <v/>
      </c>
      <c r="K495" s="55">
        <f>IF(_calc!$E$497="","",IF(LEN(INDEX('Inspections'!$P$4:$P$503,_calc!$E$497))=0,"",INDEX('Inspections'!$P$4:$P$503,_calc!$E$497)))</f>
        <v/>
      </c>
    </row>
    <row r="496">
      <c r="A496" s="55">
        <f>IF(_calc!$E$498="","",IF(LEN(INDEX('Inspections'!$C$4:$C$503,_calc!$E$498))=0,"",INDEX('Inspections'!$C$4:$C$503,_calc!$E$498))&amp;" – "&amp;IF(LEN(INDEX('Inspections'!$A$4:$A$503,_calc!$E$498))=0,"",INDEX('Inspections'!$A$4:$A$503,_calc!$E$498)))</f>
        <v/>
      </c>
      <c r="B496" s="55">
        <f>IF(_calc!$E$498="","",IF(ISNUMBER(INDEX('Inspections'!$H$4:$H$503,_calc!$E$498)),TEXT(INDEX('Inspections'!$H$4:$H$503,_calc!$E$498),"yyyy-mm-dd"),""))</f>
        <v/>
      </c>
      <c r="C496" s="55">
        <f>IF(_calc!$E$498="","","Inspection")</f>
        <v/>
      </c>
      <c r="D496" s="55">
        <f>IF(_calc!$E$498="","",IF(ISNUMBER(INDEX('Inspections'!$G$4:$G$503,_calc!$E$498)),TEXT(INDEX('Inspections'!$G$4:$G$503,_calc!$E$498),"yyyy-mm-dd"),""))</f>
        <v/>
      </c>
      <c r="F496" s="55">
        <f>IF(_calc!$E$498="","",TRIM(IF(LEN(IF(LEN(INDEX('Inspections'!$B$4:$B$503,_calc!$E$498))=0,"",INDEX('Inspections'!$B$4:$B$503,_calc!$E$498)))=0,"","System: "&amp;IF(LEN(INDEX('Inspections'!$B$4:$B$503,_calc!$E$498))=0,"",INDEX('Inspections'!$B$4:$B$503,_calc!$E$498))&amp;". ")&amp;IF(LEN(IF(LEN(INDEX('Inspections'!$D$4:$D$503,_calc!$E$498))=0,"",INDEX('Inspections'!$D$4:$D$503,_calc!$E$498)))=0,"","Every: "&amp;IF(LEN(INDEX('Inspections'!$D$4:$D$503,_calc!$E$498))=0,"",INDEX('Inspections'!$D$4:$D$503,_calc!$E$498))&amp;". ")&amp;IF(LEN(IF(LEN(INDEX('Inspections'!$E$4:$E$503,_calc!$E$498))=0,"",INDEX('Inspections'!$E$4:$E$503,_calc!$E$498)))=0,"","Unit: "&amp;IF(LEN(INDEX('Inspections'!$E$4:$E$503,_calc!$E$498))=0,"",INDEX('Inspections'!$E$4:$E$503,_calc!$E$498))&amp;". ")&amp;IF(LEN(IF(LEN(INDEX('Inspections'!$F$4:$F$503,_calc!$E$498))=0,"",INDEX('Inspections'!$F$4:$F$503,_calc!$E$498)))=0,"","Done by: "&amp;IF(LEN(INDEX('Inspections'!$F$4:$F$503,_calc!$E$498))=0,"",INDEX('Inspections'!$F$4:$F$503,_calc!$E$498))&amp;". ")&amp;IF(LEN(IF(LEN(INDEX('Inspections'!$M$4:$M$503,_calc!$E$498))=0,"",INDEX('Inspections'!$M$4:$M$503,_calc!$E$498)))=0,"","Source: "&amp;IF(LEN(INDEX('Inspections'!$M$4:$M$503,_calc!$E$498))=0,"",INDEX('Inspections'!$M$4:$M$503,_calc!$E$498))&amp;". ")&amp;IF(LEN(IF(LEN(INDEX('Inspections'!$N$4:$N$503,_calc!$E$498))=0,"",INDEX('Inspections'!$N$4:$N$503,_calc!$E$498)))=0,"","Owner: "&amp;IF(LEN(INDEX('Inspections'!$N$4:$N$503,_calc!$E$498))=0,"",INDEX('Inspections'!$N$4:$N$503,_calc!$E$498))&amp;". ")&amp;IF(LEN(IF(LEN(INDEX('Inspections'!$O$4:$O$503,_calc!$E$498))=0,"",INDEX('Inspections'!$O$4:$O$503,_calc!$E$498)))=0,"","Backup: "&amp;IF(LEN(INDEX('Inspections'!$O$4:$O$503,_calc!$E$498))=0,"",INDEX('Inspections'!$O$4:$O$503,_calc!$E$498))&amp;". ")&amp;IF(LEN(IF(LEN(INDEX('Inspections'!$R$4:$R$503,_calc!$E$498))=0,"",INDEX('Inspections'!$R$4:$R$503,_calc!$E$498)))=0,"",IF(LEN(INDEX('Inspections'!$R$4:$R$503,_calc!$E$498))=0,"",INDEX('Inspections'!$R$4:$R$503,_calc!$E$498)))))</f>
        <v/>
      </c>
      <c r="G496" s="55">
        <f>IF(_calc!$E$498="","",IF(LEN(INDEX('Inspections'!$Q$4:$Q$503,_calc!$E$498))=0,"",INDEX('Inspections'!$Q$4:$Q$503,_calc!$E$498)))</f>
        <v/>
      </c>
      <c r="K496" s="55">
        <f>IF(_calc!$E$498="","",IF(LEN(INDEX('Inspections'!$P$4:$P$503,_calc!$E$498))=0,"",INDEX('Inspections'!$P$4:$P$503,_calc!$E$498)))</f>
        <v/>
      </c>
    </row>
    <row r="497">
      <c r="A497" s="55">
        <f>IF(_calc!$E$499="","",IF(LEN(INDEX('Inspections'!$C$4:$C$503,_calc!$E$499))=0,"",INDEX('Inspections'!$C$4:$C$503,_calc!$E$499))&amp;" – "&amp;IF(LEN(INDEX('Inspections'!$A$4:$A$503,_calc!$E$499))=0,"",INDEX('Inspections'!$A$4:$A$503,_calc!$E$499)))</f>
        <v/>
      </c>
      <c r="B497" s="55">
        <f>IF(_calc!$E$499="","",IF(ISNUMBER(INDEX('Inspections'!$H$4:$H$503,_calc!$E$499)),TEXT(INDEX('Inspections'!$H$4:$H$503,_calc!$E$499),"yyyy-mm-dd"),""))</f>
        <v/>
      </c>
      <c r="C497" s="55">
        <f>IF(_calc!$E$499="","","Inspection")</f>
        <v/>
      </c>
      <c r="D497" s="55">
        <f>IF(_calc!$E$499="","",IF(ISNUMBER(INDEX('Inspections'!$G$4:$G$503,_calc!$E$499)),TEXT(INDEX('Inspections'!$G$4:$G$503,_calc!$E$499),"yyyy-mm-dd"),""))</f>
        <v/>
      </c>
      <c r="F497" s="55">
        <f>IF(_calc!$E$499="","",TRIM(IF(LEN(IF(LEN(INDEX('Inspections'!$B$4:$B$503,_calc!$E$499))=0,"",INDEX('Inspections'!$B$4:$B$503,_calc!$E$499)))=0,"","System: "&amp;IF(LEN(INDEX('Inspections'!$B$4:$B$503,_calc!$E$499))=0,"",INDEX('Inspections'!$B$4:$B$503,_calc!$E$499))&amp;". ")&amp;IF(LEN(IF(LEN(INDEX('Inspections'!$D$4:$D$503,_calc!$E$499))=0,"",INDEX('Inspections'!$D$4:$D$503,_calc!$E$499)))=0,"","Every: "&amp;IF(LEN(INDEX('Inspections'!$D$4:$D$503,_calc!$E$499))=0,"",INDEX('Inspections'!$D$4:$D$503,_calc!$E$499))&amp;". ")&amp;IF(LEN(IF(LEN(INDEX('Inspections'!$E$4:$E$503,_calc!$E$499))=0,"",INDEX('Inspections'!$E$4:$E$503,_calc!$E$499)))=0,"","Unit: "&amp;IF(LEN(INDEX('Inspections'!$E$4:$E$503,_calc!$E$499))=0,"",INDEX('Inspections'!$E$4:$E$503,_calc!$E$499))&amp;". ")&amp;IF(LEN(IF(LEN(INDEX('Inspections'!$F$4:$F$503,_calc!$E$499))=0,"",INDEX('Inspections'!$F$4:$F$503,_calc!$E$499)))=0,"","Done by: "&amp;IF(LEN(INDEX('Inspections'!$F$4:$F$503,_calc!$E$499))=0,"",INDEX('Inspections'!$F$4:$F$503,_calc!$E$499))&amp;". ")&amp;IF(LEN(IF(LEN(INDEX('Inspections'!$M$4:$M$503,_calc!$E$499))=0,"",INDEX('Inspections'!$M$4:$M$503,_calc!$E$499)))=0,"","Source: "&amp;IF(LEN(INDEX('Inspections'!$M$4:$M$503,_calc!$E$499))=0,"",INDEX('Inspections'!$M$4:$M$503,_calc!$E$499))&amp;". ")&amp;IF(LEN(IF(LEN(INDEX('Inspections'!$N$4:$N$503,_calc!$E$499))=0,"",INDEX('Inspections'!$N$4:$N$503,_calc!$E$499)))=0,"","Owner: "&amp;IF(LEN(INDEX('Inspections'!$N$4:$N$503,_calc!$E$499))=0,"",INDEX('Inspections'!$N$4:$N$503,_calc!$E$499))&amp;". ")&amp;IF(LEN(IF(LEN(INDEX('Inspections'!$O$4:$O$503,_calc!$E$499))=0,"",INDEX('Inspections'!$O$4:$O$503,_calc!$E$499)))=0,"","Backup: "&amp;IF(LEN(INDEX('Inspections'!$O$4:$O$503,_calc!$E$499))=0,"",INDEX('Inspections'!$O$4:$O$503,_calc!$E$499))&amp;". ")&amp;IF(LEN(IF(LEN(INDEX('Inspections'!$R$4:$R$503,_calc!$E$499))=0,"",INDEX('Inspections'!$R$4:$R$503,_calc!$E$499)))=0,"",IF(LEN(INDEX('Inspections'!$R$4:$R$503,_calc!$E$499))=0,"",INDEX('Inspections'!$R$4:$R$503,_calc!$E$499)))))</f>
        <v/>
      </c>
      <c r="G497" s="55">
        <f>IF(_calc!$E$499="","",IF(LEN(INDEX('Inspections'!$Q$4:$Q$503,_calc!$E$499))=0,"",INDEX('Inspections'!$Q$4:$Q$503,_calc!$E$499)))</f>
        <v/>
      </c>
      <c r="K497" s="55">
        <f>IF(_calc!$E$499="","",IF(LEN(INDEX('Inspections'!$P$4:$P$503,_calc!$E$499))=0,"",INDEX('Inspections'!$P$4:$P$503,_calc!$E$499)))</f>
        <v/>
      </c>
    </row>
    <row r="498">
      <c r="A498" s="55">
        <f>IF(_calc!$E$500="","",IF(LEN(INDEX('Inspections'!$C$4:$C$503,_calc!$E$500))=0,"",INDEX('Inspections'!$C$4:$C$503,_calc!$E$500))&amp;" – "&amp;IF(LEN(INDEX('Inspections'!$A$4:$A$503,_calc!$E$500))=0,"",INDEX('Inspections'!$A$4:$A$503,_calc!$E$500)))</f>
        <v/>
      </c>
      <c r="B498" s="55">
        <f>IF(_calc!$E$500="","",IF(ISNUMBER(INDEX('Inspections'!$H$4:$H$503,_calc!$E$500)),TEXT(INDEX('Inspections'!$H$4:$H$503,_calc!$E$500),"yyyy-mm-dd"),""))</f>
        <v/>
      </c>
      <c r="C498" s="55">
        <f>IF(_calc!$E$500="","","Inspection")</f>
        <v/>
      </c>
      <c r="D498" s="55">
        <f>IF(_calc!$E$500="","",IF(ISNUMBER(INDEX('Inspections'!$G$4:$G$503,_calc!$E$500)),TEXT(INDEX('Inspections'!$G$4:$G$503,_calc!$E$500),"yyyy-mm-dd"),""))</f>
        <v/>
      </c>
      <c r="F498" s="55">
        <f>IF(_calc!$E$500="","",TRIM(IF(LEN(IF(LEN(INDEX('Inspections'!$B$4:$B$503,_calc!$E$500))=0,"",INDEX('Inspections'!$B$4:$B$503,_calc!$E$500)))=0,"","System: "&amp;IF(LEN(INDEX('Inspections'!$B$4:$B$503,_calc!$E$500))=0,"",INDEX('Inspections'!$B$4:$B$503,_calc!$E$500))&amp;". ")&amp;IF(LEN(IF(LEN(INDEX('Inspections'!$D$4:$D$503,_calc!$E$500))=0,"",INDEX('Inspections'!$D$4:$D$503,_calc!$E$500)))=0,"","Every: "&amp;IF(LEN(INDEX('Inspections'!$D$4:$D$503,_calc!$E$500))=0,"",INDEX('Inspections'!$D$4:$D$503,_calc!$E$500))&amp;". ")&amp;IF(LEN(IF(LEN(INDEX('Inspections'!$E$4:$E$503,_calc!$E$500))=0,"",INDEX('Inspections'!$E$4:$E$503,_calc!$E$500)))=0,"","Unit: "&amp;IF(LEN(INDEX('Inspections'!$E$4:$E$503,_calc!$E$500))=0,"",INDEX('Inspections'!$E$4:$E$503,_calc!$E$500))&amp;". ")&amp;IF(LEN(IF(LEN(INDEX('Inspections'!$F$4:$F$503,_calc!$E$500))=0,"",INDEX('Inspections'!$F$4:$F$503,_calc!$E$500)))=0,"","Done by: "&amp;IF(LEN(INDEX('Inspections'!$F$4:$F$503,_calc!$E$500))=0,"",INDEX('Inspections'!$F$4:$F$503,_calc!$E$500))&amp;". ")&amp;IF(LEN(IF(LEN(INDEX('Inspections'!$M$4:$M$503,_calc!$E$500))=0,"",INDEX('Inspections'!$M$4:$M$503,_calc!$E$500)))=0,"","Source: "&amp;IF(LEN(INDEX('Inspections'!$M$4:$M$503,_calc!$E$500))=0,"",INDEX('Inspections'!$M$4:$M$503,_calc!$E$500))&amp;". ")&amp;IF(LEN(IF(LEN(INDEX('Inspections'!$N$4:$N$503,_calc!$E$500))=0,"",INDEX('Inspections'!$N$4:$N$503,_calc!$E$500)))=0,"","Owner: "&amp;IF(LEN(INDEX('Inspections'!$N$4:$N$503,_calc!$E$500))=0,"",INDEX('Inspections'!$N$4:$N$503,_calc!$E$500))&amp;". ")&amp;IF(LEN(IF(LEN(INDEX('Inspections'!$O$4:$O$503,_calc!$E$500))=0,"",INDEX('Inspections'!$O$4:$O$503,_calc!$E$500)))=0,"","Backup: "&amp;IF(LEN(INDEX('Inspections'!$O$4:$O$503,_calc!$E$500))=0,"",INDEX('Inspections'!$O$4:$O$503,_calc!$E$500))&amp;". ")&amp;IF(LEN(IF(LEN(INDEX('Inspections'!$R$4:$R$503,_calc!$E$500))=0,"",INDEX('Inspections'!$R$4:$R$503,_calc!$E$500)))=0,"",IF(LEN(INDEX('Inspections'!$R$4:$R$503,_calc!$E$500))=0,"",INDEX('Inspections'!$R$4:$R$503,_calc!$E$500)))))</f>
        <v/>
      </c>
      <c r="G498" s="55">
        <f>IF(_calc!$E$500="","",IF(LEN(INDEX('Inspections'!$Q$4:$Q$503,_calc!$E$500))=0,"",INDEX('Inspections'!$Q$4:$Q$503,_calc!$E$500)))</f>
        <v/>
      </c>
      <c r="K498" s="55">
        <f>IF(_calc!$E$500="","",IF(LEN(INDEX('Inspections'!$P$4:$P$503,_calc!$E$500))=0,"",INDEX('Inspections'!$P$4:$P$503,_calc!$E$500)))</f>
        <v/>
      </c>
    </row>
    <row r="499">
      <c r="A499" s="55">
        <f>IF(_calc!$E$501="","",IF(LEN(INDEX('Inspections'!$C$4:$C$503,_calc!$E$501))=0,"",INDEX('Inspections'!$C$4:$C$503,_calc!$E$501))&amp;" – "&amp;IF(LEN(INDEX('Inspections'!$A$4:$A$503,_calc!$E$501))=0,"",INDEX('Inspections'!$A$4:$A$503,_calc!$E$501)))</f>
        <v/>
      </c>
      <c r="B499" s="55">
        <f>IF(_calc!$E$501="","",IF(ISNUMBER(INDEX('Inspections'!$H$4:$H$503,_calc!$E$501)),TEXT(INDEX('Inspections'!$H$4:$H$503,_calc!$E$501),"yyyy-mm-dd"),""))</f>
        <v/>
      </c>
      <c r="C499" s="55">
        <f>IF(_calc!$E$501="","","Inspection")</f>
        <v/>
      </c>
      <c r="D499" s="55">
        <f>IF(_calc!$E$501="","",IF(ISNUMBER(INDEX('Inspections'!$G$4:$G$503,_calc!$E$501)),TEXT(INDEX('Inspections'!$G$4:$G$503,_calc!$E$501),"yyyy-mm-dd"),""))</f>
        <v/>
      </c>
      <c r="F499" s="55">
        <f>IF(_calc!$E$501="","",TRIM(IF(LEN(IF(LEN(INDEX('Inspections'!$B$4:$B$503,_calc!$E$501))=0,"",INDEX('Inspections'!$B$4:$B$503,_calc!$E$501)))=0,"","System: "&amp;IF(LEN(INDEX('Inspections'!$B$4:$B$503,_calc!$E$501))=0,"",INDEX('Inspections'!$B$4:$B$503,_calc!$E$501))&amp;". ")&amp;IF(LEN(IF(LEN(INDEX('Inspections'!$D$4:$D$503,_calc!$E$501))=0,"",INDEX('Inspections'!$D$4:$D$503,_calc!$E$501)))=0,"","Every: "&amp;IF(LEN(INDEX('Inspections'!$D$4:$D$503,_calc!$E$501))=0,"",INDEX('Inspections'!$D$4:$D$503,_calc!$E$501))&amp;". ")&amp;IF(LEN(IF(LEN(INDEX('Inspections'!$E$4:$E$503,_calc!$E$501))=0,"",INDEX('Inspections'!$E$4:$E$503,_calc!$E$501)))=0,"","Unit: "&amp;IF(LEN(INDEX('Inspections'!$E$4:$E$503,_calc!$E$501))=0,"",INDEX('Inspections'!$E$4:$E$503,_calc!$E$501))&amp;". ")&amp;IF(LEN(IF(LEN(INDEX('Inspections'!$F$4:$F$503,_calc!$E$501))=0,"",INDEX('Inspections'!$F$4:$F$503,_calc!$E$501)))=0,"","Done by: "&amp;IF(LEN(INDEX('Inspections'!$F$4:$F$503,_calc!$E$501))=0,"",INDEX('Inspections'!$F$4:$F$503,_calc!$E$501))&amp;". ")&amp;IF(LEN(IF(LEN(INDEX('Inspections'!$M$4:$M$503,_calc!$E$501))=0,"",INDEX('Inspections'!$M$4:$M$503,_calc!$E$501)))=0,"","Source: "&amp;IF(LEN(INDEX('Inspections'!$M$4:$M$503,_calc!$E$501))=0,"",INDEX('Inspections'!$M$4:$M$503,_calc!$E$501))&amp;". ")&amp;IF(LEN(IF(LEN(INDEX('Inspections'!$N$4:$N$503,_calc!$E$501))=0,"",INDEX('Inspections'!$N$4:$N$503,_calc!$E$501)))=0,"","Owner: "&amp;IF(LEN(INDEX('Inspections'!$N$4:$N$503,_calc!$E$501))=0,"",INDEX('Inspections'!$N$4:$N$503,_calc!$E$501))&amp;". ")&amp;IF(LEN(IF(LEN(INDEX('Inspections'!$O$4:$O$503,_calc!$E$501))=0,"",INDEX('Inspections'!$O$4:$O$503,_calc!$E$501)))=0,"","Backup: "&amp;IF(LEN(INDEX('Inspections'!$O$4:$O$503,_calc!$E$501))=0,"",INDEX('Inspections'!$O$4:$O$503,_calc!$E$501))&amp;". ")&amp;IF(LEN(IF(LEN(INDEX('Inspections'!$R$4:$R$503,_calc!$E$501))=0,"",INDEX('Inspections'!$R$4:$R$503,_calc!$E$501)))=0,"",IF(LEN(INDEX('Inspections'!$R$4:$R$503,_calc!$E$501))=0,"",INDEX('Inspections'!$R$4:$R$503,_calc!$E$501)))))</f>
        <v/>
      </c>
      <c r="G499" s="55">
        <f>IF(_calc!$E$501="","",IF(LEN(INDEX('Inspections'!$Q$4:$Q$503,_calc!$E$501))=0,"",INDEX('Inspections'!$Q$4:$Q$503,_calc!$E$501)))</f>
        <v/>
      </c>
      <c r="K499" s="55">
        <f>IF(_calc!$E$501="","",IF(LEN(INDEX('Inspections'!$P$4:$P$503,_calc!$E$501))=0,"",INDEX('Inspections'!$P$4:$P$503,_calc!$E$501)))</f>
        <v/>
      </c>
    </row>
    <row r="500">
      <c r="A500" s="55">
        <f>IF(_calc!$E$502="","",IF(LEN(INDEX('Inspections'!$C$4:$C$503,_calc!$E$502))=0,"",INDEX('Inspections'!$C$4:$C$503,_calc!$E$502))&amp;" – "&amp;IF(LEN(INDEX('Inspections'!$A$4:$A$503,_calc!$E$502))=0,"",INDEX('Inspections'!$A$4:$A$503,_calc!$E$502)))</f>
        <v/>
      </c>
      <c r="B500" s="55">
        <f>IF(_calc!$E$502="","",IF(ISNUMBER(INDEX('Inspections'!$H$4:$H$503,_calc!$E$502)),TEXT(INDEX('Inspections'!$H$4:$H$503,_calc!$E$502),"yyyy-mm-dd"),""))</f>
        <v/>
      </c>
      <c r="C500" s="55">
        <f>IF(_calc!$E$502="","","Inspection")</f>
        <v/>
      </c>
      <c r="D500" s="55">
        <f>IF(_calc!$E$502="","",IF(ISNUMBER(INDEX('Inspections'!$G$4:$G$503,_calc!$E$502)),TEXT(INDEX('Inspections'!$G$4:$G$503,_calc!$E$502),"yyyy-mm-dd"),""))</f>
        <v/>
      </c>
      <c r="F500" s="55">
        <f>IF(_calc!$E$502="","",TRIM(IF(LEN(IF(LEN(INDEX('Inspections'!$B$4:$B$503,_calc!$E$502))=0,"",INDEX('Inspections'!$B$4:$B$503,_calc!$E$502)))=0,"","System: "&amp;IF(LEN(INDEX('Inspections'!$B$4:$B$503,_calc!$E$502))=0,"",INDEX('Inspections'!$B$4:$B$503,_calc!$E$502))&amp;". ")&amp;IF(LEN(IF(LEN(INDEX('Inspections'!$D$4:$D$503,_calc!$E$502))=0,"",INDEX('Inspections'!$D$4:$D$503,_calc!$E$502)))=0,"","Every: "&amp;IF(LEN(INDEX('Inspections'!$D$4:$D$503,_calc!$E$502))=0,"",INDEX('Inspections'!$D$4:$D$503,_calc!$E$502))&amp;". ")&amp;IF(LEN(IF(LEN(INDEX('Inspections'!$E$4:$E$503,_calc!$E$502))=0,"",INDEX('Inspections'!$E$4:$E$503,_calc!$E$502)))=0,"","Unit: "&amp;IF(LEN(INDEX('Inspections'!$E$4:$E$503,_calc!$E$502))=0,"",INDEX('Inspections'!$E$4:$E$503,_calc!$E$502))&amp;". ")&amp;IF(LEN(IF(LEN(INDEX('Inspections'!$F$4:$F$503,_calc!$E$502))=0,"",INDEX('Inspections'!$F$4:$F$503,_calc!$E$502)))=0,"","Done by: "&amp;IF(LEN(INDEX('Inspections'!$F$4:$F$503,_calc!$E$502))=0,"",INDEX('Inspections'!$F$4:$F$503,_calc!$E$502))&amp;". ")&amp;IF(LEN(IF(LEN(INDEX('Inspections'!$M$4:$M$503,_calc!$E$502))=0,"",INDEX('Inspections'!$M$4:$M$503,_calc!$E$502)))=0,"","Source: "&amp;IF(LEN(INDEX('Inspections'!$M$4:$M$503,_calc!$E$502))=0,"",INDEX('Inspections'!$M$4:$M$503,_calc!$E$502))&amp;". ")&amp;IF(LEN(IF(LEN(INDEX('Inspections'!$N$4:$N$503,_calc!$E$502))=0,"",INDEX('Inspections'!$N$4:$N$503,_calc!$E$502)))=0,"","Owner: "&amp;IF(LEN(INDEX('Inspections'!$N$4:$N$503,_calc!$E$502))=0,"",INDEX('Inspections'!$N$4:$N$503,_calc!$E$502))&amp;". ")&amp;IF(LEN(IF(LEN(INDEX('Inspections'!$O$4:$O$503,_calc!$E$502))=0,"",INDEX('Inspections'!$O$4:$O$503,_calc!$E$502)))=0,"","Backup: "&amp;IF(LEN(INDEX('Inspections'!$O$4:$O$503,_calc!$E$502))=0,"",INDEX('Inspections'!$O$4:$O$503,_calc!$E$502))&amp;". ")&amp;IF(LEN(IF(LEN(INDEX('Inspections'!$R$4:$R$503,_calc!$E$502))=0,"",INDEX('Inspections'!$R$4:$R$503,_calc!$E$502)))=0,"",IF(LEN(INDEX('Inspections'!$R$4:$R$503,_calc!$E$502))=0,"",INDEX('Inspections'!$R$4:$R$503,_calc!$E$502)))))</f>
        <v/>
      </c>
      <c r="G500" s="55">
        <f>IF(_calc!$E$502="","",IF(LEN(INDEX('Inspections'!$Q$4:$Q$503,_calc!$E$502))=0,"",INDEX('Inspections'!$Q$4:$Q$503,_calc!$E$502)))</f>
        <v/>
      </c>
      <c r="K500" s="55">
        <f>IF(_calc!$E$502="","",IF(LEN(INDEX('Inspections'!$P$4:$P$503,_calc!$E$502))=0,"",INDEX('Inspections'!$P$4:$P$503,_calc!$E$502)))</f>
        <v/>
      </c>
    </row>
    <row r="501">
      <c r="A501" s="55">
        <f>IF(_calc!$E$503="","",IF(LEN(INDEX('Inspections'!$C$4:$C$503,_calc!$E$503))=0,"",INDEX('Inspections'!$C$4:$C$503,_calc!$E$503))&amp;" – "&amp;IF(LEN(INDEX('Inspections'!$A$4:$A$503,_calc!$E$503))=0,"",INDEX('Inspections'!$A$4:$A$503,_calc!$E$503)))</f>
        <v/>
      </c>
      <c r="B501" s="55">
        <f>IF(_calc!$E$503="","",IF(ISNUMBER(INDEX('Inspections'!$H$4:$H$503,_calc!$E$503)),TEXT(INDEX('Inspections'!$H$4:$H$503,_calc!$E$503),"yyyy-mm-dd"),""))</f>
        <v/>
      </c>
      <c r="C501" s="55">
        <f>IF(_calc!$E$503="","","Inspection")</f>
        <v/>
      </c>
      <c r="D501" s="55">
        <f>IF(_calc!$E$503="","",IF(ISNUMBER(INDEX('Inspections'!$G$4:$G$503,_calc!$E$503)),TEXT(INDEX('Inspections'!$G$4:$G$503,_calc!$E$503),"yyyy-mm-dd"),""))</f>
        <v/>
      </c>
      <c r="F501" s="55">
        <f>IF(_calc!$E$503="","",TRIM(IF(LEN(IF(LEN(INDEX('Inspections'!$B$4:$B$503,_calc!$E$503))=0,"",INDEX('Inspections'!$B$4:$B$503,_calc!$E$503)))=0,"","System: "&amp;IF(LEN(INDEX('Inspections'!$B$4:$B$503,_calc!$E$503))=0,"",INDEX('Inspections'!$B$4:$B$503,_calc!$E$503))&amp;". ")&amp;IF(LEN(IF(LEN(INDEX('Inspections'!$D$4:$D$503,_calc!$E$503))=0,"",INDEX('Inspections'!$D$4:$D$503,_calc!$E$503)))=0,"","Every: "&amp;IF(LEN(INDEX('Inspections'!$D$4:$D$503,_calc!$E$503))=0,"",INDEX('Inspections'!$D$4:$D$503,_calc!$E$503))&amp;". ")&amp;IF(LEN(IF(LEN(INDEX('Inspections'!$E$4:$E$503,_calc!$E$503))=0,"",INDEX('Inspections'!$E$4:$E$503,_calc!$E$503)))=0,"","Unit: "&amp;IF(LEN(INDEX('Inspections'!$E$4:$E$503,_calc!$E$503))=0,"",INDEX('Inspections'!$E$4:$E$503,_calc!$E$503))&amp;". ")&amp;IF(LEN(IF(LEN(INDEX('Inspections'!$F$4:$F$503,_calc!$E$503))=0,"",INDEX('Inspections'!$F$4:$F$503,_calc!$E$503)))=0,"","Done by: "&amp;IF(LEN(INDEX('Inspections'!$F$4:$F$503,_calc!$E$503))=0,"",INDEX('Inspections'!$F$4:$F$503,_calc!$E$503))&amp;". ")&amp;IF(LEN(IF(LEN(INDEX('Inspections'!$M$4:$M$503,_calc!$E$503))=0,"",INDEX('Inspections'!$M$4:$M$503,_calc!$E$503)))=0,"","Source: "&amp;IF(LEN(INDEX('Inspections'!$M$4:$M$503,_calc!$E$503))=0,"",INDEX('Inspections'!$M$4:$M$503,_calc!$E$503))&amp;". ")&amp;IF(LEN(IF(LEN(INDEX('Inspections'!$N$4:$N$503,_calc!$E$503))=0,"",INDEX('Inspections'!$N$4:$N$503,_calc!$E$503)))=0,"","Owner: "&amp;IF(LEN(INDEX('Inspections'!$N$4:$N$503,_calc!$E$503))=0,"",INDEX('Inspections'!$N$4:$N$503,_calc!$E$503))&amp;". ")&amp;IF(LEN(IF(LEN(INDEX('Inspections'!$O$4:$O$503,_calc!$E$503))=0,"",INDEX('Inspections'!$O$4:$O$503,_calc!$E$503)))=0,"","Backup: "&amp;IF(LEN(INDEX('Inspections'!$O$4:$O$503,_calc!$E$503))=0,"",INDEX('Inspections'!$O$4:$O$503,_calc!$E$503))&amp;". ")&amp;IF(LEN(IF(LEN(INDEX('Inspections'!$R$4:$R$503,_calc!$E$503))=0,"",INDEX('Inspections'!$R$4:$R$503,_calc!$E$503)))=0,"",IF(LEN(INDEX('Inspections'!$R$4:$R$503,_calc!$E$503))=0,"",INDEX('Inspections'!$R$4:$R$503,_calc!$E$503)))))</f>
        <v/>
      </c>
      <c r="G501" s="55">
        <f>IF(_calc!$E$503="","",IF(LEN(INDEX('Inspections'!$Q$4:$Q$503,_calc!$E$503))=0,"",INDEX('Inspections'!$Q$4:$Q$503,_calc!$E$503)))</f>
        <v/>
      </c>
      <c r="K501" s="55">
        <f>IF(_calc!$E$503="","",IF(LEN(INDEX('Inspections'!$P$4:$P$503,_calc!$E$503))=0,"",INDEX('Inspections'!$P$4:$P$503,_calc!$E$503)))</f>
        <v/>
      </c>
    </row>
  </sheetData>
  <printOptions horizontalCentered="0"/>
  <pageMargins left="0.4" right="0.4" top="0.5" bottom="0.6" header="0.5" footer="0.5"/>
  <pageSetup orientation="landscape" paperSize="1" fitToHeight="0" fitToWidth="1"/>
  <headerFooter>
    <oddHeader/>
    <oddFooter>&amp;C&amp;"Arial"&amp;8 expiryedge.com · page &amp;P of &amp;N</oddFooter>
    <evenHeader/>
    <evenFooter/>
    <firstHeader/>
    <firstFooter/>
  </headerFooter>
  <legacyDrawing xmlns:r="http://schemas.openxmlformats.org/officeDocument/2006/relationships" r:id="anysvml"/>
</worksheet>
</file>

<file path=xl/worksheets/sheet7.xml><?xml version="1.0" encoding="utf-8"?>
<worksheet xmlns="http://schemas.openxmlformats.org/spreadsheetml/2006/main">
  <sheetPr>
    <outlinePr summaryBelow="1" summaryRight="1"/>
    <pageSetUpPr fitToPage="1"/>
  </sheetPr>
  <dimension ref="A1:I10"/>
  <sheetViews>
    <sheetView showGridLines="0" tabSelected="0" workbookViewId="0">
      <pane ySplit="1" topLeftCell="A2" activePane="bottomLeft" state="frozen"/>
      <selection pane="bottomLeft" activeCell="A1" sqref="A1"/>
    </sheetView>
  </sheetViews>
  <sheetFormatPr baseColWidth="8" defaultRowHeight="15"/>
  <cols>
    <col width="16" customWidth="1" min="1" max="1"/>
    <col width="27" customWidth="1" min="3" max="3"/>
    <col width="18" customWidth="1" min="5" max="5"/>
    <col width="16" customWidth="1" min="7" max="7"/>
    <col width="50" customWidth="1" min="9" max="9"/>
  </cols>
  <sheetData>
    <row r="1">
      <c r="A1" s="13" t="inlineStr">
        <is>
          <t>Shift</t>
        </is>
      </c>
      <c r="C1" s="13" t="inlineStr">
        <is>
          <t>System</t>
        </is>
      </c>
      <c r="E1" s="13" t="inlineStr">
        <is>
          <t>Done by</t>
        </is>
      </c>
      <c r="G1" s="13" t="inlineStr">
        <is>
          <t>Priority</t>
        </is>
      </c>
      <c r="I1" s="19" t="inlineStr">
        <is>
          <t>About these lists</t>
        </is>
      </c>
    </row>
    <row r="2">
      <c r="A2" s="55" t="inlineStr">
        <is>
          <t>Day</t>
        </is>
      </c>
      <c r="C2" s="55" t="inlineStr">
        <is>
          <t>Fire extinguishers</t>
        </is>
      </c>
      <c r="E2" s="55" t="inlineStr">
        <is>
          <t>Staff</t>
        </is>
      </c>
      <c r="G2" s="55" t="inlineStr">
        <is>
          <t>Low</t>
        </is>
      </c>
      <c r="I2" s="22" t="inlineStr">
        <is>
          <t>These feed the dropdowns. To add an option, insert a row inside a list (above its last item) so the dropdown range grows with it. Priority must stay Low, Medium or High: ExpiryEdge imports those three values.</t>
        </is>
      </c>
    </row>
    <row r="3">
      <c r="A3" s="55" t="inlineStr">
        <is>
          <t>Evening</t>
        </is>
      </c>
      <c r="C3" s="55" t="inlineStr">
        <is>
          <t>Fire alarm system</t>
        </is>
      </c>
      <c r="E3" s="55" t="inlineStr">
        <is>
          <t>Service company</t>
        </is>
      </c>
      <c r="G3" s="55" t="inlineStr">
        <is>
          <t>Medium</t>
        </is>
      </c>
    </row>
    <row r="4">
      <c r="A4" s="55" t="inlineStr">
        <is>
          <t>Night</t>
        </is>
      </c>
      <c r="C4" s="55" t="inlineStr">
        <is>
          <t>Sprinkler system</t>
        </is>
      </c>
      <c r="E4" s="55" t="inlineStr">
        <is>
          <t>Fire authority</t>
        </is>
      </c>
      <c r="G4" s="55" t="inlineStr">
        <is>
          <t>High</t>
        </is>
      </c>
    </row>
    <row r="5">
      <c r="C5" s="55" t="inlineStr">
        <is>
          <t>Kitchen hood suppression</t>
        </is>
      </c>
      <c r="E5" s="55" t="inlineStr">
        <is>
          <t>Other</t>
        </is>
      </c>
    </row>
    <row r="6">
      <c r="C6" s="55" t="inlineStr">
        <is>
          <t>Kitchen exhaust</t>
        </is>
      </c>
    </row>
    <row r="7">
      <c r="C7" s="55" t="inlineStr">
        <is>
          <t>Emergency generator</t>
        </is>
      </c>
    </row>
    <row r="8">
      <c r="C8" s="55" t="inlineStr">
        <is>
          <t>Smoke detectors</t>
        </is>
      </c>
    </row>
    <row r="9">
      <c r="C9" s="55" t="inlineStr">
        <is>
          <t>Fire inspection</t>
        </is>
      </c>
    </row>
    <row r="10">
      <c r="C10" s="55" t="inlineStr">
        <is>
          <t>Other</t>
        </is>
      </c>
    </row>
  </sheetData>
  <printOptions horizontalCentered="0"/>
  <pageMargins left="0.4" right="0.4" top="0.5" bottom="0.6" header="0.5" footer="0.5"/>
  <pageSetup orientation="portrait" paperSize="1" fitToHeight="0" fitToWidth="1"/>
  <headerFooter>
    <oddHeader/>
    <oddFooter>&amp;C&amp;"Arial"&amp;8 expiryedge.com ·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sheetPr>
  <dimension ref="A3:H503"/>
  <sheetViews>
    <sheetView tabSelected="0" workbookViewId="0">
      <selection activeCell="A1" sqref="A1"/>
    </sheetView>
  </sheetViews>
  <sheetFormatPr baseColWidth="8" defaultRowHeight="15"/>
  <sheetData>
    <row r="3">
      <c r="A3" t="inlineStr">
        <is>
          <t>next_key</t>
        </is>
      </c>
      <c r="B3" t="inlineStr">
        <is>
          <t>import_seq</t>
        </is>
      </c>
      <c r="C3" t="inlineStr">
        <is>
          <t>kth_key</t>
        </is>
      </c>
      <c r="D3" t="inlineStr">
        <is>
          <t>kth_pos</t>
        </is>
      </c>
      <c r="E3" t="inlineStr">
        <is>
          <t>import_pos</t>
        </is>
      </c>
      <c r="G3" t="inlineStr">
        <is>
          <t>sched_next_open</t>
        </is>
      </c>
      <c r="H3" t="inlineStr">
        <is>
          <t>evac_this_year</t>
        </is>
      </c>
    </row>
    <row r="4">
      <c r="A4">
        <f>IF(AND(LEN('Inspections'!A4)&gt;0,ISNUMBER('Inspections'!H4)),'Inspections'!H4+1/100000,"")</f>
        <v/>
      </c>
      <c r="B4">
        <f>IF(AND(LEN('Inspections'!A4)&gt;0,ISNUMBER('Inspections'!H4)),MAX($B$3:B3)+1,"")</f>
        <v/>
      </c>
      <c r="C4">
        <f>IFERROR(SMALL($A$4:$A$503,1),"")</f>
        <v/>
      </c>
      <c r="D4">
        <f>IF(C4="","",MATCH(C4,$A$4:$A$503,0))</f>
        <v/>
      </c>
      <c r="E4">
        <f>IFERROR(MATCH(1,$B$4:$B$503,0),"")</f>
        <v/>
      </c>
      <c r="G4">
        <f>IF(OR('Drill schedule'!B9="",ISNUMBER('Drill schedule'!J9)),"",IF('Drill schedule'!C9&lt;TODAY(),"",IF(AND(ISNUMBER('Drill schedule'!E9),'Drill schedule'!E9&gt;='Drill schedule'!B9,'Drill schedule'!E9&lt;='Drill schedule'!C9),'Drill schedule'!E9,'Drill schedule'!C9)))</f>
        <v/>
      </c>
      <c r="H4">
        <f>IF(AND(ISNUMBER('Drill log'!A4),ISNUMBER('Drill log'!N4),ISNUMBER('Drill schedule'!$D$4)),IF(YEAR('Drill log'!A4)='Drill schedule'!$D$4,'Drill log'!N4,""),"")</f>
        <v/>
      </c>
    </row>
    <row r="5">
      <c r="A5">
        <f>IF(AND(LEN('Inspections'!A5)&gt;0,ISNUMBER('Inspections'!H5)),'Inspections'!H5+2/100000,"")</f>
        <v/>
      </c>
      <c r="B5">
        <f>IF(AND(LEN('Inspections'!A5)&gt;0,ISNUMBER('Inspections'!H5)),MAX($B$3:B4)+1,"")</f>
        <v/>
      </c>
      <c r="C5">
        <f>IFERROR(SMALL($A$4:$A$503,2),"")</f>
        <v/>
      </c>
      <c r="D5">
        <f>IF(C5="","",MATCH(C5,$A$4:$A$503,0))</f>
        <v/>
      </c>
      <c r="E5">
        <f>IFERROR(MATCH(2,$B$4:$B$503,0),"")</f>
        <v/>
      </c>
      <c r="G5">
        <f>IF(OR('Drill schedule'!B10="",ISNUMBER('Drill schedule'!J10)),"",IF('Drill schedule'!C10&lt;TODAY(),"",IF(AND(ISNUMBER('Drill schedule'!E10),'Drill schedule'!E10&gt;='Drill schedule'!B10,'Drill schedule'!E10&lt;='Drill schedule'!C10),'Drill schedule'!E10,'Drill schedule'!C10)))</f>
        <v/>
      </c>
      <c r="H5">
        <f>IF(AND(ISNUMBER('Drill log'!A5),ISNUMBER('Drill log'!N5),ISNUMBER('Drill schedule'!$D$4)),IF(YEAR('Drill log'!A5)='Drill schedule'!$D$4,'Drill log'!N5,""),"")</f>
        <v/>
      </c>
    </row>
    <row r="6">
      <c r="A6">
        <f>IF(AND(LEN('Inspections'!A6)&gt;0,ISNUMBER('Inspections'!H6)),'Inspections'!H6+3/100000,"")</f>
        <v/>
      </c>
      <c r="B6">
        <f>IF(AND(LEN('Inspections'!A6)&gt;0,ISNUMBER('Inspections'!H6)),MAX($B$3:B5)+1,"")</f>
        <v/>
      </c>
      <c r="C6">
        <f>IFERROR(SMALL($A$4:$A$503,3),"")</f>
        <v/>
      </c>
      <c r="D6">
        <f>IF(C6="","",MATCH(C6,$A$4:$A$503,0))</f>
        <v/>
      </c>
      <c r="E6">
        <f>IFERROR(MATCH(3,$B$4:$B$503,0),"")</f>
        <v/>
      </c>
      <c r="G6">
        <f>IF(OR('Drill schedule'!B11="",ISNUMBER('Drill schedule'!J11)),"",IF('Drill schedule'!C11&lt;TODAY(),"",IF(AND(ISNUMBER('Drill schedule'!E11),'Drill schedule'!E11&gt;='Drill schedule'!B11,'Drill schedule'!E11&lt;='Drill schedule'!C11),'Drill schedule'!E11,'Drill schedule'!C11)))</f>
        <v/>
      </c>
      <c r="H6">
        <f>IF(AND(ISNUMBER('Drill log'!A6),ISNUMBER('Drill log'!N6),ISNUMBER('Drill schedule'!$D$4)),IF(YEAR('Drill log'!A6)='Drill schedule'!$D$4,'Drill log'!N6,""),"")</f>
        <v/>
      </c>
    </row>
    <row r="7">
      <c r="A7">
        <f>IF(AND(LEN('Inspections'!A7)&gt;0,ISNUMBER('Inspections'!H7)),'Inspections'!H7+4/100000,"")</f>
        <v/>
      </c>
      <c r="B7">
        <f>IF(AND(LEN('Inspections'!A7)&gt;0,ISNUMBER('Inspections'!H7)),MAX($B$3:B6)+1,"")</f>
        <v/>
      </c>
      <c r="C7">
        <f>IFERROR(SMALL($A$4:$A$503,4),"")</f>
        <v/>
      </c>
      <c r="D7">
        <f>IF(C7="","",MATCH(C7,$A$4:$A$503,0))</f>
        <v/>
      </c>
      <c r="E7">
        <f>IFERROR(MATCH(4,$B$4:$B$503,0),"")</f>
        <v/>
      </c>
      <c r="G7">
        <f>IF(OR('Drill schedule'!B12="",ISNUMBER('Drill schedule'!J12)),"",IF('Drill schedule'!C12&lt;TODAY(),"",IF(AND(ISNUMBER('Drill schedule'!E12),'Drill schedule'!E12&gt;='Drill schedule'!B12,'Drill schedule'!E12&lt;='Drill schedule'!C12),'Drill schedule'!E12,'Drill schedule'!C12)))</f>
        <v/>
      </c>
      <c r="H7">
        <f>IF(AND(ISNUMBER('Drill log'!A7),ISNUMBER('Drill log'!N7),ISNUMBER('Drill schedule'!$D$4)),IF(YEAR('Drill log'!A7)='Drill schedule'!$D$4,'Drill log'!N7,""),"")</f>
        <v/>
      </c>
    </row>
    <row r="8">
      <c r="A8">
        <f>IF(AND(LEN('Inspections'!A8)&gt;0,ISNUMBER('Inspections'!H8)),'Inspections'!H8+5/100000,"")</f>
        <v/>
      </c>
      <c r="B8">
        <f>IF(AND(LEN('Inspections'!A8)&gt;0,ISNUMBER('Inspections'!H8)),MAX($B$3:B7)+1,"")</f>
        <v/>
      </c>
      <c r="C8">
        <f>IFERROR(SMALL($A$4:$A$503,5),"")</f>
        <v/>
      </c>
      <c r="D8">
        <f>IF(C8="","",MATCH(C8,$A$4:$A$503,0))</f>
        <v/>
      </c>
      <c r="E8">
        <f>IFERROR(MATCH(5,$B$4:$B$503,0),"")</f>
        <v/>
      </c>
      <c r="G8">
        <f>IF(OR('Drill schedule'!B13="",ISNUMBER('Drill schedule'!J13)),"",IF('Drill schedule'!C13&lt;TODAY(),"",IF(AND(ISNUMBER('Drill schedule'!E13),'Drill schedule'!E13&gt;='Drill schedule'!B13,'Drill schedule'!E13&lt;='Drill schedule'!C13),'Drill schedule'!E13,'Drill schedule'!C13)))</f>
        <v/>
      </c>
      <c r="H8">
        <f>IF(AND(ISNUMBER('Drill log'!A8),ISNUMBER('Drill log'!N8),ISNUMBER('Drill schedule'!$D$4)),IF(YEAR('Drill log'!A8)='Drill schedule'!$D$4,'Drill log'!N8,""),"")</f>
        <v/>
      </c>
    </row>
    <row r="9">
      <c r="A9">
        <f>IF(AND(LEN('Inspections'!A9)&gt;0,ISNUMBER('Inspections'!H9)),'Inspections'!H9+6/100000,"")</f>
        <v/>
      </c>
      <c r="B9">
        <f>IF(AND(LEN('Inspections'!A9)&gt;0,ISNUMBER('Inspections'!H9)),MAX($B$3:B8)+1,"")</f>
        <v/>
      </c>
      <c r="C9">
        <f>IFERROR(SMALL($A$4:$A$503,6),"")</f>
        <v/>
      </c>
      <c r="D9">
        <f>IF(C9="","",MATCH(C9,$A$4:$A$503,0))</f>
        <v/>
      </c>
      <c r="E9">
        <f>IFERROR(MATCH(6,$B$4:$B$503,0),"")</f>
        <v/>
      </c>
      <c r="G9">
        <f>IF(OR('Drill schedule'!B14="",ISNUMBER('Drill schedule'!J14)),"",IF('Drill schedule'!C14&lt;TODAY(),"",IF(AND(ISNUMBER('Drill schedule'!E14),'Drill schedule'!E14&gt;='Drill schedule'!B14,'Drill schedule'!E14&lt;='Drill schedule'!C14),'Drill schedule'!E14,'Drill schedule'!C14)))</f>
        <v/>
      </c>
      <c r="H9">
        <f>IF(AND(ISNUMBER('Drill log'!A9),ISNUMBER('Drill log'!N9),ISNUMBER('Drill schedule'!$D$4)),IF(YEAR('Drill log'!A9)='Drill schedule'!$D$4,'Drill log'!N9,""),"")</f>
        <v/>
      </c>
    </row>
    <row r="10">
      <c r="A10">
        <f>IF(AND(LEN('Inspections'!A10)&gt;0,ISNUMBER('Inspections'!H10)),'Inspections'!H10+7/100000,"")</f>
        <v/>
      </c>
      <c r="B10">
        <f>IF(AND(LEN('Inspections'!A10)&gt;0,ISNUMBER('Inspections'!H10)),MAX($B$3:B9)+1,"")</f>
        <v/>
      </c>
      <c r="C10">
        <f>IFERROR(SMALL($A$4:$A$503,7),"")</f>
        <v/>
      </c>
      <c r="D10">
        <f>IF(C10="","",MATCH(C10,$A$4:$A$503,0))</f>
        <v/>
      </c>
      <c r="E10">
        <f>IFERROR(MATCH(7,$B$4:$B$503,0),"")</f>
        <v/>
      </c>
      <c r="G10">
        <f>IF(OR('Drill schedule'!B15="",ISNUMBER('Drill schedule'!J15)),"",IF('Drill schedule'!C15&lt;TODAY(),"",IF(AND(ISNUMBER('Drill schedule'!E15),'Drill schedule'!E15&gt;='Drill schedule'!B15,'Drill schedule'!E15&lt;='Drill schedule'!C15),'Drill schedule'!E15,'Drill schedule'!C15)))</f>
        <v/>
      </c>
      <c r="H10">
        <f>IF(AND(ISNUMBER('Drill log'!A10),ISNUMBER('Drill log'!N10),ISNUMBER('Drill schedule'!$D$4)),IF(YEAR('Drill log'!A10)='Drill schedule'!$D$4,'Drill log'!N10,""),"")</f>
        <v/>
      </c>
    </row>
    <row r="11">
      <c r="A11">
        <f>IF(AND(LEN('Inspections'!A11)&gt;0,ISNUMBER('Inspections'!H11)),'Inspections'!H11+8/100000,"")</f>
        <v/>
      </c>
      <c r="B11">
        <f>IF(AND(LEN('Inspections'!A11)&gt;0,ISNUMBER('Inspections'!H11)),MAX($B$3:B10)+1,"")</f>
        <v/>
      </c>
      <c r="C11">
        <f>IFERROR(SMALL($A$4:$A$503,8),"")</f>
        <v/>
      </c>
      <c r="D11">
        <f>IF(C11="","",MATCH(C11,$A$4:$A$503,0))</f>
        <v/>
      </c>
      <c r="E11">
        <f>IFERROR(MATCH(8,$B$4:$B$503,0),"")</f>
        <v/>
      </c>
      <c r="G11">
        <f>IF(OR('Drill schedule'!B16="",ISNUMBER('Drill schedule'!J16)),"",IF('Drill schedule'!C16&lt;TODAY(),"",IF(AND(ISNUMBER('Drill schedule'!E16),'Drill schedule'!E16&gt;='Drill schedule'!B16,'Drill schedule'!E16&lt;='Drill schedule'!C16),'Drill schedule'!E16,'Drill schedule'!C16)))</f>
        <v/>
      </c>
      <c r="H11">
        <f>IF(AND(ISNUMBER('Drill log'!A11),ISNUMBER('Drill log'!N11),ISNUMBER('Drill schedule'!$D$4)),IF(YEAR('Drill log'!A11)='Drill schedule'!$D$4,'Drill log'!N11,""),"")</f>
        <v/>
      </c>
    </row>
    <row r="12">
      <c r="A12">
        <f>IF(AND(LEN('Inspections'!A12)&gt;0,ISNUMBER('Inspections'!H12)),'Inspections'!H12+9/100000,"")</f>
        <v/>
      </c>
      <c r="B12">
        <f>IF(AND(LEN('Inspections'!A12)&gt;0,ISNUMBER('Inspections'!H12)),MAX($B$3:B11)+1,"")</f>
        <v/>
      </c>
      <c r="C12">
        <f>IFERROR(SMALL($A$4:$A$503,9),"")</f>
        <v/>
      </c>
      <c r="D12">
        <f>IF(C12="","",MATCH(C12,$A$4:$A$503,0))</f>
        <v/>
      </c>
      <c r="E12">
        <f>IFERROR(MATCH(9,$B$4:$B$503,0),"")</f>
        <v/>
      </c>
      <c r="G12">
        <f>IF(OR('Drill schedule'!B17="",ISNUMBER('Drill schedule'!J17)),"",IF('Drill schedule'!C17&lt;TODAY(),"",IF(AND(ISNUMBER('Drill schedule'!E17),'Drill schedule'!E17&gt;='Drill schedule'!B17,'Drill schedule'!E17&lt;='Drill schedule'!C17),'Drill schedule'!E17,'Drill schedule'!C17)))</f>
        <v/>
      </c>
      <c r="H12">
        <f>IF(AND(ISNUMBER('Drill log'!A12),ISNUMBER('Drill log'!N12),ISNUMBER('Drill schedule'!$D$4)),IF(YEAR('Drill log'!A12)='Drill schedule'!$D$4,'Drill log'!N12,""),"")</f>
        <v/>
      </c>
    </row>
    <row r="13">
      <c r="A13">
        <f>IF(AND(LEN('Inspections'!A13)&gt;0,ISNUMBER('Inspections'!H13)),'Inspections'!H13+10/100000,"")</f>
        <v/>
      </c>
      <c r="B13">
        <f>IF(AND(LEN('Inspections'!A13)&gt;0,ISNUMBER('Inspections'!H13)),MAX($B$3:B12)+1,"")</f>
        <v/>
      </c>
      <c r="C13">
        <f>IFERROR(SMALL($A$4:$A$503,10),"")</f>
        <v/>
      </c>
      <c r="D13">
        <f>IF(C13="","",MATCH(C13,$A$4:$A$503,0))</f>
        <v/>
      </c>
      <c r="E13">
        <f>IFERROR(MATCH(10,$B$4:$B$503,0),"")</f>
        <v/>
      </c>
      <c r="G13">
        <f>IF(OR('Drill schedule'!B18="",ISNUMBER('Drill schedule'!J18)),"",IF('Drill schedule'!C18&lt;TODAY(),"",IF(AND(ISNUMBER('Drill schedule'!E18),'Drill schedule'!E18&gt;='Drill schedule'!B18,'Drill schedule'!E18&lt;='Drill schedule'!C18),'Drill schedule'!E18,'Drill schedule'!C18)))</f>
        <v/>
      </c>
      <c r="H13">
        <f>IF(AND(ISNUMBER('Drill log'!A13),ISNUMBER('Drill log'!N13),ISNUMBER('Drill schedule'!$D$4)),IF(YEAR('Drill log'!A13)='Drill schedule'!$D$4,'Drill log'!N13,""),"")</f>
        <v/>
      </c>
    </row>
    <row r="14">
      <c r="A14">
        <f>IF(AND(LEN('Inspections'!A14)&gt;0,ISNUMBER('Inspections'!H14)),'Inspections'!H14+11/100000,"")</f>
        <v/>
      </c>
      <c r="B14">
        <f>IF(AND(LEN('Inspections'!A14)&gt;0,ISNUMBER('Inspections'!H14)),MAX($B$3:B13)+1,"")</f>
        <v/>
      </c>
      <c r="E14">
        <f>IFERROR(MATCH(11,$B$4:$B$503,0),"")</f>
        <v/>
      </c>
      <c r="G14">
        <f>IF(OR('Drill schedule'!B19="",ISNUMBER('Drill schedule'!J19)),"",IF('Drill schedule'!C19&lt;TODAY(),"",IF(AND(ISNUMBER('Drill schedule'!E19),'Drill schedule'!E19&gt;='Drill schedule'!B19,'Drill schedule'!E19&lt;='Drill schedule'!C19),'Drill schedule'!E19,'Drill schedule'!C19)))</f>
        <v/>
      </c>
      <c r="H14">
        <f>IF(AND(ISNUMBER('Drill log'!A14),ISNUMBER('Drill log'!N14),ISNUMBER('Drill schedule'!$D$4)),IF(YEAR('Drill log'!A14)='Drill schedule'!$D$4,'Drill log'!N14,""),"")</f>
        <v/>
      </c>
    </row>
    <row r="15">
      <c r="A15">
        <f>IF(AND(LEN('Inspections'!A15)&gt;0,ISNUMBER('Inspections'!H15)),'Inspections'!H15+12/100000,"")</f>
        <v/>
      </c>
      <c r="B15">
        <f>IF(AND(LEN('Inspections'!A15)&gt;0,ISNUMBER('Inspections'!H15)),MAX($B$3:B14)+1,"")</f>
        <v/>
      </c>
      <c r="E15">
        <f>IFERROR(MATCH(12,$B$4:$B$503,0),"")</f>
        <v/>
      </c>
      <c r="G15">
        <f>IF(OR('Drill schedule'!B20="",ISNUMBER('Drill schedule'!J20)),"",IF('Drill schedule'!C20&lt;TODAY(),"",IF(AND(ISNUMBER('Drill schedule'!E20),'Drill schedule'!E20&gt;='Drill schedule'!B20,'Drill schedule'!E20&lt;='Drill schedule'!C20),'Drill schedule'!E20,'Drill schedule'!C20)))</f>
        <v/>
      </c>
      <c r="H15">
        <f>IF(AND(ISNUMBER('Drill log'!A15),ISNUMBER('Drill log'!N15),ISNUMBER('Drill schedule'!$D$4)),IF(YEAR('Drill log'!A15)='Drill schedule'!$D$4,'Drill log'!N15,""),"")</f>
        <v/>
      </c>
    </row>
    <row r="16">
      <c r="A16">
        <f>IF(AND(LEN('Inspections'!A16)&gt;0,ISNUMBER('Inspections'!H16)),'Inspections'!H16+13/100000,"")</f>
        <v/>
      </c>
      <c r="B16">
        <f>IF(AND(LEN('Inspections'!A16)&gt;0,ISNUMBER('Inspections'!H16)),MAX($B$3:B15)+1,"")</f>
        <v/>
      </c>
      <c r="E16">
        <f>IFERROR(MATCH(13,$B$4:$B$503,0),"")</f>
        <v/>
      </c>
      <c r="H16">
        <f>IF(AND(ISNUMBER('Drill log'!A16),ISNUMBER('Drill log'!N16),ISNUMBER('Drill schedule'!$D$4)),IF(YEAR('Drill log'!A16)='Drill schedule'!$D$4,'Drill log'!N16,""),"")</f>
        <v/>
      </c>
    </row>
    <row r="17">
      <c r="A17">
        <f>IF(AND(LEN('Inspections'!A17)&gt;0,ISNUMBER('Inspections'!H17)),'Inspections'!H17+14/100000,"")</f>
        <v/>
      </c>
      <c r="B17">
        <f>IF(AND(LEN('Inspections'!A17)&gt;0,ISNUMBER('Inspections'!H17)),MAX($B$3:B16)+1,"")</f>
        <v/>
      </c>
      <c r="E17">
        <f>IFERROR(MATCH(14,$B$4:$B$503,0),"")</f>
        <v/>
      </c>
      <c r="H17">
        <f>IF(AND(ISNUMBER('Drill log'!A17),ISNUMBER('Drill log'!N17),ISNUMBER('Drill schedule'!$D$4)),IF(YEAR('Drill log'!A17)='Drill schedule'!$D$4,'Drill log'!N17,""),"")</f>
        <v/>
      </c>
    </row>
    <row r="18">
      <c r="A18">
        <f>IF(AND(LEN('Inspections'!A18)&gt;0,ISNUMBER('Inspections'!H18)),'Inspections'!H18+15/100000,"")</f>
        <v/>
      </c>
      <c r="B18">
        <f>IF(AND(LEN('Inspections'!A18)&gt;0,ISNUMBER('Inspections'!H18)),MAX($B$3:B17)+1,"")</f>
        <v/>
      </c>
      <c r="E18">
        <f>IFERROR(MATCH(15,$B$4:$B$503,0),"")</f>
        <v/>
      </c>
      <c r="H18">
        <f>IF(AND(ISNUMBER('Drill log'!A18),ISNUMBER('Drill log'!N18),ISNUMBER('Drill schedule'!$D$4)),IF(YEAR('Drill log'!A18)='Drill schedule'!$D$4,'Drill log'!N18,""),"")</f>
        <v/>
      </c>
    </row>
    <row r="19">
      <c r="A19">
        <f>IF(AND(LEN('Inspections'!A19)&gt;0,ISNUMBER('Inspections'!H19)),'Inspections'!H19+16/100000,"")</f>
        <v/>
      </c>
      <c r="B19">
        <f>IF(AND(LEN('Inspections'!A19)&gt;0,ISNUMBER('Inspections'!H19)),MAX($B$3:B18)+1,"")</f>
        <v/>
      </c>
      <c r="E19">
        <f>IFERROR(MATCH(16,$B$4:$B$503,0),"")</f>
        <v/>
      </c>
      <c r="H19">
        <f>IF(AND(ISNUMBER('Drill log'!A19),ISNUMBER('Drill log'!N19),ISNUMBER('Drill schedule'!$D$4)),IF(YEAR('Drill log'!A19)='Drill schedule'!$D$4,'Drill log'!N19,""),"")</f>
        <v/>
      </c>
    </row>
    <row r="20">
      <c r="A20">
        <f>IF(AND(LEN('Inspections'!A20)&gt;0,ISNUMBER('Inspections'!H20)),'Inspections'!H20+17/100000,"")</f>
        <v/>
      </c>
      <c r="B20">
        <f>IF(AND(LEN('Inspections'!A20)&gt;0,ISNUMBER('Inspections'!H20)),MAX($B$3:B19)+1,"")</f>
        <v/>
      </c>
      <c r="E20">
        <f>IFERROR(MATCH(17,$B$4:$B$503,0),"")</f>
        <v/>
      </c>
      <c r="H20">
        <f>IF(AND(ISNUMBER('Drill log'!A20),ISNUMBER('Drill log'!N20),ISNUMBER('Drill schedule'!$D$4)),IF(YEAR('Drill log'!A20)='Drill schedule'!$D$4,'Drill log'!N20,""),"")</f>
        <v/>
      </c>
    </row>
    <row r="21">
      <c r="A21">
        <f>IF(AND(LEN('Inspections'!A21)&gt;0,ISNUMBER('Inspections'!H21)),'Inspections'!H21+18/100000,"")</f>
        <v/>
      </c>
      <c r="B21">
        <f>IF(AND(LEN('Inspections'!A21)&gt;0,ISNUMBER('Inspections'!H21)),MAX($B$3:B20)+1,"")</f>
        <v/>
      </c>
      <c r="E21">
        <f>IFERROR(MATCH(18,$B$4:$B$503,0),"")</f>
        <v/>
      </c>
      <c r="H21">
        <f>IF(AND(ISNUMBER('Drill log'!A21),ISNUMBER('Drill log'!N21),ISNUMBER('Drill schedule'!$D$4)),IF(YEAR('Drill log'!A21)='Drill schedule'!$D$4,'Drill log'!N21,""),"")</f>
        <v/>
      </c>
    </row>
    <row r="22">
      <c r="A22">
        <f>IF(AND(LEN('Inspections'!A22)&gt;0,ISNUMBER('Inspections'!H22)),'Inspections'!H22+19/100000,"")</f>
        <v/>
      </c>
      <c r="B22">
        <f>IF(AND(LEN('Inspections'!A22)&gt;0,ISNUMBER('Inspections'!H22)),MAX($B$3:B21)+1,"")</f>
        <v/>
      </c>
      <c r="E22">
        <f>IFERROR(MATCH(19,$B$4:$B$503,0),"")</f>
        <v/>
      </c>
      <c r="H22">
        <f>IF(AND(ISNUMBER('Drill log'!A22),ISNUMBER('Drill log'!N22),ISNUMBER('Drill schedule'!$D$4)),IF(YEAR('Drill log'!A22)='Drill schedule'!$D$4,'Drill log'!N22,""),"")</f>
        <v/>
      </c>
    </row>
    <row r="23">
      <c r="A23">
        <f>IF(AND(LEN('Inspections'!A23)&gt;0,ISNUMBER('Inspections'!H23)),'Inspections'!H23+20/100000,"")</f>
        <v/>
      </c>
      <c r="B23">
        <f>IF(AND(LEN('Inspections'!A23)&gt;0,ISNUMBER('Inspections'!H23)),MAX($B$3:B22)+1,"")</f>
        <v/>
      </c>
      <c r="E23">
        <f>IFERROR(MATCH(20,$B$4:$B$503,0),"")</f>
        <v/>
      </c>
      <c r="H23">
        <f>IF(AND(ISNUMBER('Drill log'!A23),ISNUMBER('Drill log'!N23),ISNUMBER('Drill schedule'!$D$4)),IF(YEAR('Drill log'!A23)='Drill schedule'!$D$4,'Drill log'!N23,""),"")</f>
        <v/>
      </c>
    </row>
    <row r="24">
      <c r="A24">
        <f>IF(AND(LEN('Inspections'!A24)&gt;0,ISNUMBER('Inspections'!H24)),'Inspections'!H24+21/100000,"")</f>
        <v/>
      </c>
      <c r="B24">
        <f>IF(AND(LEN('Inspections'!A24)&gt;0,ISNUMBER('Inspections'!H24)),MAX($B$3:B23)+1,"")</f>
        <v/>
      </c>
      <c r="E24">
        <f>IFERROR(MATCH(21,$B$4:$B$503,0),"")</f>
        <v/>
      </c>
      <c r="H24">
        <f>IF(AND(ISNUMBER('Drill log'!A24),ISNUMBER('Drill log'!N24),ISNUMBER('Drill schedule'!$D$4)),IF(YEAR('Drill log'!A24)='Drill schedule'!$D$4,'Drill log'!N24,""),"")</f>
        <v/>
      </c>
    </row>
    <row r="25">
      <c r="A25">
        <f>IF(AND(LEN('Inspections'!A25)&gt;0,ISNUMBER('Inspections'!H25)),'Inspections'!H25+22/100000,"")</f>
        <v/>
      </c>
      <c r="B25">
        <f>IF(AND(LEN('Inspections'!A25)&gt;0,ISNUMBER('Inspections'!H25)),MAX($B$3:B24)+1,"")</f>
        <v/>
      </c>
      <c r="E25">
        <f>IFERROR(MATCH(22,$B$4:$B$503,0),"")</f>
        <v/>
      </c>
      <c r="H25">
        <f>IF(AND(ISNUMBER('Drill log'!A25),ISNUMBER('Drill log'!N25),ISNUMBER('Drill schedule'!$D$4)),IF(YEAR('Drill log'!A25)='Drill schedule'!$D$4,'Drill log'!N25,""),"")</f>
        <v/>
      </c>
    </row>
    <row r="26">
      <c r="A26">
        <f>IF(AND(LEN('Inspections'!A26)&gt;0,ISNUMBER('Inspections'!H26)),'Inspections'!H26+23/100000,"")</f>
        <v/>
      </c>
      <c r="B26">
        <f>IF(AND(LEN('Inspections'!A26)&gt;0,ISNUMBER('Inspections'!H26)),MAX($B$3:B25)+1,"")</f>
        <v/>
      </c>
      <c r="E26">
        <f>IFERROR(MATCH(23,$B$4:$B$503,0),"")</f>
        <v/>
      </c>
      <c r="H26">
        <f>IF(AND(ISNUMBER('Drill log'!A26),ISNUMBER('Drill log'!N26),ISNUMBER('Drill schedule'!$D$4)),IF(YEAR('Drill log'!A26)='Drill schedule'!$D$4,'Drill log'!N26,""),"")</f>
        <v/>
      </c>
    </row>
    <row r="27">
      <c r="A27">
        <f>IF(AND(LEN('Inspections'!A27)&gt;0,ISNUMBER('Inspections'!H27)),'Inspections'!H27+24/100000,"")</f>
        <v/>
      </c>
      <c r="B27">
        <f>IF(AND(LEN('Inspections'!A27)&gt;0,ISNUMBER('Inspections'!H27)),MAX($B$3:B26)+1,"")</f>
        <v/>
      </c>
      <c r="E27">
        <f>IFERROR(MATCH(24,$B$4:$B$503,0),"")</f>
        <v/>
      </c>
      <c r="H27">
        <f>IF(AND(ISNUMBER('Drill log'!A27),ISNUMBER('Drill log'!N27),ISNUMBER('Drill schedule'!$D$4)),IF(YEAR('Drill log'!A27)='Drill schedule'!$D$4,'Drill log'!N27,""),"")</f>
        <v/>
      </c>
    </row>
    <row r="28">
      <c r="A28">
        <f>IF(AND(LEN('Inspections'!A28)&gt;0,ISNUMBER('Inspections'!H28)),'Inspections'!H28+25/100000,"")</f>
        <v/>
      </c>
      <c r="B28">
        <f>IF(AND(LEN('Inspections'!A28)&gt;0,ISNUMBER('Inspections'!H28)),MAX($B$3:B27)+1,"")</f>
        <v/>
      </c>
      <c r="E28">
        <f>IFERROR(MATCH(25,$B$4:$B$503,0),"")</f>
        <v/>
      </c>
      <c r="H28">
        <f>IF(AND(ISNUMBER('Drill log'!A28),ISNUMBER('Drill log'!N28),ISNUMBER('Drill schedule'!$D$4)),IF(YEAR('Drill log'!A28)='Drill schedule'!$D$4,'Drill log'!N28,""),"")</f>
        <v/>
      </c>
    </row>
    <row r="29">
      <c r="A29">
        <f>IF(AND(LEN('Inspections'!A29)&gt;0,ISNUMBER('Inspections'!H29)),'Inspections'!H29+26/100000,"")</f>
        <v/>
      </c>
      <c r="B29">
        <f>IF(AND(LEN('Inspections'!A29)&gt;0,ISNUMBER('Inspections'!H29)),MAX($B$3:B28)+1,"")</f>
        <v/>
      </c>
      <c r="E29">
        <f>IFERROR(MATCH(26,$B$4:$B$503,0),"")</f>
        <v/>
      </c>
      <c r="H29">
        <f>IF(AND(ISNUMBER('Drill log'!A29),ISNUMBER('Drill log'!N29),ISNUMBER('Drill schedule'!$D$4)),IF(YEAR('Drill log'!A29)='Drill schedule'!$D$4,'Drill log'!N29,""),"")</f>
        <v/>
      </c>
    </row>
    <row r="30">
      <c r="A30">
        <f>IF(AND(LEN('Inspections'!A30)&gt;0,ISNUMBER('Inspections'!H30)),'Inspections'!H30+27/100000,"")</f>
        <v/>
      </c>
      <c r="B30">
        <f>IF(AND(LEN('Inspections'!A30)&gt;0,ISNUMBER('Inspections'!H30)),MAX($B$3:B29)+1,"")</f>
        <v/>
      </c>
      <c r="E30">
        <f>IFERROR(MATCH(27,$B$4:$B$503,0),"")</f>
        <v/>
      </c>
      <c r="H30">
        <f>IF(AND(ISNUMBER('Drill log'!A30),ISNUMBER('Drill log'!N30),ISNUMBER('Drill schedule'!$D$4)),IF(YEAR('Drill log'!A30)='Drill schedule'!$D$4,'Drill log'!N30,""),"")</f>
        <v/>
      </c>
    </row>
    <row r="31">
      <c r="A31">
        <f>IF(AND(LEN('Inspections'!A31)&gt;0,ISNUMBER('Inspections'!H31)),'Inspections'!H31+28/100000,"")</f>
        <v/>
      </c>
      <c r="B31">
        <f>IF(AND(LEN('Inspections'!A31)&gt;0,ISNUMBER('Inspections'!H31)),MAX($B$3:B30)+1,"")</f>
        <v/>
      </c>
      <c r="E31">
        <f>IFERROR(MATCH(28,$B$4:$B$503,0),"")</f>
        <v/>
      </c>
      <c r="H31">
        <f>IF(AND(ISNUMBER('Drill log'!A31),ISNUMBER('Drill log'!N31),ISNUMBER('Drill schedule'!$D$4)),IF(YEAR('Drill log'!A31)='Drill schedule'!$D$4,'Drill log'!N31,""),"")</f>
        <v/>
      </c>
    </row>
    <row r="32">
      <c r="A32">
        <f>IF(AND(LEN('Inspections'!A32)&gt;0,ISNUMBER('Inspections'!H32)),'Inspections'!H32+29/100000,"")</f>
        <v/>
      </c>
      <c r="B32">
        <f>IF(AND(LEN('Inspections'!A32)&gt;0,ISNUMBER('Inspections'!H32)),MAX($B$3:B31)+1,"")</f>
        <v/>
      </c>
      <c r="E32">
        <f>IFERROR(MATCH(29,$B$4:$B$503,0),"")</f>
        <v/>
      </c>
      <c r="H32">
        <f>IF(AND(ISNUMBER('Drill log'!A32),ISNUMBER('Drill log'!N32),ISNUMBER('Drill schedule'!$D$4)),IF(YEAR('Drill log'!A32)='Drill schedule'!$D$4,'Drill log'!N32,""),"")</f>
        <v/>
      </c>
    </row>
    <row r="33">
      <c r="A33">
        <f>IF(AND(LEN('Inspections'!A33)&gt;0,ISNUMBER('Inspections'!H33)),'Inspections'!H33+30/100000,"")</f>
        <v/>
      </c>
      <c r="B33">
        <f>IF(AND(LEN('Inspections'!A33)&gt;0,ISNUMBER('Inspections'!H33)),MAX($B$3:B32)+1,"")</f>
        <v/>
      </c>
      <c r="E33">
        <f>IFERROR(MATCH(30,$B$4:$B$503,0),"")</f>
        <v/>
      </c>
      <c r="H33">
        <f>IF(AND(ISNUMBER('Drill log'!A33),ISNUMBER('Drill log'!N33),ISNUMBER('Drill schedule'!$D$4)),IF(YEAR('Drill log'!A33)='Drill schedule'!$D$4,'Drill log'!N33,""),"")</f>
        <v/>
      </c>
    </row>
    <row r="34">
      <c r="A34">
        <f>IF(AND(LEN('Inspections'!A34)&gt;0,ISNUMBER('Inspections'!H34)),'Inspections'!H34+31/100000,"")</f>
        <v/>
      </c>
      <c r="B34">
        <f>IF(AND(LEN('Inspections'!A34)&gt;0,ISNUMBER('Inspections'!H34)),MAX($B$3:B33)+1,"")</f>
        <v/>
      </c>
      <c r="E34">
        <f>IFERROR(MATCH(31,$B$4:$B$503,0),"")</f>
        <v/>
      </c>
      <c r="H34">
        <f>IF(AND(ISNUMBER('Drill log'!A34),ISNUMBER('Drill log'!N34),ISNUMBER('Drill schedule'!$D$4)),IF(YEAR('Drill log'!A34)='Drill schedule'!$D$4,'Drill log'!N34,""),"")</f>
        <v/>
      </c>
    </row>
    <row r="35">
      <c r="A35">
        <f>IF(AND(LEN('Inspections'!A35)&gt;0,ISNUMBER('Inspections'!H35)),'Inspections'!H35+32/100000,"")</f>
        <v/>
      </c>
      <c r="B35">
        <f>IF(AND(LEN('Inspections'!A35)&gt;0,ISNUMBER('Inspections'!H35)),MAX($B$3:B34)+1,"")</f>
        <v/>
      </c>
      <c r="E35">
        <f>IFERROR(MATCH(32,$B$4:$B$503,0),"")</f>
        <v/>
      </c>
      <c r="H35">
        <f>IF(AND(ISNUMBER('Drill log'!A35),ISNUMBER('Drill log'!N35),ISNUMBER('Drill schedule'!$D$4)),IF(YEAR('Drill log'!A35)='Drill schedule'!$D$4,'Drill log'!N35,""),"")</f>
        <v/>
      </c>
    </row>
    <row r="36">
      <c r="A36">
        <f>IF(AND(LEN('Inspections'!A36)&gt;0,ISNUMBER('Inspections'!H36)),'Inspections'!H36+33/100000,"")</f>
        <v/>
      </c>
      <c r="B36">
        <f>IF(AND(LEN('Inspections'!A36)&gt;0,ISNUMBER('Inspections'!H36)),MAX($B$3:B35)+1,"")</f>
        <v/>
      </c>
      <c r="E36">
        <f>IFERROR(MATCH(33,$B$4:$B$503,0),"")</f>
        <v/>
      </c>
      <c r="H36">
        <f>IF(AND(ISNUMBER('Drill log'!A36),ISNUMBER('Drill log'!N36),ISNUMBER('Drill schedule'!$D$4)),IF(YEAR('Drill log'!A36)='Drill schedule'!$D$4,'Drill log'!N36,""),"")</f>
        <v/>
      </c>
    </row>
    <row r="37">
      <c r="A37">
        <f>IF(AND(LEN('Inspections'!A37)&gt;0,ISNUMBER('Inspections'!H37)),'Inspections'!H37+34/100000,"")</f>
        <v/>
      </c>
      <c r="B37">
        <f>IF(AND(LEN('Inspections'!A37)&gt;0,ISNUMBER('Inspections'!H37)),MAX($B$3:B36)+1,"")</f>
        <v/>
      </c>
      <c r="E37">
        <f>IFERROR(MATCH(34,$B$4:$B$503,0),"")</f>
        <v/>
      </c>
      <c r="H37">
        <f>IF(AND(ISNUMBER('Drill log'!A37),ISNUMBER('Drill log'!N37),ISNUMBER('Drill schedule'!$D$4)),IF(YEAR('Drill log'!A37)='Drill schedule'!$D$4,'Drill log'!N37,""),"")</f>
        <v/>
      </c>
    </row>
    <row r="38">
      <c r="A38">
        <f>IF(AND(LEN('Inspections'!A38)&gt;0,ISNUMBER('Inspections'!H38)),'Inspections'!H38+35/100000,"")</f>
        <v/>
      </c>
      <c r="B38">
        <f>IF(AND(LEN('Inspections'!A38)&gt;0,ISNUMBER('Inspections'!H38)),MAX($B$3:B37)+1,"")</f>
        <v/>
      </c>
      <c r="E38">
        <f>IFERROR(MATCH(35,$B$4:$B$503,0),"")</f>
        <v/>
      </c>
      <c r="H38">
        <f>IF(AND(ISNUMBER('Drill log'!A38),ISNUMBER('Drill log'!N38),ISNUMBER('Drill schedule'!$D$4)),IF(YEAR('Drill log'!A38)='Drill schedule'!$D$4,'Drill log'!N38,""),"")</f>
        <v/>
      </c>
    </row>
    <row r="39">
      <c r="A39">
        <f>IF(AND(LEN('Inspections'!A39)&gt;0,ISNUMBER('Inspections'!H39)),'Inspections'!H39+36/100000,"")</f>
        <v/>
      </c>
      <c r="B39">
        <f>IF(AND(LEN('Inspections'!A39)&gt;0,ISNUMBER('Inspections'!H39)),MAX($B$3:B38)+1,"")</f>
        <v/>
      </c>
      <c r="E39">
        <f>IFERROR(MATCH(36,$B$4:$B$503,0),"")</f>
        <v/>
      </c>
      <c r="H39">
        <f>IF(AND(ISNUMBER('Drill log'!A39),ISNUMBER('Drill log'!N39),ISNUMBER('Drill schedule'!$D$4)),IF(YEAR('Drill log'!A39)='Drill schedule'!$D$4,'Drill log'!N39,""),"")</f>
        <v/>
      </c>
    </row>
    <row r="40">
      <c r="A40">
        <f>IF(AND(LEN('Inspections'!A40)&gt;0,ISNUMBER('Inspections'!H40)),'Inspections'!H40+37/100000,"")</f>
        <v/>
      </c>
      <c r="B40">
        <f>IF(AND(LEN('Inspections'!A40)&gt;0,ISNUMBER('Inspections'!H40)),MAX($B$3:B39)+1,"")</f>
        <v/>
      </c>
      <c r="E40">
        <f>IFERROR(MATCH(37,$B$4:$B$503,0),"")</f>
        <v/>
      </c>
      <c r="H40">
        <f>IF(AND(ISNUMBER('Drill log'!A40),ISNUMBER('Drill log'!N40),ISNUMBER('Drill schedule'!$D$4)),IF(YEAR('Drill log'!A40)='Drill schedule'!$D$4,'Drill log'!N40,""),"")</f>
        <v/>
      </c>
    </row>
    <row r="41">
      <c r="A41">
        <f>IF(AND(LEN('Inspections'!A41)&gt;0,ISNUMBER('Inspections'!H41)),'Inspections'!H41+38/100000,"")</f>
        <v/>
      </c>
      <c r="B41">
        <f>IF(AND(LEN('Inspections'!A41)&gt;0,ISNUMBER('Inspections'!H41)),MAX($B$3:B40)+1,"")</f>
        <v/>
      </c>
      <c r="E41">
        <f>IFERROR(MATCH(38,$B$4:$B$503,0),"")</f>
        <v/>
      </c>
      <c r="H41">
        <f>IF(AND(ISNUMBER('Drill log'!A41),ISNUMBER('Drill log'!N41),ISNUMBER('Drill schedule'!$D$4)),IF(YEAR('Drill log'!A41)='Drill schedule'!$D$4,'Drill log'!N41,""),"")</f>
        <v/>
      </c>
    </row>
    <row r="42">
      <c r="A42">
        <f>IF(AND(LEN('Inspections'!A42)&gt;0,ISNUMBER('Inspections'!H42)),'Inspections'!H42+39/100000,"")</f>
        <v/>
      </c>
      <c r="B42">
        <f>IF(AND(LEN('Inspections'!A42)&gt;0,ISNUMBER('Inspections'!H42)),MAX($B$3:B41)+1,"")</f>
        <v/>
      </c>
      <c r="E42">
        <f>IFERROR(MATCH(39,$B$4:$B$503,0),"")</f>
        <v/>
      </c>
      <c r="H42">
        <f>IF(AND(ISNUMBER('Drill log'!A42),ISNUMBER('Drill log'!N42),ISNUMBER('Drill schedule'!$D$4)),IF(YEAR('Drill log'!A42)='Drill schedule'!$D$4,'Drill log'!N42,""),"")</f>
        <v/>
      </c>
    </row>
    <row r="43">
      <c r="A43">
        <f>IF(AND(LEN('Inspections'!A43)&gt;0,ISNUMBER('Inspections'!H43)),'Inspections'!H43+40/100000,"")</f>
        <v/>
      </c>
      <c r="B43">
        <f>IF(AND(LEN('Inspections'!A43)&gt;0,ISNUMBER('Inspections'!H43)),MAX($B$3:B42)+1,"")</f>
        <v/>
      </c>
      <c r="E43">
        <f>IFERROR(MATCH(40,$B$4:$B$503,0),"")</f>
        <v/>
      </c>
      <c r="H43">
        <f>IF(AND(ISNUMBER('Drill log'!A43),ISNUMBER('Drill log'!N43),ISNUMBER('Drill schedule'!$D$4)),IF(YEAR('Drill log'!A43)='Drill schedule'!$D$4,'Drill log'!N43,""),"")</f>
        <v/>
      </c>
    </row>
    <row r="44">
      <c r="A44">
        <f>IF(AND(LEN('Inspections'!A44)&gt;0,ISNUMBER('Inspections'!H44)),'Inspections'!H44+41/100000,"")</f>
        <v/>
      </c>
      <c r="B44">
        <f>IF(AND(LEN('Inspections'!A44)&gt;0,ISNUMBER('Inspections'!H44)),MAX($B$3:B43)+1,"")</f>
        <v/>
      </c>
      <c r="E44">
        <f>IFERROR(MATCH(41,$B$4:$B$503,0),"")</f>
        <v/>
      </c>
      <c r="H44">
        <f>IF(AND(ISNUMBER('Drill log'!A44),ISNUMBER('Drill log'!N44),ISNUMBER('Drill schedule'!$D$4)),IF(YEAR('Drill log'!A44)='Drill schedule'!$D$4,'Drill log'!N44,""),"")</f>
        <v/>
      </c>
    </row>
    <row r="45">
      <c r="A45">
        <f>IF(AND(LEN('Inspections'!A45)&gt;0,ISNUMBER('Inspections'!H45)),'Inspections'!H45+42/100000,"")</f>
        <v/>
      </c>
      <c r="B45">
        <f>IF(AND(LEN('Inspections'!A45)&gt;0,ISNUMBER('Inspections'!H45)),MAX($B$3:B44)+1,"")</f>
        <v/>
      </c>
      <c r="E45">
        <f>IFERROR(MATCH(42,$B$4:$B$503,0),"")</f>
        <v/>
      </c>
      <c r="H45">
        <f>IF(AND(ISNUMBER('Drill log'!A45),ISNUMBER('Drill log'!N45),ISNUMBER('Drill schedule'!$D$4)),IF(YEAR('Drill log'!A45)='Drill schedule'!$D$4,'Drill log'!N45,""),"")</f>
        <v/>
      </c>
    </row>
    <row r="46">
      <c r="A46">
        <f>IF(AND(LEN('Inspections'!A46)&gt;0,ISNUMBER('Inspections'!H46)),'Inspections'!H46+43/100000,"")</f>
        <v/>
      </c>
      <c r="B46">
        <f>IF(AND(LEN('Inspections'!A46)&gt;0,ISNUMBER('Inspections'!H46)),MAX($B$3:B45)+1,"")</f>
        <v/>
      </c>
      <c r="E46">
        <f>IFERROR(MATCH(43,$B$4:$B$503,0),"")</f>
        <v/>
      </c>
      <c r="H46">
        <f>IF(AND(ISNUMBER('Drill log'!A46),ISNUMBER('Drill log'!N46),ISNUMBER('Drill schedule'!$D$4)),IF(YEAR('Drill log'!A46)='Drill schedule'!$D$4,'Drill log'!N46,""),"")</f>
        <v/>
      </c>
    </row>
    <row r="47">
      <c r="A47">
        <f>IF(AND(LEN('Inspections'!A47)&gt;0,ISNUMBER('Inspections'!H47)),'Inspections'!H47+44/100000,"")</f>
        <v/>
      </c>
      <c r="B47">
        <f>IF(AND(LEN('Inspections'!A47)&gt;0,ISNUMBER('Inspections'!H47)),MAX($B$3:B46)+1,"")</f>
        <v/>
      </c>
      <c r="E47">
        <f>IFERROR(MATCH(44,$B$4:$B$503,0),"")</f>
        <v/>
      </c>
      <c r="H47">
        <f>IF(AND(ISNUMBER('Drill log'!A47),ISNUMBER('Drill log'!N47),ISNUMBER('Drill schedule'!$D$4)),IF(YEAR('Drill log'!A47)='Drill schedule'!$D$4,'Drill log'!N47,""),"")</f>
        <v/>
      </c>
    </row>
    <row r="48">
      <c r="A48">
        <f>IF(AND(LEN('Inspections'!A48)&gt;0,ISNUMBER('Inspections'!H48)),'Inspections'!H48+45/100000,"")</f>
        <v/>
      </c>
      <c r="B48">
        <f>IF(AND(LEN('Inspections'!A48)&gt;0,ISNUMBER('Inspections'!H48)),MAX($B$3:B47)+1,"")</f>
        <v/>
      </c>
      <c r="E48">
        <f>IFERROR(MATCH(45,$B$4:$B$503,0),"")</f>
        <v/>
      </c>
      <c r="H48">
        <f>IF(AND(ISNUMBER('Drill log'!A48),ISNUMBER('Drill log'!N48),ISNUMBER('Drill schedule'!$D$4)),IF(YEAR('Drill log'!A48)='Drill schedule'!$D$4,'Drill log'!N48,""),"")</f>
        <v/>
      </c>
    </row>
    <row r="49">
      <c r="A49">
        <f>IF(AND(LEN('Inspections'!A49)&gt;0,ISNUMBER('Inspections'!H49)),'Inspections'!H49+46/100000,"")</f>
        <v/>
      </c>
      <c r="B49">
        <f>IF(AND(LEN('Inspections'!A49)&gt;0,ISNUMBER('Inspections'!H49)),MAX($B$3:B48)+1,"")</f>
        <v/>
      </c>
      <c r="E49">
        <f>IFERROR(MATCH(46,$B$4:$B$503,0),"")</f>
        <v/>
      </c>
      <c r="H49">
        <f>IF(AND(ISNUMBER('Drill log'!A49),ISNUMBER('Drill log'!N49),ISNUMBER('Drill schedule'!$D$4)),IF(YEAR('Drill log'!A49)='Drill schedule'!$D$4,'Drill log'!N49,""),"")</f>
        <v/>
      </c>
    </row>
    <row r="50">
      <c r="A50">
        <f>IF(AND(LEN('Inspections'!A50)&gt;0,ISNUMBER('Inspections'!H50)),'Inspections'!H50+47/100000,"")</f>
        <v/>
      </c>
      <c r="B50">
        <f>IF(AND(LEN('Inspections'!A50)&gt;0,ISNUMBER('Inspections'!H50)),MAX($B$3:B49)+1,"")</f>
        <v/>
      </c>
      <c r="E50">
        <f>IFERROR(MATCH(47,$B$4:$B$503,0),"")</f>
        <v/>
      </c>
      <c r="H50">
        <f>IF(AND(ISNUMBER('Drill log'!A50),ISNUMBER('Drill log'!N50),ISNUMBER('Drill schedule'!$D$4)),IF(YEAR('Drill log'!A50)='Drill schedule'!$D$4,'Drill log'!N50,""),"")</f>
        <v/>
      </c>
    </row>
    <row r="51">
      <c r="A51">
        <f>IF(AND(LEN('Inspections'!A51)&gt;0,ISNUMBER('Inspections'!H51)),'Inspections'!H51+48/100000,"")</f>
        <v/>
      </c>
      <c r="B51">
        <f>IF(AND(LEN('Inspections'!A51)&gt;0,ISNUMBER('Inspections'!H51)),MAX($B$3:B50)+1,"")</f>
        <v/>
      </c>
      <c r="E51">
        <f>IFERROR(MATCH(48,$B$4:$B$503,0),"")</f>
        <v/>
      </c>
      <c r="H51">
        <f>IF(AND(ISNUMBER('Drill log'!A51),ISNUMBER('Drill log'!N51),ISNUMBER('Drill schedule'!$D$4)),IF(YEAR('Drill log'!A51)='Drill schedule'!$D$4,'Drill log'!N51,""),"")</f>
        <v/>
      </c>
    </row>
    <row r="52">
      <c r="A52">
        <f>IF(AND(LEN('Inspections'!A52)&gt;0,ISNUMBER('Inspections'!H52)),'Inspections'!H52+49/100000,"")</f>
        <v/>
      </c>
      <c r="B52">
        <f>IF(AND(LEN('Inspections'!A52)&gt;0,ISNUMBER('Inspections'!H52)),MAX($B$3:B51)+1,"")</f>
        <v/>
      </c>
      <c r="E52">
        <f>IFERROR(MATCH(49,$B$4:$B$503,0),"")</f>
        <v/>
      </c>
      <c r="H52">
        <f>IF(AND(ISNUMBER('Drill log'!A52),ISNUMBER('Drill log'!N52),ISNUMBER('Drill schedule'!$D$4)),IF(YEAR('Drill log'!A52)='Drill schedule'!$D$4,'Drill log'!N52,""),"")</f>
        <v/>
      </c>
    </row>
    <row r="53">
      <c r="A53">
        <f>IF(AND(LEN('Inspections'!A53)&gt;0,ISNUMBER('Inspections'!H53)),'Inspections'!H53+50/100000,"")</f>
        <v/>
      </c>
      <c r="B53">
        <f>IF(AND(LEN('Inspections'!A53)&gt;0,ISNUMBER('Inspections'!H53)),MAX($B$3:B52)+1,"")</f>
        <v/>
      </c>
      <c r="E53">
        <f>IFERROR(MATCH(50,$B$4:$B$503,0),"")</f>
        <v/>
      </c>
      <c r="H53">
        <f>IF(AND(ISNUMBER('Drill log'!A53),ISNUMBER('Drill log'!N53),ISNUMBER('Drill schedule'!$D$4)),IF(YEAR('Drill log'!A53)='Drill schedule'!$D$4,'Drill log'!N53,""),"")</f>
        <v/>
      </c>
    </row>
    <row r="54">
      <c r="A54">
        <f>IF(AND(LEN('Inspections'!A54)&gt;0,ISNUMBER('Inspections'!H54)),'Inspections'!H54+51/100000,"")</f>
        <v/>
      </c>
      <c r="B54">
        <f>IF(AND(LEN('Inspections'!A54)&gt;0,ISNUMBER('Inspections'!H54)),MAX($B$3:B53)+1,"")</f>
        <v/>
      </c>
      <c r="E54">
        <f>IFERROR(MATCH(51,$B$4:$B$503,0),"")</f>
        <v/>
      </c>
      <c r="H54">
        <f>IF(AND(ISNUMBER('Drill log'!A54),ISNUMBER('Drill log'!N54),ISNUMBER('Drill schedule'!$D$4)),IF(YEAR('Drill log'!A54)='Drill schedule'!$D$4,'Drill log'!N54,""),"")</f>
        <v/>
      </c>
    </row>
    <row r="55">
      <c r="A55">
        <f>IF(AND(LEN('Inspections'!A55)&gt;0,ISNUMBER('Inspections'!H55)),'Inspections'!H55+52/100000,"")</f>
        <v/>
      </c>
      <c r="B55">
        <f>IF(AND(LEN('Inspections'!A55)&gt;0,ISNUMBER('Inspections'!H55)),MAX($B$3:B54)+1,"")</f>
        <v/>
      </c>
      <c r="E55">
        <f>IFERROR(MATCH(52,$B$4:$B$503,0),"")</f>
        <v/>
      </c>
      <c r="H55">
        <f>IF(AND(ISNUMBER('Drill log'!A55),ISNUMBER('Drill log'!N55),ISNUMBER('Drill schedule'!$D$4)),IF(YEAR('Drill log'!A55)='Drill schedule'!$D$4,'Drill log'!N55,""),"")</f>
        <v/>
      </c>
    </row>
    <row r="56">
      <c r="A56">
        <f>IF(AND(LEN('Inspections'!A56)&gt;0,ISNUMBER('Inspections'!H56)),'Inspections'!H56+53/100000,"")</f>
        <v/>
      </c>
      <c r="B56">
        <f>IF(AND(LEN('Inspections'!A56)&gt;0,ISNUMBER('Inspections'!H56)),MAX($B$3:B55)+1,"")</f>
        <v/>
      </c>
      <c r="E56">
        <f>IFERROR(MATCH(53,$B$4:$B$503,0),"")</f>
        <v/>
      </c>
      <c r="H56">
        <f>IF(AND(ISNUMBER('Drill log'!A56),ISNUMBER('Drill log'!N56),ISNUMBER('Drill schedule'!$D$4)),IF(YEAR('Drill log'!A56)='Drill schedule'!$D$4,'Drill log'!N56,""),"")</f>
        <v/>
      </c>
    </row>
    <row r="57">
      <c r="A57">
        <f>IF(AND(LEN('Inspections'!A57)&gt;0,ISNUMBER('Inspections'!H57)),'Inspections'!H57+54/100000,"")</f>
        <v/>
      </c>
      <c r="B57">
        <f>IF(AND(LEN('Inspections'!A57)&gt;0,ISNUMBER('Inspections'!H57)),MAX($B$3:B56)+1,"")</f>
        <v/>
      </c>
      <c r="E57">
        <f>IFERROR(MATCH(54,$B$4:$B$503,0),"")</f>
        <v/>
      </c>
      <c r="H57">
        <f>IF(AND(ISNUMBER('Drill log'!A57),ISNUMBER('Drill log'!N57),ISNUMBER('Drill schedule'!$D$4)),IF(YEAR('Drill log'!A57)='Drill schedule'!$D$4,'Drill log'!N57,""),"")</f>
        <v/>
      </c>
    </row>
    <row r="58">
      <c r="A58">
        <f>IF(AND(LEN('Inspections'!A58)&gt;0,ISNUMBER('Inspections'!H58)),'Inspections'!H58+55/100000,"")</f>
        <v/>
      </c>
      <c r="B58">
        <f>IF(AND(LEN('Inspections'!A58)&gt;0,ISNUMBER('Inspections'!H58)),MAX($B$3:B57)+1,"")</f>
        <v/>
      </c>
      <c r="E58">
        <f>IFERROR(MATCH(55,$B$4:$B$503,0),"")</f>
        <v/>
      </c>
      <c r="H58">
        <f>IF(AND(ISNUMBER('Drill log'!A58),ISNUMBER('Drill log'!N58),ISNUMBER('Drill schedule'!$D$4)),IF(YEAR('Drill log'!A58)='Drill schedule'!$D$4,'Drill log'!N58,""),"")</f>
        <v/>
      </c>
    </row>
    <row r="59">
      <c r="A59">
        <f>IF(AND(LEN('Inspections'!A59)&gt;0,ISNUMBER('Inspections'!H59)),'Inspections'!H59+56/100000,"")</f>
        <v/>
      </c>
      <c r="B59">
        <f>IF(AND(LEN('Inspections'!A59)&gt;0,ISNUMBER('Inspections'!H59)),MAX($B$3:B58)+1,"")</f>
        <v/>
      </c>
      <c r="E59">
        <f>IFERROR(MATCH(56,$B$4:$B$503,0),"")</f>
        <v/>
      </c>
      <c r="H59">
        <f>IF(AND(ISNUMBER('Drill log'!A59),ISNUMBER('Drill log'!N59),ISNUMBER('Drill schedule'!$D$4)),IF(YEAR('Drill log'!A59)='Drill schedule'!$D$4,'Drill log'!N59,""),"")</f>
        <v/>
      </c>
    </row>
    <row r="60">
      <c r="A60">
        <f>IF(AND(LEN('Inspections'!A60)&gt;0,ISNUMBER('Inspections'!H60)),'Inspections'!H60+57/100000,"")</f>
        <v/>
      </c>
      <c r="B60">
        <f>IF(AND(LEN('Inspections'!A60)&gt;0,ISNUMBER('Inspections'!H60)),MAX($B$3:B59)+1,"")</f>
        <v/>
      </c>
      <c r="E60">
        <f>IFERROR(MATCH(57,$B$4:$B$503,0),"")</f>
        <v/>
      </c>
      <c r="H60">
        <f>IF(AND(ISNUMBER('Drill log'!A60),ISNUMBER('Drill log'!N60),ISNUMBER('Drill schedule'!$D$4)),IF(YEAR('Drill log'!A60)='Drill schedule'!$D$4,'Drill log'!N60,""),"")</f>
        <v/>
      </c>
    </row>
    <row r="61">
      <c r="A61">
        <f>IF(AND(LEN('Inspections'!A61)&gt;0,ISNUMBER('Inspections'!H61)),'Inspections'!H61+58/100000,"")</f>
        <v/>
      </c>
      <c r="B61">
        <f>IF(AND(LEN('Inspections'!A61)&gt;0,ISNUMBER('Inspections'!H61)),MAX($B$3:B60)+1,"")</f>
        <v/>
      </c>
      <c r="E61">
        <f>IFERROR(MATCH(58,$B$4:$B$503,0),"")</f>
        <v/>
      </c>
      <c r="H61">
        <f>IF(AND(ISNUMBER('Drill log'!A61),ISNUMBER('Drill log'!N61),ISNUMBER('Drill schedule'!$D$4)),IF(YEAR('Drill log'!A61)='Drill schedule'!$D$4,'Drill log'!N61,""),"")</f>
        <v/>
      </c>
    </row>
    <row r="62">
      <c r="A62">
        <f>IF(AND(LEN('Inspections'!A62)&gt;0,ISNUMBER('Inspections'!H62)),'Inspections'!H62+59/100000,"")</f>
        <v/>
      </c>
      <c r="B62">
        <f>IF(AND(LEN('Inspections'!A62)&gt;0,ISNUMBER('Inspections'!H62)),MAX($B$3:B61)+1,"")</f>
        <v/>
      </c>
      <c r="E62">
        <f>IFERROR(MATCH(59,$B$4:$B$503,0),"")</f>
        <v/>
      </c>
      <c r="H62">
        <f>IF(AND(ISNUMBER('Drill log'!A62),ISNUMBER('Drill log'!N62),ISNUMBER('Drill schedule'!$D$4)),IF(YEAR('Drill log'!A62)='Drill schedule'!$D$4,'Drill log'!N62,""),"")</f>
        <v/>
      </c>
    </row>
    <row r="63">
      <c r="A63">
        <f>IF(AND(LEN('Inspections'!A63)&gt;0,ISNUMBER('Inspections'!H63)),'Inspections'!H63+60/100000,"")</f>
        <v/>
      </c>
      <c r="B63">
        <f>IF(AND(LEN('Inspections'!A63)&gt;0,ISNUMBER('Inspections'!H63)),MAX($B$3:B62)+1,"")</f>
        <v/>
      </c>
      <c r="E63">
        <f>IFERROR(MATCH(60,$B$4:$B$503,0),"")</f>
        <v/>
      </c>
      <c r="H63">
        <f>IF(AND(ISNUMBER('Drill log'!A63),ISNUMBER('Drill log'!N63),ISNUMBER('Drill schedule'!$D$4)),IF(YEAR('Drill log'!A63)='Drill schedule'!$D$4,'Drill log'!N63,""),"")</f>
        <v/>
      </c>
    </row>
    <row r="64">
      <c r="A64">
        <f>IF(AND(LEN('Inspections'!A64)&gt;0,ISNUMBER('Inspections'!H64)),'Inspections'!H64+61/100000,"")</f>
        <v/>
      </c>
      <c r="B64">
        <f>IF(AND(LEN('Inspections'!A64)&gt;0,ISNUMBER('Inspections'!H64)),MAX($B$3:B63)+1,"")</f>
        <v/>
      </c>
      <c r="E64">
        <f>IFERROR(MATCH(61,$B$4:$B$503,0),"")</f>
        <v/>
      </c>
      <c r="H64">
        <f>IF(AND(ISNUMBER('Drill log'!A64),ISNUMBER('Drill log'!N64),ISNUMBER('Drill schedule'!$D$4)),IF(YEAR('Drill log'!A64)='Drill schedule'!$D$4,'Drill log'!N64,""),"")</f>
        <v/>
      </c>
    </row>
    <row r="65">
      <c r="A65">
        <f>IF(AND(LEN('Inspections'!A65)&gt;0,ISNUMBER('Inspections'!H65)),'Inspections'!H65+62/100000,"")</f>
        <v/>
      </c>
      <c r="B65">
        <f>IF(AND(LEN('Inspections'!A65)&gt;0,ISNUMBER('Inspections'!H65)),MAX($B$3:B64)+1,"")</f>
        <v/>
      </c>
      <c r="E65">
        <f>IFERROR(MATCH(62,$B$4:$B$503,0),"")</f>
        <v/>
      </c>
      <c r="H65">
        <f>IF(AND(ISNUMBER('Drill log'!A65),ISNUMBER('Drill log'!N65),ISNUMBER('Drill schedule'!$D$4)),IF(YEAR('Drill log'!A65)='Drill schedule'!$D$4,'Drill log'!N65,""),"")</f>
        <v/>
      </c>
    </row>
    <row r="66">
      <c r="A66">
        <f>IF(AND(LEN('Inspections'!A66)&gt;0,ISNUMBER('Inspections'!H66)),'Inspections'!H66+63/100000,"")</f>
        <v/>
      </c>
      <c r="B66">
        <f>IF(AND(LEN('Inspections'!A66)&gt;0,ISNUMBER('Inspections'!H66)),MAX($B$3:B65)+1,"")</f>
        <v/>
      </c>
      <c r="E66">
        <f>IFERROR(MATCH(63,$B$4:$B$503,0),"")</f>
        <v/>
      </c>
      <c r="H66">
        <f>IF(AND(ISNUMBER('Drill log'!A66),ISNUMBER('Drill log'!N66),ISNUMBER('Drill schedule'!$D$4)),IF(YEAR('Drill log'!A66)='Drill schedule'!$D$4,'Drill log'!N66,""),"")</f>
        <v/>
      </c>
    </row>
    <row r="67">
      <c r="A67">
        <f>IF(AND(LEN('Inspections'!A67)&gt;0,ISNUMBER('Inspections'!H67)),'Inspections'!H67+64/100000,"")</f>
        <v/>
      </c>
      <c r="B67">
        <f>IF(AND(LEN('Inspections'!A67)&gt;0,ISNUMBER('Inspections'!H67)),MAX($B$3:B66)+1,"")</f>
        <v/>
      </c>
      <c r="E67">
        <f>IFERROR(MATCH(64,$B$4:$B$503,0),"")</f>
        <v/>
      </c>
      <c r="H67">
        <f>IF(AND(ISNUMBER('Drill log'!A67),ISNUMBER('Drill log'!N67),ISNUMBER('Drill schedule'!$D$4)),IF(YEAR('Drill log'!A67)='Drill schedule'!$D$4,'Drill log'!N67,""),"")</f>
        <v/>
      </c>
    </row>
    <row r="68">
      <c r="A68">
        <f>IF(AND(LEN('Inspections'!A68)&gt;0,ISNUMBER('Inspections'!H68)),'Inspections'!H68+65/100000,"")</f>
        <v/>
      </c>
      <c r="B68">
        <f>IF(AND(LEN('Inspections'!A68)&gt;0,ISNUMBER('Inspections'!H68)),MAX($B$3:B67)+1,"")</f>
        <v/>
      </c>
      <c r="E68">
        <f>IFERROR(MATCH(65,$B$4:$B$503,0),"")</f>
        <v/>
      </c>
      <c r="H68">
        <f>IF(AND(ISNUMBER('Drill log'!A68),ISNUMBER('Drill log'!N68),ISNUMBER('Drill schedule'!$D$4)),IF(YEAR('Drill log'!A68)='Drill schedule'!$D$4,'Drill log'!N68,""),"")</f>
        <v/>
      </c>
    </row>
    <row r="69">
      <c r="A69">
        <f>IF(AND(LEN('Inspections'!A69)&gt;0,ISNUMBER('Inspections'!H69)),'Inspections'!H69+66/100000,"")</f>
        <v/>
      </c>
      <c r="B69">
        <f>IF(AND(LEN('Inspections'!A69)&gt;0,ISNUMBER('Inspections'!H69)),MAX($B$3:B68)+1,"")</f>
        <v/>
      </c>
      <c r="E69">
        <f>IFERROR(MATCH(66,$B$4:$B$503,0),"")</f>
        <v/>
      </c>
      <c r="H69">
        <f>IF(AND(ISNUMBER('Drill log'!A69),ISNUMBER('Drill log'!N69),ISNUMBER('Drill schedule'!$D$4)),IF(YEAR('Drill log'!A69)='Drill schedule'!$D$4,'Drill log'!N69,""),"")</f>
        <v/>
      </c>
    </row>
    <row r="70">
      <c r="A70">
        <f>IF(AND(LEN('Inspections'!A70)&gt;0,ISNUMBER('Inspections'!H70)),'Inspections'!H70+67/100000,"")</f>
        <v/>
      </c>
      <c r="B70">
        <f>IF(AND(LEN('Inspections'!A70)&gt;0,ISNUMBER('Inspections'!H70)),MAX($B$3:B69)+1,"")</f>
        <v/>
      </c>
      <c r="E70">
        <f>IFERROR(MATCH(67,$B$4:$B$503,0),"")</f>
        <v/>
      </c>
      <c r="H70">
        <f>IF(AND(ISNUMBER('Drill log'!A70),ISNUMBER('Drill log'!N70),ISNUMBER('Drill schedule'!$D$4)),IF(YEAR('Drill log'!A70)='Drill schedule'!$D$4,'Drill log'!N70,""),"")</f>
        <v/>
      </c>
    </row>
    <row r="71">
      <c r="A71">
        <f>IF(AND(LEN('Inspections'!A71)&gt;0,ISNUMBER('Inspections'!H71)),'Inspections'!H71+68/100000,"")</f>
        <v/>
      </c>
      <c r="B71">
        <f>IF(AND(LEN('Inspections'!A71)&gt;0,ISNUMBER('Inspections'!H71)),MAX($B$3:B70)+1,"")</f>
        <v/>
      </c>
      <c r="E71">
        <f>IFERROR(MATCH(68,$B$4:$B$503,0),"")</f>
        <v/>
      </c>
      <c r="H71">
        <f>IF(AND(ISNUMBER('Drill log'!A71),ISNUMBER('Drill log'!N71),ISNUMBER('Drill schedule'!$D$4)),IF(YEAR('Drill log'!A71)='Drill schedule'!$D$4,'Drill log'!N71,""),"")</f>
        <v/>
      </c>
    </row>
    <row r="72">
      <c r="A72">
        <f>IF(AND(LEN('Inspections'!A72)&gt;0,ISNUMBER('Inspections'!H72)),'Inspections'!H72+69/100000,"")</f>
        <v/>
      </c>
      <c r="B72">
        <f>IF(AND(LEN('Inspections'!A72)&gt;0,ISNUMBER('Inspections'!H72)),MAX($B$3:B71)+1,"")</f>
        <v/>
      </c>
      <c r="E72">
        <f>IFERROR(MATCH(69,$B$4:$B$503,0),"")</f>
        <v/>
      </c>
      <c r="H72">
        <f>IF(AND(ISNUMBER('Drill log'!A72),ISNUMBER('Drill log'!N72),ISNUMBER('Drill schedule'!$D$4)),IF(YEAR('Drill log'!A72)='Drill schedule'!$D$4,'Drill log'!N72,""),"")</f>
        <v/>
      </c>
    </row>
    <row r="73">
      <c r="A73">
        <f>IF(AND(LEN('Inspections'!A73)&gt;0,ISNUMBER('Inspections'!H73)),'Inspections'!H73+70/100000,"")</f>
        <v/>
      </c>
      <c r="B73">
        <f>IF(AND(LEN('Inspections'!A73)&gt;0,ISNUMBER('Inspections'!H73)),MAX($B$3:B72)+1,"")</f>
        <v/>
      </c>
      <c r="E73">
        <f>IFERROR(MATCH(70,$B$4:$B$503,0),"")</f>
        <v/>
      </c>
      <c r="H73">
        <f>IF(AND(ISNUMBER('Drill log'!A73),ISNUMBER('Drill log'!N73),ISNUMBER('Drill schedule'!$D$4)),IF(YEAR('Drill log'!A73)='Drill schedule'!$D$4,'Drill log'!N73,""),"")</f>
        <v/>
      </c>
    </row>
    <row r="74">
      <c r="A74">
        <f>IF(AND(LEN('Inspections'!A74)&gt;0,ISNUMBER('Inspections'!H74)),'Inspections'!H74+71/100000,"")</f>
        <v/>
      </c>
      <c r="B74">
        <f>IF(AND(LEN('Inspections'!A74)&gt;0,ISNUMBER('Inspections'!H74)),MAX($B$3:B73)+1,"")</f>
        <v/>
      </c>
      <c r="E74">
        <f>IFERROR(MATCH(71,$B$4:$B$503,0),"")</f>
        <v/>
      </c>
      <c r="H74">
        <f>IF(AND(ISNUMBER('Drill log'!A74),ISNUMBER('Drill log'!N74),ISNUMBER('Drill schedule'!$D$4)),IF(YEAR('Drill log'!A74)='Drill schedule'!$D$4,'Drill log'!N74,""),"")</f>
        <v/>
      </c>
    </row>
    <row r="75">
      <c r="A75">
        <f>IF(AND(LEN('Inspections'!A75)&gt;0,ISNUMBER('Inspections'!H75)),'Inspections'!H75+72/100000,"")</f>
        <v/>
      </c>
      <c r="B75">
        <f>IF(AND(LEN('Inspections'!A75)&gt;0,ISNUMBER('Inspections'!H75)),MAX($B$3:B74)+1,"")</f>
        <v/>
      </c>
      <c r="E75">
        <f>IFERROR(MATCH(72,$B$4:$B$503,0),"")</f>
        <v/>
      </c>
      <c r="H75">
        <f>IF(AND(ISNUMBER('Drill log'!A75),ISNUMBER('Drill log'!N75),ISNUMBER('Drill schedule'!$D$4)),IF(YEAR('Drill log'!A75)='Drill schedule'!$D$4,'Drill log'!N75,""),"")</f>
        <v/>
      </c>
    </row>
    <row r="76">
      <c r="A76">
        <f>IF(AND(LEN('Inspections'!A76)&gt;0,ISNUMBER('Inspections'!H76)),'Inspections'!H76+73/100000,"")</f>
        <v/>
      </c>
      <c r="B76">
        <f>IF(AND(LEN('Inspections'!A76)&gt;0,ISNUMBER('Inspections'!H76)),MAX($B$3:B75)+1,"")</f>
        <v/>
      </c>
      <c r="E76">
        <f>IFERROR(MATCH(73,$B$4:$B$503,0),"")</f>
        <v/>
      </c>
      <c r="H76">
        <f>IF(AND(ISNUMBER('Drill log'!A76),ISNUMBER('Drill log'!N76),ISNUMBER('Drill schedule'!$D$4)),IF(YEAR('Drill log'!A76)='Drill schedule'!$D$4,'Drill log'!N76,""),"")</f>
        <v/>
      </c>
    </row>
    <row r="77">
      <c r="A77">
        <f>IF(AND(LEN('Inspections'!A77)&gt;0,ISNUMBER('Inspections'!H77)),'Inspections'!H77+74/100000,"")</f>
        <v/>
      </c>
      <c r="B77">
        <f>IF(AND(LEN('Inspections'!A77)&gt;0,ISNUMBER('Inspections'!H77)),MAX($B$3:B76)+1,"")</f>
        <v/>
      </c>
      <c r="E77">
        <f>IFERROR(MATCH(74,$B$4:$B$503,0),"")</f>
        <v/>
      </c>
      <c r="H77">
        <f>IF(AND(ISNUMBER('Drill log'!A77),ISNUMBER('Drill log'!N77),ISNUMBER('Drill schedule'!$D$4)),IF(YEAR('Drill log'!A77)='Drill schedule'!$D$4,'Drill log'!N77,""),"")</f>
        <v/>
      </c>
    </row>
    <row r="78">
      <c r="A78">
        <f>IF(AND(LEN('Inspections'!A78)&gt;0,ISNUMBER('Inspections'!H78)),'Inspections'!H78+75/100000,"")</f>
        <v/>
      </c>
      <c r="B78">
        <f>IF(AND(LEN('Inspections'!A78)&gt;0,ISNUMBER('Inspections'!H78)),MAX($B$3:B77)+1,"")</f>
        <v/>
      </c>
      <c r="E78">
        <f>IFERROR(MATCH(75,$B$4:$B$503,0),"")</f>
        <v/>
      </c>
      <c r="H78">
        <f>IF(AND(ISNUMBER('Drill log'!A78),ISNUMBER('Drill log'!N78),ISNUMBER('Drill schedule'!$D$4)),IF(YEAR('Drill log'!A78)='Drill schedule'!$D$4,'Drill log'!N78,""),"")</f>
        <v/>
      </c>
    </row>
    <row r="79">
      <c r="A79">
        <f>IF(AND(LEN('Inspections'!A79)&gt;0,ISNUMBER('Inspections'!H79)),'Inspections'!H79+76/100000,"")</f>
        <v/>
      </c>
      <c r="B79">
        <f>IF(AND(LEN('Inspections'!A79)&gt;0,ISNUMBER('Inspections'!H79)),MAX($B$3:B78)+1,"")</f>
        <v/>
      </c>
      <c r="E79">
        <f>IFERROR(MATCH(76,$B$4:$B$503,0),"")</f>
        <v/>
      </c>
      <c r="H79">
        <f>IF(AND(ISNUMBER('Drill log'!A79),ISNUMBER('Drill log'!N79),ISNUMBER('Drill schedule'!$D$4)),IF(YEAR('Drill log'!A79)='Drill schedule'!$D$4,'Drill log'!N79,""),"")</f>
        <v/>
      </c>
    </row>
    <row r="80">
      <c r="A80">
        <f>IF(AND(LEN('Inspections'!A80)&gt;0,ISNUMBER('Inspections'!H80)),'Inspections'!H80+77/100000,"")</f>
        <v/>
      </c>
      <c r="B80">
        <f>IF(AND(LEN('Inspections'!A80)&gt;0,ISNUMBER('Inspections'!H80)),MAX($B$3:B79)+1,"")</f>
        <v/>
      </c>
      <c r="E80">
        <f>IFERROR(MATCH(77,$B$4:$B$503,0),"")</f>
        <v/>
      </c>
      <c r="H80">
        <f>IF(AND(ISNUMBER('Drill log'!A80),ISNUMBER('Drill log'!N80),ISNUMBER('Drill schedule'!$D$4)),IF(YEAR('Drill log'!A80)='Drill schedule'!$D$4,'Drill log'!N80,""),"")</f>
        <v/>
      </c>
    </row>
    <row r="81">
      <c r="A81">
        <f>IF(AND(LEN('Inspections'!A81)&gt;0,ISNUMBER('Inspections'!H81)),'Inspections'!H81+78/100000,"")</f>
        <v/>
      </c>
      <c r="B81">
        <f>IF(AND(LEN('Inspections'!A81)&gt;0,ISNUMBER('Inspections'!H81)),MAX($B$3:B80)+1,"")</f>
        <v/>
      </c>
      <c r="E81">
        <f>IFERROR(MATCH(78,$B$4:$B$503,0),"")</f>
        <v/>
      </c>
      <c r="H81">
        <f>IF(AND(ISNUMBER('Drill log'!A81),ISNUMBER('Drill log'!N81),ISNUMBER('Drill schedule'!$D$4)),IF(YEAR('Drill log'!A81)='Drill schedule'!$D$4,'Drill log'!N81,""),"")</f>
        <v/>
      </c>
    </row>
    <row r="82">
      <c r="A82">
        <f>IF(AND(LEN('Inspections'!A82)&gt;0,ISNUMBER('Inspections'!H82)),'Inspections'!H82+79/100000,"")</f>
        <v/>
      </c>
      <c r="B82">
        <f>IF(AND(LEN('Inspections'!A82)&gt;0,ISNUMBER('Inspections'!H82)),MAX($B$3:B81)+1,"")</f>
        <v/>
      </c>
      <c r="E82">
        <f>IFERROR(MATCH(79,$B$4:$B$503,0),"")</f>
        <v/>
      </c>
      <c r="H82">
        <f>IF(AND(ISNUMBER('Drill log'!A82),ISNUMBER('Drill log'!N82),ISNUMBER('Drill schedule'!$D$4)),IF(YEAR('Drill log'!A82)='Drill schedule'!$D$4,'Drill log'!N82,""),"")</f>
        <v/>
      </c>
    </row>
    <row r="83">
      <c r="A83">
        <f>IF(AND(LEN('Inspections'!A83)&gt;0,ISNUMBER('Inspections'!H83)),'Inspections'!H83+80/100000,"")</f>
        <v/>
      </c>
      <c r="B83">
        <f>IF(AND(LEN('Inspections'!A83)&gt;0,ISNUMBER('Inspections'!H83)),MAX($B$3:B82)+1,"")</f>
        <v/>
      </c>
      <c r="E83">
        <f>IFERROR(MATCH(80,$B$4:$B$503,0),"")</f>
        <v/>
      </c>
      <c r="H83">
        <f>IF(AND(ISNUMBER('Drill log'!A83),ISNUMBER('Drill log'!N83),ISNUMBER('Drill schedule'!$D$4)),IF(YEAR('Drill log'!A83)='Drill schedule'!$D$4,'Drill log'!N83,""),"")</f>
        <v/>
      </c>
    </row>
    <row r="84">
      <c r="A84">
        <f>IF(AND(LEN('Inspections'!A84)&gt;0,ISNUMBER('Inspections'!H84)),'Inspections'!H84+81/100000,"")</f>
        <v/>
      </c>
      <c r="B84">
        <f>IF(AND(LEN('Inspections'!A84)&gt;0,ISNUMBER('Inspections'!H84)),MAX($B$3:B83)+1,"")</f>
        <v/>
      </c>
      <c r="E84">
        <f>IFERROR(MATCH(81,$B$4:$B$503,0),"")</f>
        <v/>
      </c>
      <c r="H84">
        <f>IF(AND(ISNUMBER('Drill log'!A84),ISNUMBER('Drill log'!N84),ISNUMBER('Drill schedule'!$D$4)),IF(YEAR('Drill log'!A84)='Drill schedule'!$D$4,'Drill log'!N84,""),"")</f>
        <v/>
      </c>
    </row>
    <row r="85">
      <c r="A85">
        <f>IF(AND(LEN('Inspections'!A85)&gt;0,ISNUMBER('Inspections'!H85)),'Inspections'!H85+82/100000,"")</f>
        <v/>
      </c>
      <c r="B85">
        <f>IF(AND(LEN('Inspections'!A85)&gt;0,ISNUMBER('Inspections'!H85)),MAX($B$3:B84)+1,"")</f>
        <v/>
      </c>
      <c r="E85">
        <f>IFERROR(MATCH(82,$B$4:$B$503,0),"")</f>
        <v/>
      </c>
      <c r="H85">
        <f>IF(AND(ISNUMBER('Drill log'!A85),ISNUMBER('Drill log'!N85),ISNUMBER('Drill schedule'!$D$4)),IF(YEAR('Drill log'!A85)='Drill schedule'!$D$4,'Drill log'!N85,""),"")</f>
        <v/>
      </c>
    </row>
    <row r="86">
      <c r="A86">
        <f>IF(AND(LEN('Inspections'!A86)&gt;0,ISNUMBER('Inspections'!H86)),'Inspections'!H86+83/100000,"")</f>
        <v/>
      </c>
      <c r="B86">
        <f>IF(AND(LEN('Inspections'!A86)&gt;0,ISNUMBER('Inspections'!H86)),MAX($B$3:B85)+1,"")</f>
        <v/>
      </c>
      <c r="E86">
        <f>IFERROR(MATCH(83,$B$4:$B$503,0),"")</f>
        <v/>
      </c>
      <c r="H86">
        <f>IF(AND(ISNUMBER('Drill log'!A86),ISNUMBER('Drill log'!N86),ISNUMBER('Drill schedule'!$D$4)),IF(YEAR('Drill log'!A86)='Drill schedule'!$D$4,'Drill log'!N86,""),"")</f>
        <v/>
      </c>
    </row>
    <row r="87">
      <c r="A87">
        <f>IF(AND(LEN('Inspections'!A87)&gt;0,ISNUMBER('Inspections'!H87)),'Inspections'!H87+84/100000,"")</f>
        <v/>
      </c>
      <c r="B87">
        <f>IF(AND(LEN('Inspections'!A87)&gt;0,ISNUMBER('Inspections'!H87)),MAX($B$3:B86)+1,"")</f>
        <v/>
      </c>
      <c r="E87">
        <f>IFERROR(MATCH(84,$B$4:$B$503,0),"")</f>
        <v/>
      </c>
      <c r="H87">
        <f>IF(AND(ISNUMBER('Drill log'!A87),ISNUMBER('Drill log'!N87),ISNUMBER('Drill schedule'!$D$4)),IF(YEAR('Drill log'!A87)='Drill schedule'!$D$4,'Drill log'!N87,""),"")</f>
        <v/>
      </c>
    </row>
    <row r="88">
      <c r="A88">
        <f>IF(AND(LEN('Inspections'!A88)&gt;0,ISNUMBER('Inspections'!H88)),'Inspections'!H88+85/100000,"")</f>
        <v/>
      </c>
      <c r="B88">
        <f>IF(AND(LEN('Inspections'!A88)&gt;0,ISNUMBER('Inspections'!H88)),MAX($B$3:B87)+1,"")</f>
        <v/>
      </c>
      <c r="E88">
        <f>IFERROR(MATCH(85,$B$4:$B$503,0),"")</f>
        <v/>
      </c>
      <c r="H88">
        <f>IF(AND(ISNUMBER('Drill log'!A88),ISNUMBER('Drill log'!N88),ISNUMBER('Drill schedule'!$D$4)),IF(YEAR('Drill log'!A88)='Drill schedule'!$D$4,'Drill log'!N88,""),"")</f>
        <v/>
      </c>
    </row>
    <row r="89">
      <c r="A89">
        <f>IF(AND(LEN('Inspections'!A89)&gt;0,ISNUMBER('Inspections'!H89)),'Inspections'!H89+86/100000,"")</f>
        <v/>
      </c>
      <c r="B89">
        <f>IF(AND(LEN('Inspections'!A89)&gt;0,ISNUMBER('Inspections'!H89)),MAX($B$3:B88)+1,"")</f>
        <v/>
      </c>
      <c r="E89">
        <f>IFERROR(MATCH(86,$B$4:$B$503,0),"")</f>
        <v/>
      </c>
      <c r="H89">
        <f>IF(AND(ISNUMBER('Drill log'!A89),ISNUMBER('Drill log'!N89),ISNUMBER('Drill schedule'!$D$4)),IF(YEAR('Drill log'!A89)='Drill schedule'!$D$4,'Drill log'!N89,""),"")</f>
        <v/>
      </c>
    </row>
    <row r="90">
      <c r="A90">
        <f>IF(AND(LEN('Inspections'!A90)&gt;0,ISNUMBER('Inspections'!H90)),'Inspections'!H90+87/100000,"")</f>
        <v/>
      </c>
      <c r="B90">
        <f>IF(AND(LEN('Inspections'!A90)&gt;0,ISNUMBER('Inspections'!H90)),MAX($B$3:B89)+1,"")</f>
        <v/>
      </c>
      <c r="E90">
        <f>IFERROR(MATCH(87,$B$4:$B$503,0),"")</f>
        <v/>
      </c>
      <c r="H90">
        <f>IF(AND(ISNUMBER('Drill log'!A90),ISNUMBER('Drill log'!N90),ISNUMBER('Drill schedule'!$D$4)),IF(YEAR('Drill log'!A90)='Drill schedule'!$D$4,'Drill log'!N90,""),"")</f>
        <v/>
      </c>
    </row>
    <row r="91">
      <c r="A91">
        <f>IF(AND(LEN('Inspections'!A91)&gt;0,ISNUMBER('Inspections'!H91)),'Inspections'!H91+88/100000,"")</f>
        <v/>
      </c>
      <c r="B91">
        <f>IF(AND(LEN('Inspections'!A91)&gt;0,ISNUMBER('Inspections'!H91)),MAX($B$3:B90)+1,"")</f>
        <v/>
      </c>
      <c r="E91">
        <f>IFERROR(MATCH(88,$B$4:$B$503,0),"")</f>
        <v/>
      </c>
      <c r="H91">
        <f>IF(AND(ISNUMBER('Drill log'!A91),ISNUMBER('Drill log'!N91),ISNUMBER('Drill schedule'!$D$4)),IF(YEAR('Drill log'!A91)='Drill schedule'!$D$4,'Drill log'!N91,""),"")</f>
        <v/>
      </c>
    </row>
    <row r="92">
      <c r="A92">
        <f>IF(AND(LEN('Inspections'!A92)&gt;0,ISNUMBER('Inspections'!H92)),'Inspections'!H92+89/100000,"")</f>
        <v/>
      </c>
      <c r="B92">
        <f>IF(AND(LEN('Inspections'!A92)&gt;0,ISNUMBER('Inspections'!H92)),MAX($B$3:B91)+1,"")</f>
        <v/>
      </c>
      <c r="E92">
        <f>IFERROR(MATCH(89,$B$4:$B$503,0),"")</f>
        <v/>
      </c>
      <c r="H92">
        <f>IF(AND(ISNUMBER('Drill log'!A92),ISNUMBER('Drill log'!N92),ISNUMBER('Drill schedule'!$D$4)),IF(YEAR('Drill log'!A92)='Drill schedule'!$D$4,'Drill log'!N92,""),"")</f>
        <v/>
      </c>
    </row>
    <row r="93">
      <c r="A93">
        <f>IF(AND(LEN('Inspections'!A93)&gt;0,ISNUMBER('Inspections'!H93)),'Inspections'!H93+90/100000,"")</f>
        <v/>
      </c>
      <c r="B93">
        <f>IF(AND(LEN('Inspections'!A93)&gt;0,ISNUMBER('Inspections'!H93)),MAX($B$3:B92)+1,"")</f>
        <v/>
      </c>
      <c r="E93">
        <f>IFERROR(MATCH(90,$B$4:$B$503,0),"")</f>
        <v/>
      </c>
      <c r="H93">
        <f>IF(AND(ISNUMBER('Drill log'!A93),ISNUMBER('Drill log'!N93),ISNUMBER('Drill schedule'!$D$4)),IF(YEAR('Drill log'!A93)='Drill schedule'!$D$4,'Drill log'!N93,""),"")</f>
        <v/>
      </c>
    </row>
    <row r="94">
      <c r="A94">
        <f>IF(AND(LEN('Inspections'!A94)&gt;0,ISNUMBER('Inspections'!H94)),'Inspections'!H94+91/100000,"")</f>
        <v/>
      </c>
      <c r="B94">
        <f>IF(AND(LEN('Inspections'!A94)&gt;0,ISNUMBER('Inspections'!H94)),MAX($B$3:B93)+1,"")</f>
        <v/>
      </c>
      <c r="E94">
        <f>IFERROR(MATCH(91,$B$4:$B$503,0),"")</f>
        <v/>
      </c>
      <c r="H94">
        <f>IF(AND(ISNUMBER('Drill log'!A94),ISNUMBER('Drill log'!N94),ISNUMBER('Drill schedule'!$D$4)),IF(YEAR('Drill log'!A94)='Drill schedule'!$D$4,'Drill log'!N94,""),"")</f>
        <v/>
      </c>
    </row>
    <row r="95">
      <c r="A95">
        <f>IF(AND(LEN('Inspections'!A95)&gt;0,ISNUMBER('Inspections'!H95)),'Inspections'!H95+92/100000,"")</f>
        <v/>
      </c>
      <c r="B95">
        <f>IF(AND(LEN('Inspections'!A95)&gt;0,ISNUMBER('Inspections'!H95)),MAX($B$3:B94)+1,"")</f>
        <v/>
      </c>
      <c r="E95">
        <f>IFERROR(MATCH(92,$B$4:$B$503,0),"")</f>
        <v/>
      </c>
      <c r="H95">
        <f>IF(AND(ISNUMBER('Drill log'!A95),ISNUMBER('Drill log'!N95),ISNUMBER('Drill schedule'!$D$4)),IF(YEAR('Drill log'!A95)='Drill schedule'!$D$4,'Drill log'!N95,""),"")</f>
        <v/>
      </c>
    </row>
    <row r="96">
      <c r="A96">
        <f>IF(AND(LEN('Inspections'!A96)&gt;0,ISNUMBER('Inspections'!H96)),'Inspections'!H96+93/100000,"")</f>
        <v/>
      </c>
      <c r="B96">
        <f>IF(AND(LEN('Inspections'!A96)&gt;0,ISNUMBER('Inspections'!H96)),MAX($B$3:B95)+1,"")</f>
        <v/>
      </c>
      <c r="E96">
        <f>IFERROR(MATCH(93,$B$4:$B$503,0),"")</f>
        <v/>
      </c>
      <c r="H96">
        <f>IF(AND(ISNUMBER('Drill log'!A96),ISNUMBER('Drill log'!N96),ISNUMBER('Drill schedule'!$D$4)),IF(YEAR('Drill log'!A96)='Drill schedule'!$D$4,'Drill log'!N96,""),"")</f>
        <v/>
      </c>
    </row>
    <row r="97">
      <c r="A97">
        <f>IF(AND(LEN('Inspections'!A97)&gt;0,ISNUMBER('Inspections'!H97)),'Inspections'!H97+94/100000,"")</f>
        <v/>
      </c>
      <c r="B97">
        <f>IF(AND(LEN('Inspections'!A97)&gt;0,ISNUMBER('Inspections'!H97)),MAX($B$3:B96)+1,"")</f>
        <v/>
      </c>
      <c r="E97">
        <f>IFERROR(MATCH(94,$B$4:$B$503,0),"")</f>
        <v/>
      </c>
      <c r="H97">
        <f>IF(AND(ISNUMBER('Drill log'!A97),ISNUMBER('Drill log'!N97),ISNUMBER('Drill schedule'!$D$4)),IF(YEAR('Drill log'!A97)='Drill schedule'!$D$4,'Drill log'!N97,""),"")</f>
        <v/>
      </c>
    </row>
    <row r="98">
      <c r="A98">
        <f>IF(AND(LEN('Inspections'!A98)&gt;0,ISNUMBER('Inspections'!H98)),'Inspections'!H98+95/100000,"")</f>
        <v/>
      </c>
      <c r="B98">
        <f>IF(AND(LEN('Inspections'!A98)&gt;0,ISNUMBER('Inspections'!H98)),MAX($B$3:B97)+1,"")</f>
        <v/>
      </c>
      <c r="E98">
        <f>IFERROR(MATCH(95,$B$4:$B$503,0),"")</f>
        <v/>
      </c>
      <c r="H98">
        <f>IF(AND(ISNUMBER('Drill log'!A98),ISNUMBER('Drill log'!N98),ISNUMBER('Drill schedule'!$D$4)),IF(YEAR('Drill log'!A98)='Drill schedule'!$D$4,'Drill log'!N98,""),"")</f>
        <v/>
      </c>
    </row>
    <row r="99">
      <c r="A99">
        <f>IF(AND(LEN('Inspections'!A99)&gt;0,ISNUMBER('Inspections'!H99)),'Inspections'!H99+96/100000,"")</f>
        <v/>
      </c>
      <c r="B99">
        <f>IF(AND(LEN('Inspections'!A99)&gt;0,ISNUMBER('Inspections'!H99)),MAX($B$3:B98)+1,"")</f>
        <v/>
      </c>
      <c r="E99">
        <f>IFERROR(MATCH(96,$B$4:$B$503,0),"")</f>
        <v/>
      </c>
      <c r="H99">
        <f>IF(AND(ISNUMBER('Drill log'!A99),ISNUMBER('Drill log'!N99),ISNUMBER('Drill schedule'!$D$4)),IF(YEAR('Drill log'!A99)='Drill schedule'!$D$4,'Drill log'!N99,""),"")</f>
        <v/>
      </c>
    </row>
    <row r="100">
      <c r="A100">
        <f>IF(AND(LEN('Inspections'!A100)&gt;0,ISNUMBER('Inspections'!H100)),'Inspections'!H100+97/100000,"")</f>
        <v/>
      </c>
      <c r="B100">
        <f>IF(AND(LEN('Inspections'!A100)&gt;0,ISNUMBER('Inspections'!H100)),MAX($B$3:B99)+1,"")</f>
        <v/>
      </c>
      <c r="E100">
        <f>IFERROR(MATCH(97,$B$4:$B$503,0),"")</f>
        <v/>
      </c>
      <c r="H100">
        <f>IF(AND(ISNUMBER('Drill log'!A100),ISNUMBER('Drill log'!N100),ISNUMBER('Drill schedule'!$D$4)),IF(YEAR('Drill log'!A100)='Drill schedule'!$D$4,'Drill log'!N100,""),"")</f>
        <v/>
      </c>
    </row>
    <row r="101">
      <c r="A101">
        <f>IF(AND(LEN('Inspections'!A101)&gt;0,ISNUMBER('Inspections'!H101)),'Inspections'!H101+98/100000,"")</f>
        <v/>
      </c>
      <c r="B101">
        <f>IF(AND(LEN('Inspections'!A101)&gt;0,ISNUMBER('Inspections'!H101)),MAX($B$3:B100)+1,"")</f>
        <v/>
      </c>
      <c r="E101">
        <f>IFERROR(MATCH(98,$B$4:$B$503,0),"")</f>
        <v/>
      </c>
      <c r="H101">
        <f>IF(AND(ISNUMBER('Drill log'!A101),ISNUMBER('Drill log'!N101),ISNUMBER('Drill schedule'!$D$4)),IF(YEAR('Drill log'!A101)='Drill schedule'!$D$4,'Drill log'!N101,""),"")</f>
        <v/>
      </c>
    </row>
    <row r="102">
      <c r="A102">
        <f>IF(AND(LEN('Inspections'!A102)&gt;0,ISNUMBER('Inspections'!H102)),'Inspections'!H102+99/100000,"")</f>
        <v/>
      </c>
      <c r="B102">
        <f>IF(AND(LEN('Inspections'!A102)&gt;0,ISNUMBER('Inspections'!H102)),MAX($B$3:B101)+1,"")</f>
        <v/>
      </c>
      <c r="E102">
        <f>IFERROR(MATCH(99,$B$4:$B$503,0),"")</f>
        <v/>
      </c>
      <c r="H102">
        <f>IF(AND(ISNUMBER('Drill log'!A102),ISNUMBER('Drill log'!N102),ISNUMBER('Drill schedule'!$D$4)),IF(YEAR('Drill log'!A102)='Drill schedule'!$D$4,'Drill log'!N102,""),"")</f>
        <v/>
      </c>
    </row>
    <row r="103">
      <c r="A103">
        <f>IF(AND(LEN('Inspections'!A103)&gt;0,ISNUMBER('Inspections'!H103)),'Inspections'!H103+100/100000,"")</f>
        <v/>
      </c>
      <c r="B103">
        <f>IF(AND(LEN('Inspections'!A103)&gt;0,ISNUMBER('Inspections'!H103)),MAX($B$3:B102)+1,"")</f>
        <v/>
      </c>
      <c r="E103">
        <f>IFERROR(MATCH(100,$B$4:$B$503,0),"")</f>
        <v/>
      </c>
      <c r="H103">
        <f>IF(AND(ISNUMBER('Drill log'!A103),ISNUMBER('Drill log'!N103),ISNUMBER('Drill schedule'!$D$4)),IF(YEAR('Drill log'!A103)='Drill schedule'!$D$4,'Drill log'!N103,""),"")</f>
        <v/>
      </c>
    </row>
    <row r="104">
      <c r="A104">
        <f>IF(AND(LEN('Inspections'!A104)&gt;0,ISNUMBER('Inspections'!H104)),'Inspections'!H104+101/100000,"")</f>
        <v/>
      </c>
      <c r="B104">
        <f>IF(AND(LEN('Inspections'!A104)&gt;0,ISNUMBER('Inspections'!H104)),MAX($B$3:B103)+1,"")</f>
        <v/>
      </c>
      <c r="E104">
        <f>IFERROR(MATCH(101,$B$4:$B$503,0),"")</f>
        <v/>
      </c>
      <c r="H104">
        <f>IF(AND(ISNUMBER('Drill log'!A104),ISNUMBER('Drill log'!N104),ISNUMBER('Drill schedule'!$D$4)),IF(YEAR('Drill log'!A104)='Drill schedule'!$D$4,'Drill log'!N104,""),"")</f>
        <v/>
      </c>
    </row>
    <row r="105">
      <c r="A105">
        <f>IF(AND(LEN('Inspections'!A105)&gt;0,ISNUMBER('Inspections'!H105)),'Inspections'!H105+102/100000,"")</f>
        <v/>
      </c>
      <c r="B105">
        <f>IF(AND(LEN('Inspections'!A105)&gt;0,ISNUMBER('Inspections'!H105)),MAX($B$3:B104)+1,"")</f>
        <v/>
      </c>
      <c r="E105">
        <f>IFERROR(MATCH(102,$B$4:$B$503,0),"")</f>
        <v/>
      </c>
      <c r="H105">
        <f>IF(AND(ISNUMBER('Drill log'!A105),ISNUMBER('Drill log'!N105),ISNUMBER('Drill schedule'!$D$4)),IF(YEAR('Drill log'!A105)='Drill schedule'!$D$4,'Drill log'!N105,""),"")</f>
        <v/>
      </c>
    </row>
    <row r="106">
      <c r="A106">
        <f>IF(AND(LEN('Inspections'!A106)&gt;0,ISNUMBER('Inspections'!H106)),'Inspections'!H106+103/100000,"")</f>
        <v/>
      </c>
      <c r="B106">
        <f>IF(AND(LEN('Inspections'!A106)&gt;0,ISNUMBER('Inspections'!H106)),MAX($B$3:B105)+1,"")</f>
        <v/>
      </c>
      <c r="E106">
        <f>IFERROR(MATCH(103,$B$4:$B$503,0),"")</f>
        <v/>
      </c>
      <c r="H106">
        <f>IF(AND(ISNUMBER('Drill log'!A106),ISNUMBER('Drill log'!N106),ISNUMBER('Drill schedule'!$D$4)),IF(YEAR('Drill log'!A106)='Drill schedule'!$D$4,'Drill log'!N106,""),"")</f>
        <v/>
      </c>
    </row>
    <row r="107">
      <c r="A107">
        <f>IF(AND(LEN('Inspections'!A107)&gt;0,ISNUMBER('Inspections'!H107)),'Inspections'!H107+104/100000,"")</f>
        <v/>
      </c>
      <c r="B107">
        <f>IF(AND(LEN('Inspections'!A107)&gt;0,ISNUMBER('Inspections'!H107)),MAX($B$3:B106)+1,"")</f>
        <v/>
      </c>
      <c r="E107">
        <f>IFERROR(MATCH(104,$B$4:$B$503,0),"")</f>
        <v/>
      </c>
      <c r="H107">
        <f>IF(AND(ISNUMBER('Drill log'!A107),ISNUMBER('Drill log'!N107),ISNUMBER('Drill schedule'!$D$4)),IF(YEAR('Drill log'!A107)='Drill schedule'!$D$4,'Drill log'!N107,""),"")</f>
        <v/>
      </c>
    </row>
    <row r="108">
      <c r="A108">
        <f>IF(AND(LEN('Inspections'!A108)&gt;0,ISNUMBER('Inspections'!H108)),'Inspections'!H108+105/100000,"")</f>
        <v/>
      </c>
      <c r="B108">
        <f>IF(AND(LEN('Inspections'!A108)&gt;0,ISNUMBER('Inspections'!H108)),MAX($B$3:B107)+1,"")</f>
        <v/>
      </c>
      <c r="E108">
        <f>IFERROR(MATCH(105,$B$4:$B$503,0),"")</f>
        <v/>
      </c>
      <c r="H108">
        <f>IF(AND(ISNUMBER('Drill log'!A108),ISNUMBER('Drill log'!N108),ISNUMBER('Drill schedule'!$D$4)),IF(YEAR('Drill log'!A108)='Drill schedule'!$D$4,'Drill log'!N108,""),"")</f>
        <v/>
      </c>
    </row>
    <row r="109">
      <c r="A109">
        <f>IF(AND(LEN('Inspections'!A109)&gt;0,ISNUMBER('Inspections'!H109)),'Inspections'!H109+106/100000,"")</f>
        <v/>
      </c>
      <c r="B109">
        <f>IF(AND(LEN('Inspections'!A109)&gt;0,ISNUMBER('Inspections'!H109)),MAX($B$3:B108)+1,"")</f>
        <v/>
      </c>
      <c r="E109">
        <f>IFERROR(MATCH(106,$B$4:$B$503,0),"")</f>
        <v/>
      </c>
      <c r="H109">
        <f>IF(AND(ISNUMBER('Drill log'!A109),ISNUMBER('Drill log'!N109),ISNUMBER('Drill schedule'!$D$4)),IF(YEAR('Drill log'!A109)='Drill schedule'!$D$4,'Drill log'!N109,""),"")</f>
        <v/>
      </c>
    </row>
    <row r="110">
      <c r="A110">
        <f>IF(AND(LEN('Inspections'!A110)&gt;0,ISNUMBER('Inspections'!H110)),'Inspections'!H110+107/100000,"")</f>
        <v/>
      </c>
      <c r="B110">
        <f>IF(AND(LEN('Inspections'!A110)&gt;0,ISNUMBER('Inspections'!H110)),MAX($B$3:B109)+1,"")</f>
        <v/>
      </c>
      <c r="E110">
        <f>IFERROR(MATCH(107,$B$4:$B$503,0),"")</f>
        <v/>
      </c>
      <c r="H110">
        <f>IF(AND(ISNUMBER('Drill log'!A110),ISNUMBER('Drill log'!N110),ISNUMBER('Drill schedule'!$D$4)),IF(YEAR('Drill log'!A110)='Drill schedule'!$D$4,'Drill log'!N110,""),"")</f>
        <v/>
      </c>
    </row>
    <row r="111">
      <c r="A111">
        <f>IF(AND(LEN('Inspections'!A111)&gt;0,ISNUMBER('Inspections'!H111)),'Inspections'!H111+108/100000,"")</f>
        <v/>
      </c>
      <c r="B111">
        <f>IF(AND(LEN('Inspections'!A111)&gt;0,ISNUMBER('Inspections'!H111)),MAX($B$3:B110)+1,"")</f>
        <v/>
      </c>
      <c r="E111">
        <f>IFERROR(MATCH(108,$B$4:$B$503,0),"")</f>
        <v/>
      </c>
      <c r="H111">
        <f>IF(AND(ISNUMBER('Drill log'!A111),ISNUMBER('Drill log'!N111),ISNUMBER('Drill schedule'!$D$4)),IF(YEAR('Drill log'!A111)='Drill schedule'!$D$4,'Drill log'!N111,""),"")</f>
        <v/>
      </c>
    </row>
    <row r="112">
      <c r="A112">
        <f>IF(AND(LEN('Inspections'!A112)&gt;0,ISNUMBER('Inspections'!H112)),'Inspections'!H112+109/100000,"")</f>
        <v/>
      </c>
      <c r="B112">
        <f>IF(AND(LEN('Inspections'!A112)&gt;0,ISNUMBER('Inspections'!H112)),MAX($B$3:B111)+1,"")</f>
        <v/>
      </c>
      <c r="E112">
        <f>IFERROR(MATCH(109,$B$4:$B$503,0),"")</f>
        <v/>
      </c>
      <c r="H112">
        <f>IF(AND(ISNUMBER('Drill log'!A112),ISNUMBER('Drill log'!N112),ISNUMBER('Drill schedule'!$D$4)),IF(YEAR('Drill log'!A112)='Drill schedule'!$D$4,'Drill log'!N112,""),"")</f>
        <v/>
      </c>
    </row>
    <row r="113">
      <c r="A113">
        <f>IF(AND(LEN('Inspections'!A113)&gt;0,ISNUMBER('Inspections'!H113)),'Inspections'!H113+110/100000,"")</f>
        <v/>
      </c>
      <c r="B113">
        <f>IF(AND(LEN('Inspections'!A113)&gt;0,ISNUMBER('Inspections'!H113)),MAX($B$3:B112)+1,"")</f>
        <v/>
      </c>
      <c r="E113">
        <f>IFERROR(MATCH(110,$B$4:$B$503,0),"")</f>
        <v/>
      </c>
      <c r="H113">
        <f>IF(AND(ISNUMBER('Drill log'!A113),ISNUMBER('Drill log'!N113),ISNUMBER('Drill schedule'!$D$4)),IF(YEAR('Drill log'!A113)='Drill schedule'!$D$4,'Drill log'!N113,""),"")</f>
        <v/>
      </c>
    </row>
    <row r="114">
      <c r="A114">
        <f>IF(AND(LEN('Inspections'!A114)&gt;0,ISNUMBER('Inspections'!H114)),'Inspections'!H114+111/100000,"")</f>
        <v/>
      </c>
      <c r="B114">
        <f>IF(AND(LEN('Inspections'!A114)&gt;0,ISNUMBER('Inspections'!H114)),MAX($B$3:B113)+1,"")</f>
        <v/>
      </c>
      <c r="E114">
        <f>IFERROR(MATCH(111,$B$4:$B$503,0),"")</f>
        <v/>
      </c>
      <c r="H114">
        <f>IF(AND(ISNUMBER('Drill log'!A114),ISNUMBER('Drill log'!N114),ISNUMBER('Drill schedule'!$D$4)),IF(YEAR('Drill log'!A114)='Drill schedule'!$D$4,'Drill log'!N114,""),"")</f>
        <v/>
      </c>
    </row>
    <row r="115">
      <c r="A115">
        <f>IF(AND(LEN('Inspections'!A115)&gt;0,ISNUMBER('Inspections'!H115)),'Inspections'!H115+112/100000,"")</f>
        <v/>
      </c>
      <c r="B115">
        <f>IF(AND(LEN('Inspections'!A115)&gt;0,ISNUMBER('Inspections'!H115)),MAX($B$3:B114)+1,"")</f>
        <v/>
      </c>
      <c r="E115">
        <f>IFERROR(MATCH(112,$B$4:$B$503,0),"")</f>
        <v/>
      </c>
      <c r="H115">
        <f>IF(AND(ISNUMBER('Drill log'!A115),ISNUMBER('Drill log'!N115),ISNUMBER('Drill schedule'!$D$4)),IF(YEAR('Drill log'!A115)='Drill schedule'!$D$4,'Drill log'!N115,""),"")</f>
        <v/>
      </c>
    </row>
    <row r="116">
      <c r="A116">
        <f>IF(AND(LEN('Inspections'!A116)&gt;0,ISNUMBER('Inspections'!H116)),'Inspections'!H116+113/100000,"")</f>
        <v/>
      </c>
      <c r="B116">
        <f>IF(AND(LEN('Inspections'!A116)&gt;0,ISNUMBER('Inspections'!H116)),MAX($B$3:B115)+1,"")</f>
        <v/>
      </c>
      <c r="E116">
        <f>IFERROR(MATCH(113,$B$4:$B$503,0),"")</f>
        <v/>
      </c>
      <c r="H116">
        <f>IF(AND(ISNUMBER('Drill log'!A116),ISNUMBER('Drill log'!N116),ISNUMBER('Drill schedule'!$D$4)),IF(YEAR('Drill log'!A116)='Drill schedule'!$D$4,'Drill log'!N116,""),"")</f>
        <v/>
      </c>
    </row>
    <row r="117">
      <c r="A117">
        <f>IF(AND(LEN('Inspections'!A117)&gt;0,ISNUMBER('Inspections'!H117)),'Inspections'!H117+114/100000,"")</f>
        <v/>
      </c>
      <c r="B117">
        <f>IF(AND(LEN('Inspections'!A117)&gt;0,ISNUMBER('Inspections'!H117)),MAX($B$3:B116)+1,"")</f>
        <v/>
      </c>
      <c r="E117">
        <f>IFERROR(MATCH(114,$B$4:$B$503,0),"")</f>
        <v/>
      </c>
      <c r="H117">
        <f>IF(AND(ISNUMBER('Drill log'!A117),ISNUMBER('Drill log'!N117),ISNUMBER('Drill schedule'!$D$4)),IF(YEAR('Drill log'!A117)='Drill schedule'!$D$4,'Drill log'!N117,""),"")</f>
        <v/>
      </c>
    </row>
    <row r="118">
      <c r="A118">
        <f>IF(AND(LEN('Inspections'!A118)&gt;0,ISNUMBER('Inspections'!H118)),'Inspections'!H118+115/100000,"")</f>
        <v/>
      </c>
      <c r="B118">
        <f>IF(AND(LEN('Inspections'!A118)&gt;0,ISNUMBER('Inspections'!H118)),MAX($B$3:B117)+1,"")</f>
        <v/>
      </c>
      <c r="E118">
        <f>IFERROR(MATCH(115,$B$4:$B$503,0),"")</f>
        <v/>
      </c>
      <c r="H118">
        <f>IF(AND(ISNUMBER('Drill log'!A118),ISNUMBER('Drill log'!N118),ISNUMBER('Drill schedule'!$D$4)),IF(YEAR('Drill log'!A118)='Drill schedule'!$D$4,'Drill log'!N118,""),"")</f>
        <v/>
      </c>
    </row>
    <row r="119">
      <c r="A119">
        <f>IF(AND(LEN('Inspections'!A119)&gt;0,ISNUMBER('Inspections'!H119)),'Inspections'!H119+116/100000,"")</f>
        <v/>
      </c>
      <c r="B119">
        <f>IF(AND(LEN('Inspections'!A119)&gt;0,ISNUMBER('Inspections'!H119)),MAX($B$3:B118)+1,"")</f>
        <v/>
      </c>
      <c r="E119">
        <f>IFERROR(MATCH(116,$B$4:$B$503,0),"")</f>
        <v/>
      </c>
      <c r="H119">
        <f>IF(AND(ISNUMBER('Drill log'!A119),ISNUMBER('Drill log'!N119),ISNUMBER('Drill schedule'!$D$4)),IF(YEAR('Drill log'!A119)='Drill schedule'!$D$4,'Drill log'!N119,""),"")</f>
        <v/>
      </c>
    </row>
    <row r="120">
      <c r="A120">
        <f>IF(AND(LEN('Inspections'!A120)&gt;0,ISNUMBER('Inspections'!H120)),'Inspections'!H120+117/100000,"")</f>
        <v/>
      </c>
      <c r="B120">
        <f>IF(AND(LEN('Inspections'!A120)&gt;0,ISNUMBER('Inspections'!H120)),MAX($B$3:B119)+1,"")</f>
        <v/>
      </c>
      <c r="E120">
        <f>IFERROR(MATCH(117,$B$4:$B$503,0),"")</f>
        <v/>
      </c>
      <c r="H120">
        <f>IF(AND(ISNUMBER('Drill log'!A120),ISNUMBER('Drill log'!N120),ISNUMBER('Drill schedule'!$D$4)),IF(YEAR('Drill log'!A120)='Drill schedule'!$D$4,'Drill log'!N120,""),"")</f>
        <v/>
      </c>
    </row>
    <row r="121">
      <c r="A121">
        <f>IF(AND(LEN('Inspections'!A121)&gt;0,ISNUMBER('Inspections'!H121)),'Inspections'!H121+118/100000,"")</f>
        <v/>
      </c>
      <c r="B121">
        <f>IF(AND(LEN('Inspections'!A121)&gt;0,ISNUMBER('Inspections'!H121)),MAX($B$3:B120)+1,"")</f>
        <v/>
      </c>
      <c r="E121">
        <f>IFERROR(MATCH(118,$B$4:$B$503,0),"")</f>
        <v/>
      </c>
      <c r="H121">
        <f>IF(AND(ISNUMBER('Drill log'!A121),ISNUMBER('Drill log'!N121),ISNUMBER('Drill schedule'!$D$4)),IF(YEAR('Drill log'!A121)='Drill schedule'!$D$4,'Drill log'!N121,""),"")</f>
        <v/>
      </c>
    </row>
    <row r="122">
      <c r="A122">
        <f>IF(AND(LEN('Inspections'!A122)&gt;0,ISNUMBER('Inspections'!H122)),'Inspections'!H122+119/100000,"")</f>
        <v/>
      </c>
      <c r="B122">
        <f>IF(AND(LEN('Inspections'!A122)&gt;0,ISNUMBER('Inspections'!H122)),MAX($B$3:B121)+1,"")</f>
        <v/>
      </c>
      <c r="E122">
        <f>IFERROR(MATCH(119,$B$4:$B$503,0),"")</f>
        <v/>
      </c>
      <c r="H122">
        <f>IF(AND(ISNUMBER('Drill log'!A122),ISNUMBER('Drill log'!N122),ISNUMBER('Drill schedule'!$D$4)),IF(YEAR('Drill log'!A122)='Drill schedule'!$D$4,'Drill log'!N122,""),"")</f>
        <v/>
      </c>
    </row>
    <row r="123">
      <c r="A123">
        <f>IF(AND(LEN('Inspections'!A123)&gt;0,ISNUMBER('Inspections'!H123)),'Inspections'!H123+120/100000,"")</f>
        <v/>
      </c>
      <c r="B123">
        <f>IF(AND(LEN('Inspections'!A123)&gt;0,ISNUMBER('Inspections'!H123)),MAX($B$3:B122)+1,"")</f>
        <v/>
      </c>
      <c r="E123">
        <f>IFERROR(MATCH(120,$B$4:$B$503,0),"")</f>
        <v/>
      </c>
      <c r="H123">
        <f>IF(AND(ISNUMBER('Drill log'!A123),ISNUMBER('Drill log'!N123),ISNUMBER('Drill schedule'!$D$4)),IF(YEAR('Drill log'!A123)='Drill schedule'!$D$4,'Drill log'!N123,""),"")</f>
        <v/>
      </c>
    </row>
    <row r="124">
      <c r="A124">
        <f>IF(AND(LEN('Inspections'!A124)&gt;0,ISNUMBER('Inspections'!H124)),'Inspections'!H124+121/100000,"")</f>
        <v/>
      </c>
      <c r="B124">
        <f>IF(AND(LEN('Inspections'!A124)&gt;0,ISNUMBER('Inspections'!H124)),MAX($B$3:B123)+1,"")</f>
        <v/>
      </c>
      <c r="E124">
        <f>IFERROR(MATCH(121,$B$4:$B$503,0),"")</f>
        <v/>
      </c>
      <c r="H124">
        <f>IF(AND(ISNUMBER('Drill log'!A124),ISNUMBER('Drill log'!N124),ISNUMBER('Drill schedule'!$D$4)),IF(YEAR('Drill log'!A124)='Drill schedule'!$D$4,'Drill log'!N124,""),"")</f>
        <v/>
      </c>
    </row>
    <row r="125">
      <c r="A125">
        <f>IF(AND(LEN('Inspections'!A125)&gt;0,ISNUMBER('Inspections'!H125)),'Inspections'!H125+122/100000,"")</f>
        <v/>
      </c>
      <c r="B125">
        <f>IF(AND(LEN('Inspections'!A125)&gt;0,ISNUMBER('Inspections'!H125)),MAX($B$3:B124)+1,"")</f>
        <v/>
      </c>
      <c r="E125">
        <f>IFERROR(MATCH(122,$B$4:$B$503,0),"")</f>
        <v/>
      </c>
      <c r="H125">
        <f>IF(AND(ISNUMBER('Drill log'!A125),ISNUMBER('Drill log'!N125),ISNUMBER('Drill schedule'!$D$4)),IF(YEAR('Drill log'!A125)='Drill schedule'!$D$4,'Drill log'!N125,""),"")</f>
        <v/>
      </c>
    </row>
    <row r="126">
      <c r="A126">
        <f>IF(AND(LEN('Inspections'!A126)&gt;0,ISNUMBER('Inspections'!H126)),'Inspections'!H126+123/100000,"")</f>
        <v/>
      </c>
      <c r="B126">
        <f>IF(AND(LEN('Inspections'!A126)&gt;0,ISNUMBER('Inspections'!H126)),MAX($B$3:B125)+1,"")</f>
        <v/>
      </c>
      <c r="E126">
        <f>IFERROR(MATCH(123,$B$4:$B$503,0),"")</f>
        <v/>
      </c>
      <c r="H126">
        <f>IF(AND(ISNUMBER('Drill log'!A126),ISNUMBER('Drill log'!N126),ISNUMBER('Drill schedule'!$D$4)),IF(YEAR('Drill log'!A126)='Drill schedule'!$D$4,'Drill log'!N126,""),"")</f>
        <v/>
      </c>
    </row>
    <row r="127">
      <c r="A127">
        <f>IF(AND(LEN('Inspections'!A127)&gt;0,ISNUMBER('Inspections'!H127)),'Inspections'!H127+124/100000,"")</f>
        <v/>
      </c>
      <c r="B127">
        <f>IF(AND(LEN('Inspections'!A127)&gt;0,ISNUMBER('Inspections'!H127)),MAX($B$3:B126)+1,"")</f>
        <v/>
      </c>
      <c r="E127">
        <f>IFERROR(MATCH(124,$B$4:$B$503,0),"")</f>
        <v/>
      </c>
      <c r="H127">
        <f>IF(AND(ISNUMBER('Drill log'!A127),ISNUMBER('Drill log'!N127),ISNUMBER('Drill schedule'!$D$4)),IF(YEAR('Drill log'!A127)='Drill schedule'!$D$4,'Drill log'!N127,""),"")</f>
        <v/>
      </c>
    </row>
    <row r="128">
      <c r="A128">
        <f>IF(AND(LEN('Inspections'!A128)&gt;0,ISNUMBER('Inspections'!H128)),'Inspections'!H128+125/100000,"")</f>
        <v/>
      </c>
      <c r="B128">
        <f>IF(AND(LEN('Inspections'!A128)&gt;0,ISNUMBER('Inspections'!H128)),MAX($B$3:B127)+1,"")</f>
        <v/>
      </c>
      <c r="E128">
        <f>IFERROR(MATCH(125,$B$4:$B$503,0),"")</f>
        <v/>
      </c>
      <c r="H128">
        <f>IF(AND(ISNUMBER('Drill log'!A128),ISNUMBER('Drill log'!N128),ISNUMBER('Drill schedule'!$D$4)),IF(YEAR('Drill log'!A128)='Drill schedule'!$D$4,'Drill log'!N128,""),"")</f>
        <v/>
      </c>
    </row>
    <row r="129">
      <c r="A129">
        <f>IF(AND(LEN('Inspections'!A129)&gt;0,ISNUMBER('Inspections'!H129)),'Inspections'!H129+126/100000,"")</f>
        <v/>
      </c>
      <c r="B129">
        <f>IF(AND(LEN('Inspections'!A129)&gt;0,ISNUMBER('Inspections'!H129)),MAX($B$3:B128)+1,"")</f>
        <v/>
      </c>
      <c r="E129">
        <f>IFERROR(MATCH(126,$B$4:$B$503,0),"")</f>
        <v/>
      </c>
      <c r="H129">
        <f>IF(AND(ISNUMBER('Drill log'!A129),ISNUMBER('Drill log'!N129),ISNUMBER('Drill schedule'!$D$4)),IF(YEAR('Drill log'!A129)='Drill schedule'!$D$4,'Drill log'!N129,""),"")</f>
        <v/>
      </c>
    </row>
    <row r="130">
      <c r="A130">
        <f>IF(AND(LEN('Inspections'!A130)&gt;0,ISNUMBER('Inspections'!H130)),'Inspections'!H130+127/100000,"")</f>
        <v/>
      </c>
      <c r="B130">
        <f>IF(AND(LEN('Inspections'!A130)&gt;0,ISNUMBER('Inspections'!H130)),MAX($B$3:B129)+1,"")</f>
        <v/>
      </c>
      <c r="E130">
        <f>IFERROR(MATCH(127,$B$4:$B$503,0),"")</f>
        <v/>
      </c>
      <c r="H130">
        <f>IF(AND(ISNUMBER('Drill log'!A130),ISNUMBER('Drill log'!N130),ISNUMBER('Drill schedule'!$D$4)),IF(YEAR('Drill log'!A130)='Drill schedule'!$D$4,'Drill log'!N130,""),"")</f>
        <v/>
      </c>
    </row>
    <row r="131">
      <c r="A131">
        <f>IF(AND(LEN('Inspections'!A131)&gt;0,ISNUMBER('Inspections'!H131)),'Inspections'!H131+128/100000,"")</f>
        <v/>
      </c>
      <c r="B131">
        <f>IF(AND(LEN('Inspections'!A131)&gt;0,ISNUMBER('Inspections'!H131)),MAX($B$3:B130)+1,"")</f>
        <v/>
      </c>
      <c r="E131">
        <f>IFERROR(MATCH(128,$B$4:$B$503,0),"")</f>
        <v/>
      </c>
      <c r="H131">
        <f>IF(AND(ISNUMBER('Drill log'!A131),ISNUMBER('Drill log'!N131),ISNUMBER('Drill schedule'!$D$4)),IF(YEAR('Drill log'!A131)='Drill schedule'!$D$4,'Drill log'!N131,""),"")</f>
        <v/>
      </c>
    </row>
    <row r="132">
      <c r="A132">
        <f>IF(AND(LEN('Inspections'!A132)&gt;0,ISNUMBER('Inspections'!H132)),'Inspections'!H132+129/100000,"")</f>
        <v/>
      </c>
      <c r="B132">
        <f>IF(AND(LEN('Inspections'!A132)&gt;0,ISNUMBER('Inspections'!H132)),MAX($B$3:B131)+1,"")</f>
        <v/>
      </c>
      <c r="E132">
        <f>IFERROR(MATCH(129,$B$4:$B$503,0),"")</f>
        <v/>
      </c>
      <c r="H132">
        <f>IF(AND(ISNUMBER('Drill log'!A132),ISNUMBER('Drill log'!N132),ISNUMBER('Drill schedule'!$D$4)),IF(YEAR('Drill log'!A132)='Drill schedule'!$D$4,'Drill log'!N132,""),"")</f>
        <v/>
      </c>
    </row>
    <row r="133">
      <c r="A133">
        <f>IF(AND(LEN('Inspections'!A133)&gt;0,ISNUMBER('Inspections'!H133)),'Inspections'!H133+130/100000,"")</f>
        <v/>
      </c>
      <c r="B133">
        <f>IF(AND(LEN('Inspections'!A133)&gt;0,ISNUMBER('Inspections'!H133)),MAX($B$3:B132)+1,"")</f>
        <v/>
      </c>
      <c r="E133">
        <f>IFERROR(MATCH(130,$B$4:$B$503,0),"")</f>
        <v/>
      </c>
      <c r="H133">
        <f>IF(AND(ISNUMBER('Drill log'!A133),ISNUMBER('Drill log'!N133),ISNUMBER('Drill schedule'!$D$4)),IF(YEAR('Drill log'!A133)='Drill schedule'!$D$4,'Drill log'!N133,""),"")</f>
        <v/>
      </c>
    </row>
    <row r="134">
      <c r="A134">
        <f>IF(AND(LEN('Inspections'!A134)&gt;0,ISNUMBER('Inspections'!H134)),'Inspections'!H134+131/100000,"")</f>
        <v/>
      </c>
      <c r="B134">
        <f>IF(AND(LEN('Inspections'!A134)&gt;0,ISNUMBER('Inspections'!H134)),MAX($B$3:B133)+1,"")</f>
        <v/>
      </c>
      <c r="E134">
        <f>IFERROR(MATCH(131,$B$4:$B$503,0),"")</f>
        <v/>
      </c>
      <c r="H134">
        <f>IF(AND(ISNUMBER('Drill log'!A134),ISNUMBER('Drill log'!N134),ISNUMBER('Drill schedule'!$D$4)),IF(YEAR('Drill log'!A134)='Drill schedule'!$D$4,'Drill log'!N134,""),"")</f>
        <v/>
      </c>
    </row>
    <row r="135">
      <c r="A135">
        <f>IF(AND(LEN('Inspections'!A135)&gt;0,ISNUMBER('Inspections'!H135)),'Inspections'!H135+132/100000,"")</f>
        <v/>
      </c>
      <c r="B135">
        <f>IF(AND(LEN('Inspections'!A135)&gt;0,ISNUMBER('Inspections'!H135)),MAX($B$3:B134)+1,"")</f>
        <v/>
      </c>
      <c r="E135">
        <f>IFERROR(MATCH(132,$B$4:$B$503,0),"")</f>
        <v/>
      </c>
      <c r="H135">
        <f>IF(AND(ISNUMBER('Drill log'!A135),ISNUMBER('Drill log'!N135),ISNUMBER('Drill schedule'!$D$4)),IF(YEAR('Drill log'!A135)='Drill schedule'!$D$4,'Drill log'!N135,""),"")</f>
        <v/>
      </c>
    </row>
    <row r="136">
      <c r="A136">
        <f>IF(AND(LEN('Inspections'!A136)&gt;0,ISNUMBER('Inspections'!H136)),'Inspections'!H136+133/100000,"")</f>
        <v/>
      </c>
      <c r="B136">
        <f>IF(AND(LEN('Inspections'!A136)&gt;0,ISNUMBER('Inspections'!H136)),MAX($B$3:B135)+1,"")</f>
        <v/>
      </c>
      <c r="E136">
        <f>IFERROR(MATCH(133,$B$4:$B$503,0),"")</f>
        <v/>
      </c>
      <c r="H136">
        <f>IF(AND(ISNUMBER('Drill log'!A136),ISNUMBER('Drill log'!N136),ISNUMBER('Drill schedule'!$D$4)),IF(YEAR('Drill log'!A136)='Drill schedule'!$D$4,'Drill log'!N136,""),"")</f>
        <v/>
      </c>
    </row>
    <row r="137">
      <c r="A137">
        <f>IF(AND(LEN('Inspections'!A137)&gt;0,ISNUMBER('Inspections'!H137)),'Inspections'!H137+134/100000,"")</f>
        <v/>
      </c>
      <c r="B137">
        <f>IF(AND(LEN('Inspections'!A137)&gt;0,ISNUMBER('Inspections'!H137)),MAX($B$3:B136)+1,"")</f>
        <v/>
      </c>
      <c r="E137">
        <f>IFERROR(MATCH(134,$B$4:$B$503,0),"")</f>
        <v/>
      </c>
      <c r="H137">
        <f>IF(AND(ISNUMBER('Drill log'!A137),ISNUMBER('Drill log'!N137),ISNUMBER('Drill schedule'!$D$4)),IF(YEAR('Drill log'!A137)='Drill schedule'!$D$4,'Drill log'!N137,""),"")</f>
        <v/>
      </c>
    </row>
    <row r="138">
      <c r="A138">
        <f>IF(AND(LEN('Inspections'!A138)&gt;0,ISNUMBER('Inspections'!H138)),'Inspections'!H138+135/100000,"")</f>
        <v/>
      </c>
      <c r="B138">
        <f>IF(AND(LEN('Inspections'!A138)&gt;0,ISNUMBER('Inspections'!H138)),MAX($B$3:B137)+1,"")</f>
        <v/>
      </c>
      <c r="E138">
        <f>IFERROR(MATCH(135,$B$4:$B$503,0),"")</f>
        <v/>
      </c>
      <c r="H138">
        <f>IF(AND(ISNUMBER('Drill log'!A138),ISNUMBER('Drill log'!N138),ISNUMBER('Drill schedule'!$D$4)),IF(YEAR('Drill log'!A138)='Drill schedule'!$D$4,'Drill log'!N138,""),"")</f>
        <v/>
      </c>
    </row>
    <row r="139">
      <c r="A139">
        <f>IF(AND(LEN('Inspections'!A139)&gt;0,ISNUMBER('Inspections'!H139)),'Inspections'!H139+136/100000,"")</f>
        <v/>
      </c>
      <c r="B139">
        <f>IF(AND(LEN('Inspections'!A139)&gt;0,ISNUMBER('Inspections'!H139)),MAX($B$3:B138)+1,"")</f>
        <v/>
      </c>
      <c r="E139">
        <f>IFERROR(MATCH(136,$B$4:$B$503,0),"")</f>
        <v/>
      </c>
      <c r="H139">
        <f>IF(AND(ISNUMBER('Drill log'!A139),ISNUMBER('Drill log'!N139),ISNUMBER('Drill schedule'!$D$4)),IF(YEAR('Drill log'!A139)='Drill schedule'!$D$4,'Drill log'!N139,""),"")</f>
        <v/>
      </c>
    </row>
    <row r="140">
      <c r="A140">
        <f>IF(AND(LEN('Inspections'!A140)&gt;0,ISNUMBER('Inspections'!H140)),'Inspections'!H140+137/100000,"")</f>
        <v/>
      </c>
      <c r="B140">
        <f>IF(AND(LEN('Inspections'!A140)&gt;0,ISNUMBER('Inspections'!H140)),MAX($B$3:B139)+1,"")</f>
        <v/>
      </c>
      <c r="E140">
        <f>IFERROR(MATCH(137,$B$4:$B$503,0),"")</f>
        <v/>
      </c>
      <c r="H140">
        <f>IF(AND(ISNUMBER('Drill log'!A140),ISNUMBER('Drill log'!N140),ISNUMBER('Drill schedule'!$D$4)),IF(YEAR('Drill log'!A140)='Drill schedule'!$D$4,'Drill log'!N140,""),"")</f>
        <v/>
      </c>
    </row>
    <row r="141">
      <c r="A141">
        <f>IF(AND(LEN('Inspections'!A141)&gt;0,ISNUMBER('Inspections'!H141)),'Inspections'!H141+138/100000,"")</f>
        <v/>
      </c>
      <c r="B141">
        <f>IF(AND(LEN('Inspections'!A141)&gt;0,ISNUMBER('Inspections'!H141)),MAX($B$3:B140)+1,"")</f>
        <v/>
      </c>
      <c r="E141">
        <f>IFERROR(MATCH(138,$B$4:$B$503,0),"")</f>
        <v/>
      </c>
      <c r="H141">
        <f>IF(AND(ISNUMBER('Drill log'!A141),ISNUMBER('Drill log'!N141),ISNUMBER('Drill schedule'!$D$4)),IF(YEAR('Drill log'!A141)='Drill schedule'!$D$4,'Drill log'!N141,""),"")</f>
        <v/>
      </c>
    </row>
    <row r="142">
      <c r="A142">
        <f>IF(AND(LEN('Inspections'!A142)&gt;0,ISNUMBER('Inspections'!H142)),'Inspections'!H142+139/100000,"")</f>
        <v/>
      </c>
      <c r="B142">
        <f>IF(AND(LEN('Inspections'!A142)&gt;0,ISNUMBER('Inspections'!H142)),MAX($B$3:B141)+1,"")</f>
        <v/>
      </c>
      <c r="E142">
        <f>IFERROR(MATCH(139,$B$4:$B$503,0),"")</f>
        <v/>
      </c>
      <c r="H142">
        <f>IF(AND(ISNUMBER('Drill log'!A142),ISNUMBER('Drill log'!N142),ISNUMBER('Drill schedule'!$D$4)),IF(YEAR('Drill log'!A142)='Drill schedule'!$D$4,'Drill log'!N142,""),"")</f>
        <v/>
      </c>
    </row>
    <row r="143">
      <c r="A143">
        <f>IF(AND(LEN('Inspections'!A143)&gt;0,ISNUMBER('Inspections'!H143)),'Inspections'!H143+140/100000,"")</f>
        <v/>
      </c>
      <c r="B143">
        <f>IF(AND(LEN('Inspections'!A143)&gt;0,ISNUMBER('Inspections'!H143)),MAX($B$3:B142)+1,"")</f>
        <v/>
      </c>
      <c r="E143">
        <f>IFERROR(MATCH(140,$B$4:$B$503,0),"")</f>
        <v/>
      </c>
      <c r="H143">
        <f>IF(AND(ISNUMBER('Drill log'!A143),ISNUMBER('Drill log'!N143),ISNUMBER('Drill schedule'!$D$4)),IF(YEAR('Drill log'!A143)='Drill schedule'!$D$4,'Drill log'!N143,""),"")</f>
        <v/>
      </c>
    </row>
    <row r="144">
      <c r="A144">
        <f>IF(AND(LEN('Inspections'!A144)&gt;0,ISNUMBER('Inspections'!H144)),'Inspections'!H144+141/100000,"")</f>
        <v/>
      </c>
      <c r="B144">
        <f>IF(AND(LEN('Inspections'!A144)&gt;0,ISNUMBER('Inspections'!H144)),MAX($B$3:B143)+1,"")</f>
        <v/>
      </c>
      <c r="E144">
        <f>IFERROR(MATCH(141,$B$4:$B$503,0),"")</f>
        <v/>
      </c>
      <c r="H144">
        <f>IF(AND(ISNUMBER('Drill log'!A144),ISNUMBER('Drill log'!N144),ISNUMBER('Drill schedule'!$D$4)),IF(YEAR('Drill log'!A144)='Drill schedule'!$D$4,'Drill log'!N144,""),"")</f>
        <v/>
      </c>
    </row>
    <row r="145">
      <c r="A145">
        <f>IF(AND(LEN('Inspections'!A145)&gt;0,ISNUMBER('Inspections'!H145)),'Inspections'!H145+142/100000,"")</f>
        <v/>
      </c>
      <c r="B145">
        <f>IF(AND(LEN('Inspections'!A145)&gt;0,ISNUMBER('Inspections'!H145)),MAX($B$3:B144)+1,"")</f>
        <v/>
      </c>
      <c r="E145">
        <f>IFERROR(MATCH(142,$B$4:$B$503,0),"")</f>
        <v/>
      </c>
      <c r="H145">
        <f>IF(AND(ISNUMBER('Drill log'!A145),ISNUMBER('Drill log'!N145),ISNUMBER('Drill schedule'!$D$4)),IF(YEAR('Drill log'!A145)='Drill schedule'!$D$4,'Drill log'!N145,""),"")</f>
        <v/>
      </c>
    </row>
    <row r="146">
      <c r="A146">
        <f>IF(AND(LEN('Inspections'!A146)&gt;0,ISNUMBER('Inspections'!H146)),'Inspections'!H146+143/100000,"")</f>
        <v/>
      </c>
      <c r="B146">
        <f>IF(AND(LEN('Inspections'!A146)&gt;0,ISNUMBER('Inspections'!H146)),MAX($B$3:B145)+1,"")</f>
        <v/>
      </c>
      <c r="E146">
        <f>IFERROR(MATCH(143,$B$4:$B$503,0),"")</f>
        <v/>
      </c>
      <c r="H146">
        <f>IF(AND(ISNUMBER('Drill log'!A146),ISNUMBER('Drill log'!N146),ISNUMBER('Drill schedule'!$D$4)),IF(YEAR('Drill log'!A146)='Drill schedule'!$D$4,'Drill log'!N146,""),"")</f>
        <v/>
      </c>
    </row>
    <row r="147">
      <c r="A147">
        <f>IF(AND(LEN('Inspections'!A147)&gt;0,ISNUMBER('Inspections'!H147)),'Inspections'!H147+144/100000,"")</f>
        <v/>
      </c>
      <c r="B147">
        <f>IF(AND(LEN('Inspections'!A147)&gt;0,ISNUMBER('Inspections'!H147)),MAX($B$3:B146)+1,"")</f>
        <v/>
      </c>
      <c r="E147">
        <f>IFERROR(MATCH(144,$B$4:$B$503,0),"")</f>
        <v/>
      </c>
      <c r="H147">
        <f>IF(AND(ISNUMBER('Drill log'!A147),ISNUMBER('Drill log'!N147),ISNUMBER('Drill schedule'!$D$4)),IF(YEAR('Drill log'!A147)='Drill schedule'!$D$4,'Drill log'!N147,""),"")</f>
        <v/>
      </c>
    </row>
    <row r="148">
      <c r="A148">
        <f>IF(AND(LEN('Inspections'!A148)&gt;0,ISNUMBER('Inspections'!H148)),'Inspections'!H148+145/100000,"")</f>
        <v/>
      </c>
      <c r="B148">
        <f>IF(AND(LEN('Inspections'!A148)&gt;0,ISNUMBER('Inspections'!H148)),MAX($B$3:B147)+1,"")</f>
        <v/>
      </c>
      <c r="E148">
        <f>IFERROR(MATCH(145,$B$4:$B$503,0),"")</f>
        <v/>
      </c>
      <c r="H148">
        <f>IF(AND(ISNUMBER('Drill log'!A148),ISNUMBER('Drill log'!N148),ISNUMBER('Drill schedule'!$D$4)),IF(YEAR('Drill log'!A148)='Drill schedule'!$D$4,'Drill log'!N148,""),"")</f>
        <v/>
      </c>
    </row>
    <row r="149">
      <c r="A149">
        <f>IF(AND(LEN('Inspections'!A149)&gt;0,ISNUMBER('Inspections'!H149)),'Inspections'!H149+146/100000,"")</f>
        <v/>
      </c>
      <c r="B149">
        <f>IF(AND(LEN('Inspections'!A149)&gt;0,ISNUMBER('Inspections'!H149)),MAX($B$3:B148)+1,"")</f>
        <v/>
      </c>
      <c r="E149">
        <f>IFERROR(MATCH(146,$B$4:$B$503,0),"")</f>
        <v/>
      </c>
      <c r="H149">
        <f>IF(AND(ISNUMBER('Drill log'!A149),ISNUMBER('Drill log'!N149),ISNUMBER('Drill schedule'!$D$4)),IF(YEAR('Drill log'!A149)='Drill schedule'!$D$4,'Drill log'!N149,""),"")</f>
        <v/>
      </c>
    </row>
    <row r="150">
      <c r="A150">
        <f>IF(AND(LEN('Inspections'!A150)&gt;0,ISNUMBER('Inspections'!H150)),'Inspections'!H150+147/100000,"")</f>
        <v/>
      </c>
      <c r="B150">
        <f>IF(AND(LEN('Inspections'!A150)&gt;0,ISNUMBER('Inspections'!H150)),MAX($B$3:B149)+1,"")</f>
        <v/>
      </c>
      <c r="E150">
        <f>IFERROR(MATCH(147,$B$4:$B$503,0),"")</f>
        <v/>
      </c>
      <c r="H150">
        <f>IF(AND(ISNUMBER('Drill log'!A150),ISNUMBER('Drill log'!N150),ISNUMBER('Drill schedule'!$D$4)),IF(YEAR('Drill log'!A150)='Drill schedule'!$D$4,'Drill log'!N150,""),"")</f>
        <v/>
      </c>
    </row>
    <row r="151">
      <c r="A151">
        <f>IF(AND(LEN('Inspections'!A151)&gt;0,ISNUMBER('Inspections'!H151)),'Inspections'!H151+148/100000,"")</f>
        <v/>
      </c>
      <c r="B151">
        <f>IF(AND(LEN('Inspections'!A151)&gt;0,ISNUMBER('Inspections'!H151)),MAX($B$3:B150)+1,"")</f>
        <v/>
      </c>
      <c r="E151">
        <f>IFERROR(MATCH(148,$B$4:$B$503,0),"")</f>
        <v/>
      </c>
      <c r="H151">
        <f>IF(AND(ISNUMBER('Drill log'!A151),ISNUMBER('Drill log'!N151),ISNUMBER('Drill schedule'!$D$4)),IF(YEAR('Drill log'!A151)='Drill schedule'!$D$4,'Drill log'!N151,""),"")</f>
        <v/>
      </c>
    </row>
    <row r="152">
      <c r="A152">
        <f>IF(AND(LEN('Inspections'!A152)&gt;0,ISNUMBER('Inspections'!H152)),'Inspections'!H152+149/100000,"")</f>
        <v/>
      </c>
      <c r="B152">
        <f>IF(AND(LEN('Inspections'!A152)&gt;0,ISNUMBER('Inspections'!H152)),MAX($B$3:B151)+1,"")</f>
        <v/>
      </c>
      <c r="E152">
        <f>IFERROR(MATCH(149,$B$4:$B$503,0),"")</f>
        <v/>
      </c>
      <c r="H152">
        <f>IF(AND(ISNUMBER('Drill log'!A152),ISNUMBER('Drill log'!N152),ISNUMBER('Drill schedule'!$D$4)),IF(YEAR('Drill log'!A152)='Drill schedule'!$D$4,'Drill log'!N152,""),"")</f>
        <v/>
      </c>
    </row>
    <row r="153">
      <c r="A153">
        <f>IF(AND(LEN('Inspections'!A153)&gt;0,ISNUMBER('Inspections'!H153)),'Inspections'!H153+150/100000,"")</f>
        <v/>
      </c>
      <c r="B153">
        <f>IF(AND(LEN('Inspections'!A153)&gt;0,ISNUMBER('Inspections'!H153)),MAX($B$3:B152)+1,"")</f>
        <v/>
      </c>
      <c r="E153">
        <f>IFERROR(MATCH(150,$B$4:$B$503,0),"")</f>
        <v/>
      </c>
      <c r="H153">
        <f>IF(AND(ISNUMBER('Drill log'!A153),ISNUMBER('Drill log'!N153),ISNUMBER('Drill schedule'!$D$4)),IF(YEAR('Drill log'!A153)='Drill schedule'!$D$4,'Drill log'!N153,""),"")</f>
        <v/>
      </c>
    </row>
    <row r="154">
      <c r="A154">
        <f>IF(AND(LEN('Inspections'!A154)&gt;0,ISNUMBER('Inspections'!H154)),'Inspections'!H154+151/100000,"")</f>
        <v/>
      </c>
      <c r="B154">
        <f>IF(AND(LEN('Inspections'!A154)&gt;0,ISNUMBER('Inspections'!H154)),MAX($B$3:B153)+1,"")</f>
        <v/>
      </c>
      <c r="E154">
        <f>IFERROR(MATCH(151,$B$4:$B$503,0),"")</f>
        <v/>
      </c>
      <c r="H154">
        <f>IF(AND(ISNUMBER('Drill log'!A154),ISNUMBER('Drill log'!N154),ISNUMBER('Drill schedule'!$D$4)),IF(YEAR('Drill log'!A154)='Drill schedule'!$D$4,'Drill log'!N154,""),"")</f>
        <v/>
      </c>
    </row>
    <row r="155">
      <c r="A155">
        <f>IF(AND(LEN('Inspections'!A155)&gt;0,ISNUMBER('Inspections'!H155)),'Inspections'!H155+152/100000,"")</f>
        <v/>
      </c>
      <c r="B155">
        <f>IF(AND(LEN('Inspections'!A155)&gt;0,ISNUMBER('Inspections'!H155)),MAX($B$3:B154)+1,"")</f>
        <v/>
      </c>
      <c r="E155">
        <f>IFERROR(MATCH(152,$B$4:$B$503,0),"")</f>
        <v/>
      </c>
      <c r="H155">
        <f>IF(AND(ISNUMBER('Drill log'!A155),ISNUMBER('Drill log'!N155),ISNUMBER('Drill schedule'!$D$4)),IF(YEAR('Drill log'!A155)='Drill schedule'!$D$4,'Drill log'!N155,""),"")</f>
        <v/>
      </c>
    </row>
    <row r="156">
      <c r="A156">
        <f>IF(AND(LEN('Inspections'!A156)&gt;0,ISNUMBER('Inspections'!H156)),'Inspections'!H156+153/100000,"")</f>
        <v/>
      </c>
      <c r="B156">
        <f>IF(AND(LEN('Inspections'!A156)&gt;0,ISNUMBER('Inspections'!H156)),MAX($B$3:B155)+1,"")</f>
        <v/>
      </c>
      <c r="E156">
        <f>IFERROR(MATCH(153,$B$4:$B$503,0),"")</f>
        <v/>
      </c>
      <c r="H156">
        <f>IF(AND(ISNUMBER('Drill log'!A156),ISNUMBER('Drill log'!N156),ISNUMBER('Drill schedule'!$D$4)),IF(YEAR('Drill log'!A156)='Drill schedule'!$D$4,'Drill log'!N156,""),"")</f>
        <v/>
      </c>
    </row>
    <row r="157">
      <c r="A157">
        <f>IF(AND(LEN('Inspections'!A157)&gt;0,ISNUMBER('Inspections'!H157)),'Inspections'!H157+154/100000,"")</f>
        <v/>
      </c>
      <c r="B157">
        <f>IF(AND(LEN('Inspections'!A157)&gt;0,ISNUMBER('Inspections'!H157)),MAX($B$3:B156)+1,"")</f>
        <v/>
      </c>
      <c r="E157">
        <f>IFERROR(MATCH(154,$B$4:$B$503,0),"")</f>
        <v/>
      </c>
      <c r="H157">
        <f>IF(AND(ISNUMBER('Drill log'!A157),ISNUMBER('Drill log'!N157),ISNUMBER('Drill schedule'!$D$4)),IF(YEAR('Drill log'!A157)='Drill schedule'!$D$4,'Drill log'!N157,""),"")</f>
        <v/>
      </c>
    </row>
    <row r="158">
      <c r="A158">
        <f>IF(AND(LEN('Inspections'!A158)&gt;0,ISNUMBER('Inspections'!H158)),'Inspections'!H158+155/100000,"")</f>
        <v/>
      </c>
      <c r="B158">
        <f>IF(AND(LEN('Inspections'!A158)&gt;0,ISNUMBER('Inspections'!H158)),MAX($B$3:B157)+1,"")</f>
        <v/>
      </c>
      <c r="E158">
        <f>IFERROR(MATCH(155,$B$4:$B$503,0),"")</f>
        <v/>
      </c>
      <c r="H158">
        <f>IF(AND(ISNUMBER('Drill log'!A158),ISNUMBER('Drill log'!N158),ISNUMBER('Drill schedule'!$D$4)),IF(YEAR('Drill log'!A158)='Drill schedule'!$D$4,'Drill log'!N158,""),"")</f>
        <v/>
      </c>
    </row>
    <row r="159">
      <c r="A159">
        <f>IF(AND(LEN('Inspections'!A159)&gt;0,ISNUMBER('Inspections'!H159)),'Inspections'!H159+156/100000,"")</f>
        <v/>
      </c>
      <c r="B159">
        <f>IF(AND(LEN('Inspections'!A159)&gt;0,ISNUMBER('Inspections'!H159)),MAX($B$3:B158)+1,"")</f>
        <v/>
      </c>
      <c r="E159">
        <f>IFERROR(MATCH(156,$B$4:$B$503,0),"")</f>
        <v/>
      </c>
      <c r="H159">
        <f>IF(AND(ISNUMBER('Drill log'!A159),ISNUMBER('Drill log'!N159),ISNUMBER('Drill schedule'!$D$4)),IF(YEAR('Drill log'!A159)='Drill schedule'!$D$4,'Drill log'!N159,""),"")</f>
        <v/>
      </c>
    </row>
    <row r="160">
      <c r="A160">
        <f>IF(AND(LEN('Inspections'!A160)&gt;0,ISNUMBER('Inspections'!H160)),'Inspections'!H160+157/100000,"")</f>
        <v/>
      </c>
      <c r="B160">
        <f>IF(AND(LEN('Inspections'!A160)&gt;0,ISNUMBER('Inspections'!H160)),MAX($B$3:B159)+1,"")</f>
        <v/>
      </c>
      <c r="E160">
        <f>IFERROR(MATCH(157,$B$4:$B$503,0),"")</f>
        <v/>
      </c>
      <c r="H160">
        <f>IF(AND(ISNUMBER('Drill log'!A160),ISNUMBER('Drill log'!N160),ISNUMBER('Drill schedule'!$D$4)),IF(YEAR('Drill log'!A160)='Drill schedule'!$D$4,'Drill log'!N160,""),"")</f>
        <v/>
      </c>
    </row>
    <row r="161">
      <c r="A161">
        <f>IF(AND(LEN('Inspections'!A161)&gt;0,ISNUMBER('Inspections'!H161)),'Inspections'!H161+158/100000,"")</f>
        <v/>
      </c>
      <c r="B161">
        <f>IF(AND(LEN('Inspections'!A161)&gt;0,ISNUMBER('Inspections'!H161)),MAX($B$3:B160)+1,"")</f>
        <v/>
      </c>
      <c r="E161">
        <f>IFERROR(MATCH(158,$B$4:$B$503,0),"")</f>
        <v/>
      </c>
      <c r="H161">
        <f>IF(AND(ISNUMBER('Drill log'!A161),ISNUMBER('Drill log'!N161),ISNUMBER('Drill schedule'!$D$4)),IF(YEAR('Drill log'!A161)='Drill schedule'!$D$4,'Drill log'!N161,""),"")</f>
        <v/>
      </c>
    </row>
    <row r="162">
      <c r="A162">
        <f>IF(AND(LEN('Inspections'!A162)&gt;0,ISNUMBER('Inspections'!H162)),'Inspections'!H162+159/100000,"")</f>
        <v/>
      </c>
      <c r="B162">
        <f>IF(AND(LEN('Inspections'!A162)&gt;0,ISNUMBER('Inspections'!H162)),MAX($B$3:B161)+1,"")</f>
        <v/>
      </c>
      <c r="E162">
        <f>IFERROR(MATCH(159,$B$4:$B$503,0),"")</f>
        <v/>
      </c>
      <c r="H162">
        <f>IF(AND(ISNUMBER('Drill log'!A162),ISNUMBER('Drill log'!N162),ISNUMBER('Drill schedule'!$D$4)),IF(YEAR('Drill log'!A162)='Drill schedule'!$D$4,'Drill log'!N162,""),"")</f>
        <v/>
      </c>
    </row>
    <row r="163">
      <c r="A163">
        <f>IF(AND(LEN('Inspections'!A163)&gt;0,ISNUMBER('Inspections'!H163)),'Inspections'!H163+160/100000,"")</f>
        <v/>
      </c>
      <c r="B163">
        <f>IF(AND(LEN('Inspections'!A163)&gt;0,ISNUMBER('Inspections'!H163)),MAX($B$3:B162)+1,"")</f>
        <v/>
      </c>
      <c r="E163">
        <f>IFERROR(MATCH(160,$B$4:$B$503,0),"")</f>
        <v/>
      </c>
      <c r="H163">
        <f>IF(AND(ISNUMBER('Drill log'!A163),ISNUMBER('Drill log'!N163),ISNUMBER('Drill schedule'!$D$4)),IF(YEAR('Drill log'!A163)='Drill schedule'!$D$4,'Drill log'!N163,""),"")</f>
        <v/>
      </c>
    </row>
    <row r="164">
      <c r="A164">
        <f>IF(AND(LEN('Inspections'!A164)&gt;0,ISNUMBER('Inspections'!H164)),'Inspections'!H164+161/100000,"")</f>
        <v/>
      </c>
      <c r="B164">
        <f>IF(AND(LEN('Inspections'!A164)&gt;0,ISNUMBER('Inspections'!H164)),MAX($B$3:B163)+1,"")</f>
        <v/>
      </c>
      <c r="E164">
        <f>IFERROR(MATCH(161,$B$4:$B$503,0),"")</f>
        <v/>
      </c>
      <c r="H164">
        <f>IF(AND(ISNUMBER('Drill log'!A164),ISNUMBER('Drill log'!N164),ISNUMBER('Drill schedule'!$D$4)),IF(YEAR('Drill log'!A164)='Drill schedule'!$D$4,'Drill log'!N164,""),"")</f>
        <v/>
      </c>
    </row>
    <row r="165">
      <c r="A165">
        <f>IF(AND(LEN('Inspections'!A165)&gt;0,ISNUMBER('Inspections'!H165)),'Inspections'!H165+162/100000,"")</f>
        <v/>
      </c>
      <c r="B165">
        <f>IF(AND(LEN('Inspections'!A165)&gt;0,ISNUMBER('Inspections'!H165)),MAX($B$3:B164)+1,"")</f>
        <v/>
      </c>
      <c r="E165">
        <f>IFERROR(MATCH(162,$B$4:$B$503,0),"")</f>
        <v/>
      </c>
      <c r="H165">
        <f>IF(AND(ISNUMBER('Drill log'!A165),ISNUMBER('Drill log'!N165),ISNUMBER('Drill schedule'!$D$4)),IF(YEAR('Drill log'!A165)='Drill schedule'!$D$4,'Drill log'!N165,""),"")</f>
        <v/>
      </c>
    </row>
    <row r="166">
      <c r="A166">
        <f>IF(AND(LEN('Inspections'!A166)&gt;0,ISNUMBER('Inspections'!H166)),'Inspections'!H166+163/100000,"")</f>
        <v/>
      </c>
      <c r="B166">
        <f>IF(AND(LEN('Inspections'!A166)&gt;0,ISNUMBER('Inspections'!H166)),MAX($B$3:B165)+1,"")</f>
        <v/>
      </c>
      <c r="E166">
        <f>IFERROR(MATCH(163,$B$4:$B$503,0),"")</f>
        <v/>
      </c>
      <c r="H166">
        <f>IF(AND(ISNUMBER('Drill log'!A166),ISNUMBER('Drill log'!N166),ISNUMBER('Drill schedule'!$D$4)),IF(YEAR('Drill log'!A166)='Drill schedule'!$D$4,'Drill log'!N166,""),"")</f>
        <v/>
      </c>
    </row>
    <row r="167">
      <c r="A167">
        <f>IF(AND(LEN('Inspections'!A167)&gt;0,ISNUMBER('Inspections'!H167)),'Inspections'!H167+164/100000,"")</f>
        <v/>
      </c>
      <c r="B167">
        <f>IF(AND(LEN('Inspections'!A167)&gt;0,ISNUMBER('Inspections'!H167)),MAX($B$3:B166)+1,"")</f>
        <v/>
      </c>
      <c r="E167">
        <f>IFERROR(MATCH(164,$B$4:$B$503,0),"")</f>
        <v/>
      </c>
      <c r="H167">
        <f>IF(AND(ISNUMBER('Drill log'!A167),ISNUMBER('Drill log'!N167),ISNUMBER('Drill schedule'!$D$4)),IF(YEAR('Drill log'!A167)='Drill schedule'!$D$4,'Drill log'!N167,""),"")</f>
        <v/>
      </c>
    </row>
    <row r="168">
      <c r="A168">
        <f>IF(AND(LEN('Inspections'!A168)&gt;0,ISNUMBER('Inspections'!H168)),'Inspections'!H168+165/100000,"")</f>
        <v/>
      </c>
      <c r="B168">
        <f>IF(AND(LEN('Inspections'!A168)&gt;0,ISNUMBER('Inspections'!H168)),MAX($B$3:B167)+1,"")</f>
        <v/>
      </c>
      <c r="E168">
        <f>IFERROR(MATCH(165,$B$4:$B$503,0),"")</f>
        <v/>
      </c>
      <c r="H168">
        <f>IF(AND(ISNUMBER('Drill log'!A168),ISNUMBER('Drill log'!N168),ISNUMBER('Drill schedule'!$D$4)),IF(YEAR('Drill log'!A168)='Drill schedule'!$D$4,'Drill log'!N168,""),"")</f>
        <v/>
      </c>
    </row>
    <row r="169">
      <c r="A169">
        <f>IF(AND(LEN('Inspections'!A169)&gt;0,ISNUMBER('Inspections'!H169)),'Inspections'!H169+166/100000,"")</f>
        <v/>
      </c>
      <c r="B169">
        <f>IF(AND(LEN('Inspections'!A169)&gt;0,ISNUMBER('Inspections'!H169)),MAX($B$3:B168)+1,"")</f>
        <v/>
      </c>
      <c r="E169">
        <f>IFERROR(MATCH(166,$B$4:$B$503,0),"")</f>
        <v/>
      </c>
      <c r="H169">
        <f>IF(AND(ISNUMBER('Drill log'!A169),ISNUMBER('Drill log'!N169),ISNUMBER('Drill schedule'!$D$4)),IF(YEAR('Drill log'!A169)='Drill schedule'!$D$4,'Drill log'!N169,""),"")</f>
        <v/>
      </c>
    </row>
    <row r="170">
      <c r="A170">
        <f>IF(AND(LEN('Inspections'!A170)&gt;0,ISNUMBER('Inspections'!H170)),'Inspections'!H170+167/100000,"")</f>
        <v/>
      </c>
      <c r="B170">
        <f>IF(AND(LEN('Inspections'!A170)&gt;0,ISNUMBER('Inspections'!H170)),MAX($B$3:B169)+1,"")</f>
        <v/>
      </c>
      <c r="E170">
        <f>IFERROR(MATCH(167,$B$4:$B$503,0),"")</f>
        <v/>
      </c>
      <c r="H170">
        <f>IF(AND(ISNUMBER('Drill log'!A170),ISNUMBER('Drill log'!N170),ISNUMBER('Drill schedule'!$D$4)),IF(YEAR('Drill log'!A170)='Drill schedule'!$D$4,'Drill log'!N170,""),"")</f>
        <v/>
      </c>
    </row>
    <row r="171">
      <c r="A171">
        <f>IF(AND(LEN('Inspections'!A171)&gt;0,ISNUMBER('Inspections'!H171)),'Inspections'!H171+168/100000,"")</f>
        <v/>
      </c>
      <c r="B171">
        <f>IF(AND(LEN('Inspections'!A171)&gt;0,ISNUMBER('Inspections'!H171)),MAX($B$3:B170)+1,"")</f>
        <v/>
      </c>
      <c r="E171">
        <f>IFERROR(MATCH(168,$B$4:$B$503,0),"")</f>
        <v/>
      </c>
      <c r="H171">
        <f>IF(AND(ISNUMBER('Drill log'!A171),ISNUMBER('Drill log'!N171),ISNUMBER('Drill schedule'!$D$4)),IF(YEAR('Drill log'!A171)='Drill schedule'!$D$4,'Drill log'!N171,""),"")</f>
        <v/>
      </c>
    </row>
    <row r="172">
      <c r="A172">
        <f>IF(AND(LEN('Inspections'!A172)&gt;0,ISNUMBER('Inspections'!H172)),'Inspections'!H172+169/100000,"")</f>
        <v/>
      </c>
      <c r="B172">
        <f>IF(AND(LEN('Inspections'!A172)&gt;0,ISNUMBER('Inspections'!H172)),MAX($B$3:B171)+1,"")</f>
        <v/>
      </c>
      <c r="E172">
        <f>IFERROR(MATCH(169,$B$4:$B$503,0),"")</f>
        <v/>
      </c>
      <c r="H172">
        <f>IF(AND(ISNUMBER('Drill log'!A172),ISNUMBER('Drill log'!N172),ISNUMBER('Drill schedule'!$D$4)),IF(YEAR('Drill log'!A172)='Drill schedule'!$D$4,'Drill log'!N172,""),"")</f>
        <v/>
      </c>
    </row>
    <row r="173">
      <c r="A173">
        <f>IF(AND(LEN('Inspections'!A173)&gt;0,ISNUMBER('Inspections'!H173)),'Inspections'!H173+170/100000,"")</f>
        <v/>
      </c>
      <c r="B173">
        <f>IF(AND(LEN('Inspections'!A173)&gt;0,ISNUMBER('Inspections'!H173)),MAX($B$3:B172)+1,"")</f>
        <v/>
      </c>
      <c r="E173">
        <f>IFERROR(MATCH(170,$B$4:$B$503,0),"")</f>
        <v/>
      </c>
      <c r="H173">
        <f>IF(AND(ISNUMBER('Drill log'!A173),ISNUMBER('Drill log'!N173),ISNUMBER('Drill schedule'!$D$4)),IF(YEAR('Drill log'!A173)='Drill schedule'!$D$4,'Drill log'!N173,""),"")</f>
        <v/>
      </c>
    </row>
    <row r="174">
      <c r="A174">
        <f>IF(AND(LEN('Inspections'!A174)&gt;0,ISNUMBER('Inspections'!H174)),'Inspections'!H174+171/100000,"")</f>
        <v/>
      </c>
      <c r="B174">
        <f>IF(AND(LEN('Inspections'!A174)&gt;0,ISNUMBER('Inspections'!H174)),MAX($B$3:B173)+1,"")</f>
        <v/>
      </c>
      <c r="E174">
        <f>IFERROR(MATCH(171,$B$4:$B$503,0),"")</f>
        <v/>
      </c>
      <c r="H174">
        <f>IF(AND(ISNUMBER('Drill log'!A174),ISNUMBER('Drill log'!N174),ISNUMBER('Drill schedule'!$D$4)),IF(YEAR('Drill log'!A174)='Drill schedule'!$D$4,'Drill log'!N174,""),"")</f>
        <v/>
      </c>
    </row>
    <row r="175">
      <c r="A175">
        <f>IF(AND(LEN('Inspections'!A175)&gt;0,ISNUMBER('Inspections'!H175)),'Inspections'!H175+172/100000,"")</f>
        <v/>
      </c>
      <c r="B175">
        <f>IF(AND(LEN('Inspections'!A175)&gt;0,ISNUMBER('Inspections'!H175)),MAX($B$3:B174)+1,"")</f>
        <v/>
      </c>
      <c r="E175">
        <f>IFERROR(MATCH(172,$B$4:$B$503,0),"")</f>
        <v/>
      </c>
      <c r="H175">
        <f>IF(AND(ISNUMBER('Drill log'!A175),ISNUMBER('Drill log'!N175),ISNUMBER('Drill schedule'!$D$4)),IF(YEAR('Drill log'!A175)='Drill schedule'!$D$4,'Drill log'!N175,""),"")</f>
        <v/>
      </c>
    </row>
    <row r="176">
      <c r="A176">
        <f>IF(AND(LEN('Inspections'!A176)&gt;0,ISNUMBER('Inspections'!H176)),'Inspections'!H176+173/100000,"")</f>
        <v/>
      </c>
      <c r="B176">
        <f>IF(AND(LEN('Inspections'!A176)&gt;0,ISNUMBER('Inspections'!H176)),MAX($B$3:B175)+1,"")</f>
        <v/>
      </c>
      <c r="E176">
        <f>IFERROR(MATCH(173,$B$4:$B$503,0),"")</f>
        <v/>
      </c>
      <c r="H176">
        <f>IF(AND(ISNUMBER('Drill log'!A176),ISNUMBER('Drill log'!N176),ISNUMBER('Drill schedule'!$D$4)),IF(YEAR('Drill log'!A176)='Drill schedule'!$D$4,'Drill log'!N176,""),"")</f>
        <v/>
      </c>
    </row>
    <row r="177">
      <c r="A177">
        <f>IF(AND(LEN('Inspections'!A177)&gt;0,ISNUMBER('Inspections'!H177)),'Inspections'!H177+174/100000,"")</f>
        <v/>
      </c>
      <c r="B177">
        <f>IF(AND(LEN('Inspections'!A177)&gt;0,ISNUMBER('Inspections'!H177)),MAX($B$3:B176)+1,"")</f>
        <v/>
      </c>
      <c r="E177">
        <f>IFERROR(MATCH(174,$B$4:$B$503,0),"")</f>
        <v/>
      </c>
      <c r="H177">
        <f>IF(AND(ISNUMBER('Drill log'!A177),ISNUMBER('Drill log'!N177),ISNUMBER('Drill schedule'!$D$4)),IF(YEAR('Drill log'!A177)='Drill schedule'!$D$4,'Drill log'!N177,""),"")</f>
        <v/>
      </c>
    </row>
    <row r="178">
      <c r="A178">
        <f>IF(AND(LEN('Inspections'!A178)&gt;0,ISNUMBER('Inspections'!H178)),'Inspections'!H178+175/100000,"")</f>
        <v/>
      </c>
      <c r="B178">
        <f>IF(AND(LEN('Inspections'!A178)&gt;0,ISNUMBER('Inspections'!H178)),MAX($B$3:B177)+1,"")</f>
        <v/>
      </c>
      <c r="E178">
        <f>IFERROR(MATCH(175,$B$4:$B$503,0),"")</f>
        <v/>
      </c>
      <c r="H178">
        <f>IF(AND(ISNUMBER('Drill log'!A178),ISNUMBER('Drill log'!N178),ISNUMBER('Drill schedule'!$D$4)),IF(YEAR('Drill log'!A178)='Drill schedule'!$D$4,'Drill log'!N178,""),"")</f>
        <v/>
      </c>
    </row>
    <row r="179">
      <c r="A179">
        <f>IF(AND(LEN('Inspections'!A179)&gt;0,ISNUMBER('Inspections'!H179)),'Inspections'!H179+176/100000,"")</f>
        <v/>
      </c>
      <c r="B179">
        <f>IF(AND(LEN('Inspections'!A179)&gt;0,ISNUMBER('Inspections'!H179)),MAX($B$3:B178)+1,"")</f>
        <v/>
      </c>
      <c r="E179">
        <f>IFERROR(MATCH(176,$B$4:$B$503,0),"")</f>
        <v/>
      </c>
      <c r="H179">
        <f>IF(AND(ISNUMBER('Drill log'!A179),ISNUMBER('Drill log'!N179),ISNUMBER('Drill schedule'!$D$4)),IF(YEAR('Drill log'!A179)='Drill schedule'!$D$4,'Drill log'!N179,""),"")</f>
        <v/>
      </c>
    </row>
    <row r="180">
      <c r="A180">
        <f>IF(AND(LEN('Inspections'!A180)&gt;0,ISNUMBER('Inspections'!H180)),'Inspections'!H180+177/100000,"")</f>
        <v/>
      </c>
      <c r="B180">
        <f>IF(AND(LEN('Inspections'!A180)&gt;0,ISNUMBER('Inspections'!H180)),MAX($B$3:B179)+1,"")</f>
        <v/>
      </c>
      <c r="E180">
        <f>IFERROR(MATCH(177,$B$4:$B$503,0),"")</f>
        <v/>
      </c>
      <c r="H180">
        <f>IF(AND(ISNUMBER('Drill log'!A180),ISNUMBER('Drill log'!N180),ISNUMBER('Drill schedule'!$D$4)),IF(YEAR('Drill log'!A180)='Drill schedule'!$D$4,'Drill log'!N180,""),"")</f>
        <v/>
      </c>
    </row>
    <row r="181">
      <c r="A181">
        <f>IF(AND(LEN('Inspections'!A181)&gt;0,ISNUMBER('Inspections'!H181)),'Inspections'!H181+178/100000,"")</f>
        <v/>
      </c>
      <c r="B181">
        <f>IF(AND(LEN('Inspections'!A181)&gt;0,ISNUMBER('Inspections'!H181)),MAX($B$3:B180)+1,"")</f>
        <v/>
      </c>
      <c r="E181">
        <f>IFERROR(MATCH(178,$B$4:$B$503,0),"")</f>
        <v/>
      </c>
      <c r="H181">
        <f>IF(AND(ISNUMBER('Drill log'!A181),ISNUMBER('Drill log'!N181),ISNUMBER('Drill schedule'!$D$4)),IF(YEAR('Drill log'!A181)='Drill schedule'!$D$4,'Drill log'!N181,""),"")</f>
        <v/>
      </c>
    </row>
    <row r="182">
      <c r="A182">
        <f>IF(AND(LEN('Inspections'!A182)&gt;0,ISNUMBER('Inspections'!H182)),'Inspections'!H182+179/100000,"")</f>
        <v/>
      </c>
      <c r="B182">
        <f>IF(AND(LEN('Inspections'!A182)&gt;0,ISNUMBER('Inspections'!H182)),MAX($B$3:B181)+1,"")</f>
        <v/>
      </c>
      <c r="E182">
        <f>IFERROR(MATCH(179,$B$4:$B$503,0),"")</f>
        <v/>
      </c>
      <c r="H182">
        <f>IF(AND(ISNUMBER('Drill log'!A182),ISNUMBER('Drill log'!N182),ISNUMBER('Drill schedule'!$D$4)),IF(YEAR('Drill log'!A182)='Drill schedule'!$D$4,'Drill log'!N182,""),"")</f>
        <v/>
      </c>
    </row>
    <row r="183">
      <c r="A183">
        <f>IF(AND(LEN('Inspections'!A183)&gt;0,ISNUMBER('Inspections'!H183)),'Inspections'!H183+180/100000,"")</f>
        <v/>
      </c>
      <c r="B183">
        <f>IF(AND(LEN('Inspections'!A183)&gt;0,ISNUMBER('Inspections'!H183)),MAX($B$3:B182)+1,"")</f>
        <v/>
      </c>
      <c r="E183">
        <f>IFERROR(MATCH(180,$B$4:$B$503,0),"")</f>
        <v/>
      </c>
      <c r="H183">
        <f>IF(AND(ISNUMBER('Drill log'!A183),ISNUMBER('Drill log'!N183),ISNUMBER('Drill schedule'!$D$4)),IF(YEAR('Drill log'!A183)='Drill schedule'!$D$4,'Drill log'!N183,""),"")</f>
        <v/>
      </c>
    </row>
    <row r="184">
      <c r="A184">
        <f>IF(AND(LEN('Inspections'!A184)&gt;0,ISNUMBER('Inspections'!H184)),'Inspections'!H184+181/100000,"")</f>
        <v/>
      </c>
      <c r="B184">
        <f>IF(AND(LEN('Inspections'!A184)&gt;0,ISNUMBER('Inspections'!H184)),MAX($B$3:B183)+1,"")</f>
        <v/>
      </c>
      <c r="E184">
        <f>IFERROR(MATCH(181,$B$4:$B$503,0),"")</f>
        <v/>
      </c>
      <c r="H184">
        <f>IF(AND(ISNUMBER('Drill log'!A184),ISNUMBER('Drill log'!N184),ISNUMBER('Drill schedule'!$D$4)),IF(YEAR('Drill log'!A184)='Drill schedule'!$D$4,'Drill log'!N184,""),"")</f>
        <v/>
      </c>
    </row>
    <row r="185">
      <c r="A185">
        <f>IF(AND(LEN('Inspections'!A185)&gt;0,ISNUMBER('Inspections'!H185)),'Inspections'!H185+182/100000,"")</f>
        <v/>
      </c>
      <c r="B185">
        <f>IF(AND(LEN('Inspections'!A185)&gt;0,ISNUMBER('Inspections'!H185)),MAX($B$3:B184)+1,"")</f>
        <v/>
      </c>
      <c r="E185">
        <f>IFERROR(MATCH(182,$B$4:$B$503,0),"")</f>
        <v/>
      </c>
      <c r="H185">
        <f>IF(AND(ISNUMBER('Drill log'!A185),ISNUMBER('Drill log'!N185),ISNUMBER('Drill schedule'!$D$4)),IF(YEAR('Drill log'!A185)='Drill schedule'!$D$4,'Drill log'!N185,""),"")</f>
        <v/>
      </c>
    </row>
    <row r="186">
      <c r="A186">
        <f>IF(AND(LEN('Inspections'!A186)&gt;0,ISNUMBER('Inspections'!H186)),'Inspections'!H186+183/100000,"")</f>
        <v/>
      </c>
      <c r="B186">
        <f>IF(AND(LEN('Inspections'!A186)&gt;0,ISNUMBER('Inspections'!H186)),MAX($B$3:B185)+1,"")</f>
        <v/>
      </c>
      <c r="E186">
        <f>IFERROR(MATCH(183,$B$4:$B$503,0),"")</f>
        <v/>
      </c>
      <c r="H186">
        <f>IF(AND(ISNUMBER('Drill log'!A186),ISNUMBER('Drill log'!N186),ISNUMBER('Drill schedule'!$D$4)),IF(YEAR('Drill log'!A186)='Drill schedule'!$D$4,'Drill log'!N186,""),"")</f>
        <v/>
      </c>
    </row>
    <row r="187">
      <c r="A187">
        <f>IF(AND(LEN('Inspections'!A187)&gt;0,ISNUMBER('Inspections'!H187)),'Inspections'!H187+184/100000,"")</f>
        <v/>
      </c>
      <c r="B187">
        <f>IF(AND(LEN('Inspections'!A187)&gt;0,ISNUMBER('Inspections'!H187)),MAX($B$3:B186)+1,"")</f>
        <v/>
      </c>
      <c r="E187">
        <f>IFERROR(MATCH(184,$B$4:$B$503,0),"")</f>
        <v/>
      </c>
      <c r="H187">
        <f>IF(AND(ISNUMBER('Drill log'!A187),ISNUMBER('Drill log'!N187),ISNUMBER('Drill schedule'!$D$4)),IF(YEAR('Drill log'!A187)='Drill schedule'!$D$4,'Drill log'!N187,""),"")</f>
        <v/>
      </c>
    </row>
    <row r="188">
      <c r="A188">
        <f>IF(AND(LEN('Inspections'!A188)&gt;0,ISNUMBER('Inspections'!H188)),'Inspections'!H188+185/100000,"")</f>
        <v/>
      </c>
      <c r="B188">
        <f>IF(AND(LEN('Inspections'!A188)&gt;0,ISNUMBER('Inspections'!H188)),MAX($B$3:B187)+1,"")</f>
        <v/>
      </c>
      <c r="E188">
        <f>IFERROR(MATCH(185,$B$4:$B$503,0),"")</f>
        <v/>
      </c>
      <c r="H188">
        <f>IF(AND(ISNUMBER('Drill log'!A188),ISNUMBER('Drill log'!N188),ISNUMBER('Drill schedule'!$D$4)),IF(YEAR('Drill log'!A188)='Drill schedule'!$D$4,'Drill log'!N188,""),"")</f>
        <v/>
      </c>
    </row>
    <row r="189">
      <c r="A189">
        <f>IF(AND(LEN('Inspections'!A189)&gt;0,ISNUMBER('Inspections'!H189)),'Inspections'!H189+186/100000,"")</f>
        <v/>
      </c>
      <c r="B189">
        <f>IF(AND(LEN('Inspections'!A189)&gt;0,ISNUMBER('Inspections'!H189)),MAX($B$3:B188)+1,"")</f>
        <v/>
      </c>
      <c r="E189">
        <f>IFERROR(MATCH(186,$B$4:$B$503,0),"")</f>
        <v/>
      </c>
      <c r="H189">
        <f>IF(AND(ISNUMBER('Drill log'!A189),ISNUMBER('Drill log'!N189),ISNUMBER('Drill schedule'!$D$4)),IF(YEAR('Drill log'!A189)='Drill schedule'!$D$4,'Drill log'!N189,""),"")</f>
        <v/>
      </c>
    </row>
    <row r="190">
      <c r="A190">
        <f>IF(AND(LEN('Inspections'!A190)&gt;0,ISNUMBER('Inspections'!H190)),'Inspections'!H190+187/100000,"")</f>
        <v/>
      </c>
      <c r="B190">
        <f>IF(AND(LEN('Inspections'!A190)&gt;0,ISNUMBER('Inspections'!H190)),MAX($B$3:B189)+1,"")</f>
        <v/>
      </c>
      <c r="E190">
        <f>IFERROR(MATCH(187,$B$4:$B$503,0),"")</f>
        <v/>
      </c>
      <c r="H190">
        <f>IF(AND(ISNUMBER('Drill log'!A190),ISNUMBER('Drill log'!N190),ISNUMBER('Drill schedule'!$D$4)),IF(YEAR('Drill log'!A190)='Drill schedule'!$D$4,'Drill log'!N190,""),"")</f>
        <v/>
      </c>
    </row>
    <row r="191">
      <c r="A191">
        <f>IF(AND(LEN('Inspections'!A191)&gt;0,ISNUMBER('Inspections'!H191)),'Inspections'!H191+188/100000,"")</f>
        <v/>
      </c>
      <c r="B191">
        <f>IF(AND(LEN('Inspections'!A191)&gt;0,ISNUMBER('Inspections'!H191)),MAX($B$3:B190)+1,"")</f>
        <v/>
      </c>
      <c r="E191">
        <f>IFERROR(MATCH(188,$B$4:$B$503,0),"")</f>
        <v/>
      </c>
      <c r="H191">
        <f>IF(AND(ISNUMBER('Drill log'!A191),ISNUMBER('Drill log'!N191),ISNUMBER('Drill schedule'!$D$4)),IF(YEAR('Drill log'!A191)='Drill schedule'!$D$4,'Drill log'!N191,""),"")</f>
        <v/>
      </c>
    </row>
    <row r="192">
      <c r="A192">
        <f>IF(AND(LEN('Inspections'!A192)&gt;0,ISNUMBER('Inspections'!H192)),'Inspections'!H192+189/100000,"")</f>
        <v/>
      </c>
      <c r="B192">
        <f>IF(AND(LEN('Inspections'!A192)&gt;0,ISNUMBER('Inspections'!H192)),MAX($B$3:B191)+1,"")</f>
        <v/>
      </c>
      <c r="E192">
        <f>IFERROR(MATCH(189,$B$4:$B$503,0),"")</f>
        <v/>
      </c>
      <c r="H192">
        <f>IF(AND(ISNUMBER('Drill log'!A192),ISNUMBER('Drill log'!N192),ISNUMBER('Drill schedule'!$D$4)),IF(YEAR('Drill log'!A192)='Drill schedule'!$D$4,'Drill log'!N192,""),"")</f>
        <v/>
      </c>
    </row>
    <row r="193">
      <c r="A193">
        <f>IF(AND(LEN('Inspections'!A193)&gt;0,ISNUMBER('Inspections'!H193)),'Inspections'!H193+190/100000,"")</f>
        <v/>
      </c>
      <c r="B193">
        <f>IF(AND(LEN('Inspections'!A193)&gt;0,ISNUMBER('Inspections'!H193)),MAX($B$3:B192)+1,"")</f>
        <v/>
      </c>
      <c r="E193">
        <f>IFERROR(MATCH(190,$B$4:$B$503,0),"")</f>
        <v/>
      </c>
      <c r="H193">
        <f>IF(AND(ISNUMBER('Drill log'!A193),ISNUMBER('Drill log'!N193),ISNUMBER('Drill schedule'!$D$4)),IF(YEAR('Drill log'!A193)='Drill schedule'!$D$4,'Drill log'!N193,""),"")</f>
        <v/>
      </c>
    </row>
    <row r="194">
      <c r="A194">
        <f>IF(AND(LEN('Inspections'!A194)&gt;0,ISNUMBER('Inspections'!H194)),'Inspections'!H194+191/100000,"")</f>
        <v/>
      </c>
      <c r="B194">
        <f>IF(AND(LEN('Inspections'!A194)&gt;0,ISNUMBER('Inspections'!H194)),MAX($B$3:B193)+1,"")</f>
        <v/>
      </c>
      <c r="E194">
        <f>IFERROR(MATCH(191,$B$4:$B$503,0),"")</f>
        <v/>
      </c>
      <c r="H194">
        <f>IF(AND(ISNUMBER('Drill log'!A194),ISNUMBER('Drill log'!N194),ISNUMBER('Drill schedule'!$D$4)),IF(YEAR('Drill log'!A194)='Drill schedule'!$D$4,'Drill log'!N194,""),"")</f>
        <v/>
      </c>
    </row>
    <row r="195">
      <c r="A195">
        <f>IF(AND(LEN('Inspections'!A195)&gt;0,ISNUMBER('Inspections'!H195)),'Inspections'!H195+192/100000,"")</f>
        <v/>
      </c>
      <c r="B195">
        <f>IF(AND(LEN('Inspections'!A195)&gt;0,ISNUMBER('Inspections'!H195)),MAX($B$3:B194)+1,"")</f>
        <v/>
      </c>
      <c r="E195">
        <f>IFERROR(MATCH(192,$B$4:$B$503,0),"")</f>
        <v/>
      </c>
      <c r="H195">
        <f>IF(AND(ISNUMBER('Drill log'!A195),ISNUMBER('Drill log'!N195),ISNUMBER('Drill schedule'!$D$4)),IF(YEAR('Drill log'!A195)='Drill schedule'!$D$4,'Drill log'!N195,""),"")</f>
        <v/>
      </c>
    </row>
    <row r="196">
      <c r="A196">
        <f>IF(AND(LEN('Inspections'!A196)&gt;0,ISNUMBER('Inspections'!H196)),'Inspections'!H196+193/100000,"")</f>
        <v/>
      </c>
      <c r="B196">
        <f>IF(AND(LEN('Inspections'!A196)&gt;0,ISNUMBER('Inspections'!H196)),MAX($B$3:B195)+1,"")</f>
        <v/>
      </c>
      <c r="E196">
        <f>IFERROR(MATCH(193,$B$4:$B$503,0),"")</f>
        <v/>
      </c>
      <c r="H196">
        <f>IF(AND(ISNUMBER('Drill log'!A196),ISNUMBER('Drill log'!N196),ISNUMBER('Drill schedule'!$D$4)),IF(YEAR('Drill log'!A196)='Drill schedule'!$D$4,'Drill log'!N196,""),"")</f>
        <v/>
      </c>
    </row>
    <row r="197">
      <c r="A197">
        <f>IF(AND(LEN('Inspections'!A197)&gt;0,ISNUMBER('Inspections'!H197)),'Inspections'!H197+194/100000,"")</f>
        <v/>
      </c>
      <c r="B197">
        <f>IF(AND(LEN('Inspections'!A197)&gt;0,ISNUMBER('Inspections'!H197)),MAX($B$3:B196)+1,"")</f>
        <v/>
      </c>
      <c r="E197">
        <f>IFERROR(MATCH(194,$B$4:$B$503,0),"")</f>
        <v/>
      </c>
      <c r="H197">
        <f>IF(AND(ISNUMBER('Drill log'!A197),ISNUMBER('Drill log'!N197),ISNUMBER('Drill schedule'!$D$4)),IF(YEAR('Drill log'!A197)='Drill schedule'!$D$4,'Drill log'!N197,""),"")</f>
        <v/>
      </c>
    </row>
    <row r="198">
      <c r="A198">
        <f>IF(AND(LEN('Inspections'!A198)&gt;0,ISNUMBER('Inspections'!H198)),'Inspections'!H198+195/100000,"")</f>
        <v/>
      </c>
      <c r="B198">
        <f>IF(AND(LEN('Inspections'!A198)&gt;0,ISNUMBER('Inspections'!H198)),MAX($B$3:B197)+1,"")</f>
        <v/>
      </c>
      <c r="E198">
        <f>IFERROR(MATCH(195,$B$4:$B$503,0),"")</f>
        <v/>
      </c>
      <c r="H198">
        <f>IF(AND(ISNUMBER('Drill log'!A198),ISNUMBER('Drill log'!N198),ISNUMBER('Drill schedule'!$D$4)),IF(YEAR('Drill log'!A198)='Drill schedule'!$D$4,'Drill log'!N198,""),"")</f>
        <v/>
      </c>
    </row>
    <row r="199">
      <c r="A199">
        <f>IF(AND(LEN('Inspections'!A199)&gt;0,ISNUMBER('Inspections'!H199)),'Inspections'!H199+196/100000,"")</f>
        <v/>
      </c>
      <c r="B199">
        <f>IF(AND(LEN('Inspections'!A199)&gt;0,ISNUMBER('Inspections'!H199)),MAX($B$3:B198)+1,"")</f>
        <v/>
      </c>
      <c r="E199">
        <f>IFERROR(MATCH(196,$B$4:$B$503,0),"")</f>
        <v/>
      </c>
      <c r="H199">
        <f>IF(AND(ISNUMBER('Drill log'!A199),ISNUMBER('Drill log'!N199),ISNUMBER('Drill schedule'!$D$4)),IF(YEAR('Drill log'!A199)='Drill schedule'!$D$4,'Drill log'!N199,""),"")</f>
        <v/>
      </c>
    </row>
    <row r="200">
      <c r="A200">
        <f>IF(AND(LEN('Inspections'!A200)&gt;0,ISNUMBER('Inspections'!H200)),'Inspections'!H200+197/100000,"")</f>
        <v/>
      </c>
      <c r="B200">
        <f>IF(AND(LEN('Inspections'!A200)&gt;0,ISNUMBER('Inspections'!H200)),MAX($B$3:B199)+1,"")</f>
        <v/>
      </c>
      <c r="E200">
        <f>IFERROR(MATCH(197,$B$4:$B$503,0),"")</f>
        <v/>
      </c>
      <c r="H200">
        <f>IF(AND(ISNUMBER('Drill log'!A200),ISNUMBER('Drill log'!N200),ISNUMBER('Drill schedule'!$D$4)),IF(YEAR('Drill log'!A200)='Drill schedule'!$D$4,'Drill log'!N200,""),"")</f>
        <v/>
      </c>
    </row>
    <row r="201">
      <c r="A201">
        <f>IF(AND(LEN('Inspections'!A201)&gt;0,ISNUMBER('Inspections'!H201)),'Inspections'!H201+198/100000,"")</f>
        <v/>
      </c>
      <c r="B201">
        <f>IF(AND(LEN('Inspections'!A201)&gt;0,ISNUMBER('Inspections'!H201)),MAX($B$3:B200)+1,"")</f>
        <v/>
      </c>
      <c r="E201">
        <f>IFERROR(MATCH(198,$B$4:$B$503,0),"")</f>
        <v/>
      </c>
      <c r="H201">
        <f>IF(AND(ISNUMBER('Drill log'!A201),ISNUMBER('Drill log'!N201),ISNUMBER('Drill schedule'!$D$4)),IF(YEAR('Drill log'!A201)='Drill schedule'!$D$4,'Drill log'!N201,""),"")</f>
        <v/>
      </c>
    </row>
    <row r="202">
      <c r="A202">
        <f>IF(AND(LEN('Inspections'!A202)&gt;0,ISNUMBER('Inspections'!H202)),'Inspections'!H202+199/100000,"")</f>
        <v/>
      </c>
      <c r="B202">
        <f>IF(AND(LEN('Inspections'!A202)&gt;0,ISNUMBER('Inspections'!H202)),MAX($B$3:B201)+1,"")</f>
        <v/>
      </c>
      <c r="E202">
        <f>IFERROR(MATCH(199,$B$4:$B$503,0),"")</f>
        <v/>
      </c>
      <c r="H202">
        <f>IF(AND(ISNUMBER('Drill log'!A202),ISNUMBER('Drill log'!N202),ISNUMBER('Drill schedule'!$D$4)),IF(YEAR('Drill log'!A202)='Drill schedule'!$D$4,'Drill log'!N202,""),"")</f>
        <v/>
      </c>
    </row>
    <row r="203">
      <c r="A203">
        <f>IF(AND(LEN('Inspections'!A203)&gt;0,ISNUMBER('Inspections'!H203)),'Inspections'!H203+200/100000,"")</f>
        <v/>
      </c>
      <c r="B203">
        <f>IF(AND(LEN('Inspections'!A203)&gt;0,ISNUMBER('Inspections'!H203)),MAX($B$3:B202)+1,"")</f>
        <v/>
      </c>
      <c r="E203">
        <f>IFERROR(MATCH(200,$B$4:$B$503,0),"")</f>
        <v/>
      </c>
      <c r="H203">
        <f>IF(AND(ISNUMBER('Drill log'!A203),ISNUMBER('Drill log'!N203),ISNUMBER('Drill schedule'!$D$4)),IF(YEAR('Drill log'!A203)='Drill schedule'!$D$4,'Drill log'!N203,""),"")</f>
        <v/>
      </c>
    </row>
    <row r="204">
      <c r="A204">
        <f>IF(AND(LEN('Inspections'!A204)&gt;0,ISNUMBER('Inspections'!H204)),'Inspections'!H204+201/100000,"")</f>
        <v/>
      </c>
      <c r="B204">
        <f>IF(AND(LEN('Inspections'!A204)&gt;0,ISNUMBER('Inspections'!H204)),MAX($B$3:B203)+1,"")</f>
        <v/>
      </c>
      <c r="E204">
        <f>IFERROR(MATCH(201,$B$4:$B$503,0),"")</f>
        <v/>
      </c>
      <c r="H204">
        <f>IF(AND(ISNUMBER('Drill log'!A204),ISNUMBER('Drill log'!N204),ISNUMBER('Drill schedule'!$D$4)),IF(YEAR('Drill log'!A204)='Drill schedule'!$D$4,'Drill log'!N204,""),"")</f>
        <v/>
      </c>
    </row>
    <row r="205">
      <c r="A205">
        <f>IF(AND(LEN('Inspections'!A205)&gt;0,ISNUMBER('Inspections'!H205)),'Inspections'!H205+202/100000,"")</f>
        <v/>
      </c>
      <c r="B205">
        <f>IF(AND(LEN('Inspections'!A205)&gt;0,ISNUMBER('Inspections'!H205)),MAX($B$3:B204)+1,"")</f>
        <v/>
      </c>
      <c r="E205">
        <f>IFERROR(MATCH(202,$B$4:$B$503,0),"")</f>
        <v/>
      </c>
      <c r="H205">
        <f>IF(AND(ISNUMBER('Drill log'!A205),ISNUMBER('Drill log'!N205),ISNUMBER('Drill schedule'!$D$4)),IF(YEAR('Drill log'!A205)='Drill schedule'!$D$4,'Drill log'!N205,""),"")</f>
        <v/>
      </c>
    </row>
    <row r="206">
      <c r="A206">
        <f>IF(AND(LEN('Inspections'!A206)&gt;0,ISNUMBER('Inspections'!H206)),'Inspections'!H206+203/100000,"")</f>
        <v/>
      </c>
      <c r="B206">
        <f>IF(AND(LEN('Inspections'!A206)&gt;0,ISNUMBER('Inspections'!H206)),MAX($B$3:B205)+1,"")</f>
        <v/>
      </c>
      <c r="E206">
        <f>IFERROR(MATCH(203,$B$4:$B$503,0),"")</f>
        <v/>
      </c>
      <c r="H206">
        <f>IF(AND(ISNUMBER('Drill log'!A206),ISNUMBER('Drill log'!N206),ISNUMBER('Drill schedule'!$D$4)),IF(YEAR('Drill log'!A206)='Drill schedule'!$D$4,'Drill log'!N206,""),"")</f>
        <v/>
      </c>
    </row>
    <row r="207">
      <c r="A207">
        <f>IF(AND(LEN('Inspections'!A207)&gt;0,ISNUMBER('Inspections'!H207)),'Inspections'!H207+204/100000,"")</f>
        <v/>
      </c>
      <c r="B207">
        <f>IF(AND(LEN('Inspections'!A207)&gt;0,ISNUMBER('Inspections'!H207)),MAX($B$3:B206)+1,"")</f>
        <v/>
      </c>
      <c r="E207">
        <f>IFERROR(MATCH(204,$B$4:$B$503,0),"")</f>
        <v/>
      </c>
      <c r="H207">
        <f>IF(AND(ISNUMBER('Drill log'!A207),ISNUMBER('Drill log'!N207),ISNUMBER('Drill schedule'!$D$4)),IF(YEAR('Drill log'!A207)='Drill schedule'!$D$4,'Drill log'!N207,""),"")</f>
        <v/>
      </c>
    </row>
    <row r="208">
      <c r="A208">
        <f>IF(AND(LEN('Inspections'!A208)&gt;0,ISNUMBER('Inspections'!H208)),'Inspections'!H208+205/100000,"")</f>
        <v/>
      </c>
      <c r="B208">
        <f>IF(AND(LEN('Inspections'!A208)&gt;0,ISNUMBER('Inspections'!H208)),MAX($B$3:B207)+1,"")</f>
        <v/>
      </c>
      <c r="E208">
        <f>IFERROR(MATCH(205,$B$4:$B$503,0),"")</f>
        <v/>
      </c>
      <c r="H208">
        <f>IF(AND(ISNUMBER('Drill log'!A208),ISNUMBER('Drill log'!N208),ISNUMBER('Drill schedule'!$D$4)),IF(YEAR('Drill log'!A208)='Drill schedule'!$D$4,'Drill log'!N208,""),"")</f>
        <v/>
      </c>
    </row>
    <row r="209">
      <c r="A209">
        <f>IF(AND(LEN('Inspections'!A209)&gt;0,ISNUMBER('Inspections'!H209)),'Inspections'!H209+206/100000,"")</f>
        <v/>
      </c>
      <c r="B209">
        <f>IF(AND(LEN('Inspections'!A209)&gt;0,ISNUMBER('Inspections'!H209)),MAX($B$3:B208)+1,"")</f>
        <v/>
      </c>
      <c r="E209">
        <f>IFERROR(MATCH(206,$B$4:$B$503,0),"")</f>
        <v/>
      </c>
      <c r="H209">
        <f>IF(AND(ISNUMBER('Drill log'!A209),ISNUMBER('Drill log'!N209),ISNUMBER('Drill schedule'!$D$4)),IF(YEAR('Drill log'!A209)='Drill schedule'!$D$4,'Drill log'!N209,""),"")</f>
        <v/>
      </c>
    </row>
    <row r="210">
      <c r="A210">
        <f>IF(AND(LEN('Inspections'!A210)&gt;0,ISNUMBER('Inspections'!H210)),'Inspections'!H210+207/100000,"")</f>
        <v/>
      </c>
      <c r="B210">
        <f>IF(AND(LEN('Inspections'!A210)&gt;0,ISNUMBER('Inspections'!H210)),MAX($B$3:B209)+1,"")</f>
        <v/>
      </c>
      <c r="E210">
        <f>IFERROR(MATCH(207,$B$4:$B$503,0),"")</f>
        <v/>
      </c>
      <c r="H210">
        <f>IF(AND(ISNUMBER('Drill log'!A210),ISNUMBER('Drill log'!N210),ISNUMBER('Drill schedule'!$D$4)),IF(YEAR('Drill log'!A210)='Drill schedule'!$D$4,'Drill log'!N210,""),"")</f>
        <v/>
      </c>
    </row>
    <row r="211">
      <c r="A211">
        <f>IF(AND(LEN('Inspections'!A211)&gt;0,ISNUMBER('Inspections'!H211)),'Inspections'!H211+208/100000,"")</f>
        <v/>
      </c>
      <c r="B211">
        <f>IF(AND(LEN('Inspections'!A211)&gt;0,ISNUMBER('Inspections'!H211)),MAX($B$3:B210)+1,"")</f>
        <v/>
      </c>
      <c r="E211">
        <f>IFERROR(MATCH(208,$B$4:$B$503,0),"")</f>
        <v/>
      </c>
      <c r="H211">
        <f>IF(AND(ISNUMBER('Drill log'!A211),ISNUMBER('Drill log'!N211),ISNUMBER('Drill schedule'!$D$4)),IF(YEAR('Drill log'!A211)='Drill schedule'!$D$4,'Drill log'!N211,""),"")</f>
        <v/>
      </c>
    </row>
    <row r="212">
      <c r="A212">
        <f>IF(AND(LEN('Inspections'!A212)&gt;0,ISNUMBER('Inspections'!H212)),'Inspections'!H212+209/100000,"")</f>
        <v/>
      </c>
      <c r="B212">
        <f>IF(AND(LEN('Inspections'!A212)&gt;0,ISNUMBER('Inspections'!H212)),MAX($B$3:B211)+1,"")</f>
        <v/>
      </c>
      <c r="E212">
        <f>IFERROR(MATCH(209,$B$4:$B$503,0),"")</f>
        <v/>
      </c>
      <c r="H212">
        <f>IF(AND(ISNUMBER('Drill log'!A212),ISNUMBER('Drill log'!N212),ISNUMBER('Drill schedule'!$D$4)),IF(YEAR('Drill log'!A212)='Drill schedule'!$D$4,'Drill log'!N212,""),"")</f>
        <v/>
      </c>
    </row>
    <row r="213">
      <c r="A213">
        <f>IF(AND(LEN('Inspections'!A213)&gt;0,ISNUMBER('Inspections'!H213)),'Inspections'!H213+210/100000,"")</f>
        <v/>
      </c>
      <c r="B213">
        <f>IF(AND(LEN('Inspections'!A213)&gt;0,ISNUMBER('Inspections'!H213)),MAX($B$3:B212)+1,"")</f>
        <v/>
      </c>
      <c r="E213">
        <f>IFERROR(MATCH(210,$B$4:$B$503,0),"")</f>
        <v/>
      </c>
      <c r="H213">
        <f>IF(AND(ISNUMBER('Drill log'!A213),ISNUMBER('Drill log'!N213),ISNUMBER('Drill schedule'!$D$4)),IF(YEAR('Drill log'!A213)='Drill schedule'!$D$4,'Drill log'!N213,""),"")</f>
        <v/>
      </c>
    </row>
    <row r="214">
      <c r="A214">
        <f>IF(AND(LEN('Inspections'!A214)&gt;0,ISNUMBER('Inspections'!H214)),'Inspections'!H214+211/100000,"")</f>
        <v/>
      </c>
      <c r="B214">
        <f>IF(AND(LEN('Inspections'!A214)&gt;0,ISNUMBER('Inspections'!H214)),MAX($B$3:B213)+1,"")</f>
        <v/>
      </c>
      <c r="E214">
        <f>IFERROR(MATCH(211,$B$4:$B$503,0),"")</f>
        <v/>
      </c>
      <c r="H214">
        <f>IF(AND(ISNUMBER('Drill log'!A214),ISNUMBER('Drill log'!N214),ISNUMBER('Drill schedule'!$D$4)),IF(YEAR('Drill log'!A214)='Drill schedule'!$D$4,'Drill log'!N214,""),"")</f>
        <v/>
      </c>
    </row>
    <row r="215">
      <c r="A215">
        <f>IF(AND(LEN('Inspections'!A215)&gt;0,ISNUMBER('Inspections'!H215)),'Inspections'!H215+212/100000,"")</f>
        <v/>
      </c>
      <c r="B215">
        <f>IF(AND(LEN('Inspections'!A215)&gt;0,ISNUMBER('Inspections'!H215)),MAX($B$3:B214)+1,"")</f>
        <v/>
      </c>
      <c r="E215">
        <f>IFERROR(MATCH(212,$B$4:$B$503,0),"")</f>
        <v/>
      </c>
      <c r="H215">
        <f>IF(AND(ISNUMBER('Drill log'!A215),ISNUMBER('Drill log'!N215),ISNUMBER('Drill schedule'!$D$4)),IF(YEAR('Drill log'!A215)='Drill schedule'!$D$4,'Drill log'!N215,""),"")</f>
        <v/>
      </c>
    </row>
    <row r="216">
      <c r="A216">
        <f>IF(AND(LEN('Inspections'!A216)&gt;0,ISNUMBER('Inspections'!H216)),'Inspections'!H216+213/100000,"")</f>
        <v/>
      </c>
      <c r="B216">
        <f>IF(AND(LEN('Inspections'!A216)&gt;0,ISNUMBER('Inspections'!H216)),MAX($B$3:B215)+1,"")</f>
        <v/>
      </c>
      <c r="E216">
        <f>IFERROR(MATCH(213,$B$4:$B$503,0),"")</f>
        <v/>
      </c>
      <c r="H216">
        <f>IF(AND(ISNUMBER('Drill log'!A216),ISNUMBER('Drill log'!N216),ISNUMBER('Drill schedule'!$D$4)),IF(YEAR('Drill log'!A216)='Drill schedule'!$D$4,'Drill log'!N216,""),"")</f>
        <v/>
      </c>
    </row>
    <row r="217">
      <c r="A217">
        <f>IF(AND(LEN('Inspections'!A217)&gt;0,ISNUMBER('Inspections'!H217)),'Inspections'!H217+214/100000,"")</f>
        <v/>
      </c>
      <c r="B217">
        <f>IF(AND(LEN('Inspections'!A217)&gt;0,ISNUMBER('Inspections'!H217)),MAX($B$3:B216)+1,"")</f>
        <v/>
      </c>
      <c r="E217">
        <f>IFERROR(MATCH(214,$B$4:$B$503,0),"")</f>
        <v/>
      </c>
      <c r="H217">
        <f>IF(AND(ISNUMBER('Drill log'!A217),ISNUMBER('Drill log'!N217),ISNUMBER('Drill schedule'!$D$4)),IF(YEAR('Drill log'!A217)='Drill schedule'!$D$4,'Drill log'!N217,""),"")</f>
        <v/>
      </c>
    </row>
    <row r="218">
      <c r="A218">
        <f>IF(AND(LEN('Inspections'!A218)&gt;0,ISNUMBER('Inspections'!H218)),'Inspections'!H218+215/100000,"")</f>
        <v/>
      </c>
      <c r="B218">
        <f>IF(AND(LEN('Inspections'!A218)&gt;0,ISNUMBER('Inspections'!H218)),MAX($B$3:B217)+1,"")</f>
        <v/>
      </c>
      <c r="E218">
        <f>IFERROR(MATCH(215,$B$4:$B$503,0),"")</f>
        <v/>
      </c>
      <c r="H218">
        <f>IF(AND(ISNUMBER('Drill log'!A218),ISNUMBER('Drill log'!N218),ISNUMBER('Drill schedule'!$D$4)),IF(YEAR('Drill log'!A218)='Drill schedule'!$D$4,'Drill log'!N218,""),"")</f>
        <v/>
      </c>
    </row>
    <row r="219">
      <c r="A219">
        <f>IF(AND(LEN('Inspections'!A219)&gt;0,ISNUMBER('Inspections'!H219)),'Inspections'!H219+216/100000,"")</f>
        <v/>
      </c>
      <c r="B219">
        <f>IF(AND(LEN('Inspections'!A219)&gt;0,ISNUMBER('Inspections'!H219)),MAX($B$3:B218)+1,"")</f>
        <v/>
      </c>
      <c r="E219">
        <f>IFERROR(MATCH(216,$B$4:$B$503,0),"")</f>
        <v/>
      </c>
      <c r="H219">
        <f>IF(AND(ISNUMBER('Drill log'!A219),ISNUMBER('Drill log'!N219),ISNUMBER('Drill schedule'!$D$4)),IF(YEAR('Drill log'!A219)='Drill schedule'!$D$4,'Drill log'!N219,""),"")</f>
        <v/>
      </c>
    </row>
    <row r="220">
      <c r="A220">
        <f>IF(AND(LEN('Inspections'!A220)&gt;0,ISNUMBER('Inspections'!H220)),'Inspections'!H220+217/100000,"")</f>
        <v/>
      </c>
      <c r="B220">
        <f>IF(AND(LEN('Inspections'!A220)&gt;0,ISNUMBER('Inspections'!H220)),MAX($B$3:B219)+1,"")</f>
        <v/>
      </c>
      <c r="E220">
        <f>IFERROR(MATCH(217,$B$4:$B$503,0),"")</f>
        <v/>
      </c>
      <c r="H220">
        <f>IF(AND(ISNUMBER('Drill log'!A220),ISNUMBER('Drill log'!N220),ISNUMBER('Drill schedule'!$D$4)),IF(YEAR('Drill log'!A220)='Drill schedule'!$D$4,'Drill log'!N220,""),"")</f>
        <v/>
      </c>
    </row>
    <row r="221">
      <c r="A221">
        <f>IF(AND(LEN('Inspections'!A221)&gt;0,ISNUMBER('Inspections'!H221)),'Inspections'!H221+218/100000,"")</f>
        <v/>
      </c>
      <c r="B221">
        <f>IF(AND(LEN('Inspections'!A221)&gt;0,ISNUMBER('Inspections'!H221)),MAX($B$3:B220)+1,"")</f>
        <v/>
      </c>
      <c r="E221">
        <f>IFERROR(MATCH(218,$B$4:$B$503,0),"")</f>
        <v/>
      </c>
      <c r="H221">
        <f>IF(AND(ISNUMBER('Drill log'!A221),ISNUMBER('Drill log'!N221),ISNUMBER('Drill schedule'!$D$4)),IF(YEAR('Drill log'!A221)='Drill schedule'!$D$4,'Drill log'!N221,""),"")</f>
        <v/>
      </c>
    </row>
    <row r="222">
      <c r="A222">
        <f>IF(AND(LEN('Inspections'!A222)&gt;0,ISNUMBER('Inspections'!H222)),'Inspections'!H222+219/100000,"")</f>
        <v/>
      </c>
      <c r="B222">
        <f>IF(AND(LEN('Inspections'!A222)&gt;0,ISNUMBER('Inspections'!H222)),MAX($B$3:B221)+1,"")</f>
        <v/>
      </c>
      <c r="E222">
        <f>IFERROR(MATCH(219,$B$4:$B$503,0),"")</f>
        <v/>
      </c>
      <c r="H222">
        <f>IF(AND(ISNUMBER('Drill log'!A222),ISNUMBER('Drill log'!N222),ISNUMBER('Drill schedule'!$D$4)),IF(YEAR('Drill log'!A222)='Drill schedule'!$D$4,'Drill log'!N222,""),"")</f>
        <v/>
      </c>
    </row>
    <row r="223">
      <c r="A223">
        <f>IF(AND(LEN('Inspections'!A223)&gt;0,ISNUMBER('Inspections'!H223)),'Inspections'!H223+220/100000,"")</f>
        <v/>
      </c>
      <c r="B223">
        <f>IF(AND(LEN('Inspections'!A223)&gt;0,ISNUMBER('Inspections'!H223)),MAX($B$3:B222)+1,"")</f>
        <v/>
      </c>
      <c r="E223">
        <f>IFERROR(MATCH(220,$B$4:$B$503,0),"")</f>
        <v/>
      </c>
      <c r="H223">
        <f>IF(AND(ISNUMBER('Drill log'!A223),ISNUMBER('Drill log'!N223),ISNUMBER('Drill schedule'!$D$4)),IF(YEAR('Drill log'!A223)='Drill schedule'!$D$4,'Drill log'!N223,""),"")</f>
        <v/>
      </c>
    </row>
    <row r="224">
      <c r="A224">
        <f>IF(AND(LEN('Inspections'!A224)&gt;0,ISNUMBER('Inspections'!H224)),'Inspections'!H224+221/100000,"")</f>
        <v/>
      </c>
      <c r="B224">
        <f>IF(AND(LEN('Inspections'!A224)&gt;0,ISNUMBER('Inspections'!H224)),MAX($B$3:B223)+1,"")</f>
        <v/>
      </c>
      <c r="E224">
        <f>IFERROR(MATCH(221,$B$4:$B$503,0),"")</f>
        <v/>
      </c>
      <c r="H224">
        <f>IF(AND(ISNUMBER('Drill log'!A224),ISNUMBER('Drill log'!N224),ISNUMBER('Drill schedule'!$D$4)),IF(YEAR('Drill log'!A224)='Drill schedule'!$D$4,'Drill log'!N224,""),"")</f>
        <v/>
      </c>
    </row>
    <row r="225">
      <c r="A225">
        <f>IF(AND(LEN('Inspections'!A225)&gt;0,ISNUMBER('Inspections'!H225)),'Inspections'!H225+222/100000,"")</f>
        <v/>
      </c>
      <c r="B225">
        <f>IF(AND(LEN('Inspections'!A225)&gt;0,ISNUMBER('Inspections'!H225)),MAX($B$3:B224)+1,"")</f>
        <v/>
      </c>
      <c r="E225">
        <f>IFERROR(MATCH(222,$B$4:$B$503,0),"")</f>
        <v/>
      </c>
      <c r="H225">
        <f>IF(AND(ISNUMBER('Drill log'!A225),ISNUMBER('Drill log'!N225),ISNUMBER('Drill schedule'!$D$4)),IF(YEAR('Drill log'!A225)='Drill schedule'!$D$4,'Drill log'!N225,""),"")</f>
        <v/>
      </c>
    </row>
    <row r="226">
      <c r="A226">
        <f>IF(AND(LEN('Inspections'!A226)&gt;0,ISNUMBER('Inspections'!H226)),'Inspections'!H226+223/100000,"")</f>
        <v/>
      </c>
      <c r="B226">
        <f>IF(AND(LEN('Inspections'!A226)&gt;0,ISNUMBER('Inspections'!H226)),MAX($B$3:B225)+1,"")</f>
        <v/>
      </c>
      <c r="E226">
        <f>IFERROR(MATCH(223,$B$4:$B$503,0),"")</f>
        <v/>
      </c>
      <c r="H226">
        <f>IF(AND(ISNUMBER('Drill log'!A226),ISNUMBER('Drill log'!N226),ISNUMBER('Drill schedule'!$D$4)),IF(YEAR('Drill log'!A226)='Drill schedule'!$D$4,'Drill log'!N226,""),"")</f>
        <v/>
      </c>
    </row>
    <row r="227">
      <c r="A227">
        <f>IF(AND(LEN('Inspections'!A227)&gt;0,ISNUMBER('Inspections'!H227)),'Inspections'!H227+224/100000,"")</f>
        <v/>
      </c>
      <c r="B227">
        <f>IF(AND(LEN('Inspections'!A227)&gt;0,ISNUMBER('Inspections'!H227)),MAX($B$3:B226)+1,"")</f>
        <v/>
      </c>
      <c r="E227">
        <f>IFERROR(MATCH(224,$B$4:$B$503,0),"")</f>
        <v/>
      </c>
      <c r="H227">
        <f>IF(AND(ISNUMBER('Drill log'!A227),ISNUMBER('Drill log'!N227),ISNUMBER('Drill schedule'!$D$4)),IF(YEAR('Drill log'!A227)='Drill schedule'!$D$4,'Drill log'!N227,""),"")</f>
        <v/>
      </c>
    </row>
    <row r="228">
      <c r="A228">
        <f>IF(AND(LEN('Inspections'!A228)&gt;0,ISNUMBER('Inspections'!H228)),'Inspections'!H228+225/100000,"")</f>
        <v/>
      </c>
      <c r="B228">
        <f>IF(AND(LEN('Inspections'!A228)&gt;0,ISNUMBER('Inspections'!H228)),MAX($B$3:B227)+1,"")</f>
        <v/>
      </c>
      <c r="E228">
        <f>IFERROR(MATCH(225,$B$4:$B$503,0),"")</f>
        <v/>
      </c>
      <c r="H228">
        <f>IF(AND(ISNUMBER('Drill log'!A228),ISNUMBER('Drill log'!N228),ISNUMBER('Drill schedule'!$D$4)),IF(YEAR('Drill log'!A228)='Drill schedule'!$D$4,'Drill log'!N228,""),"")</f>
        <v/>
      </c>
    </row>
    <row r="229">
      <c r="A229">
        <f>IF(AND(LEN('Inspections'!A229)&gt;0,ISNUMBER('Inspections'!H229)),'Inspections'!H229+226/100000,"")</f>
        <v/>
      </c>
      <c r="B229">
        <f>IF(AND(LEN('Inspections'!A229)&gt;0,ISNUMBER('Inspections'!H229)),MAX($B$3:B228)+1,"")</f>
        <v/>
      </c>
      <c r="E229">
        <f>IFERROR(MATCH(226,$B$4:$B$503,0),"")</f>
        <v/>
      </c>
      <c r="H229">
        <f>IF(AND(ISNUMBER('Drill log'!A229),ISNUMBER('Drill log'!N229),ISNUMBER('Drill schedule'!$D$4)),IF(YEAR('Drill log'!A229)='Drill schedule'!$D$4,'Drill log'!N229,""),"")</f>
        <v/>
      </c>
    </row>
    <row r="230">
      <c r="A230">
        <f>IF(AND(LEN('Inspections'!A230)&gt;0,ISNUMBER('Inspections'!H230)),'Inspections'!H230+227/100000,"")</f>
        <v/>
      </c>
      <c r="B230">
        <f>IF(AND(LEN('Inspections'!A230)&gt;0,ISNUMBER('Inspections'!H230)),MAX($B$3:B229)+1,"")</f>
        <v/>
      </c>
      <c r="E230">
        <f>IFERROR(MATCH(227,$B$4:$B$503,0),"")</f>
        <v/>
      </c>
      <c r="H230">
        <f>IF(AND(ISNUMBER('Drill log'!A230),ISNUMBER('Drill log'!N230),ISNUMBER('Drill schedule'!$D$4)),IF(YEAR('Drill log'!A230)='Drill schedule'!$D$4,'Drill log'!N230,""),"")</f>
        <v/>
      </c>
    </row>
    <row r="231">
      <c r="A231">
        <f>IF(AND(LEN('Inspections'!A231)&gt;0,ISNUMBER('Inspections'!H231)),'Inspections'!H231+228/100000,"")</f>
        <v/>
      </c>
      <c r="B231">
        <f>IF(AND(LEN('Inspections'!A231)&gt;0,ISNUMBER('Inspections'!H231)),MAX($B$3:B230)+1,"")</f>
        <v/>
      </c>
      <c r="E231">
        <f>IFERROR(MATCH(228,$B$4:$B$503,0),"")</f>
        <v/>
      </c>
      <c r="H231">
        <f>IF(AND(ISNUMBER('Drill log'!A231),ISNUMBER('Drill log'!N231),ISNUMBER('Drill schedule'!$D$4)),IF(YEAR('Drill log'!A231)='Drill schedule'!$D$4,'Drill log'!N231,""),"")</f>
        <v/>
      </c>
    </row>
    <row r="232">
      <c r="A232">
        <f>IF(AND(LEN('Inspections'!A232)&gt;0,ISNUMBER('Inspections'!H232)),'Inspections'!H232+229/100000,"")</f>
        <v/>
      </c>
      <c r="B232">
        <f>IF(AND(LEN('Inspections'!A232)&gt;0,ISNUMBER('Inspections'!H232)),MAX($B$3:B231)+1,"")</f>
        <v/>
      </c>
      <c r="E232">
        <f>IFERROR(MATCH(229,$B$4:$B$503,0),"")</f>
        <v/>
      </c>
      <c r="H232">
        <f>IF(AND(ISNUMBER('Drill log'!A232),ISNUMBER('Drill log'!N232),ISNUMBER('Drill schedule'!$D$4)),IF(YEAR('Drill log'!A232)='Drill schedule'!$D$4,'Drill log'!N232,""),"")</f>
        <v/>
      </c>
    </row>
    <row r="233">
      <c r="A233">
        <f>IF(AND(LEN('Inspections'!A233)&gt;0,ISNUMBER('Inspections'!H233)),'Inspections'!H233+230/100000,"")</f>
        <v/>
      </c>
      <c r="B233">
        <f>IF(AND(LEN('Inspections'!A233)&gt;0,ISNUMBER('Inspections'!H233)),MAX($B$3:B232)+1,"")</f>
        <v/>
      </c>
      <c r="E233">
        <f>IFERROR(MATCH(230,$B$4:$B$503,0),"")</f>
        <v/>
      </c>
      <c r="H233">
        <f>IF(AND(ISNUMBER('Drill log'!A233),ISNUMBER('Drill log'!N233),ISNUMBER('Drill schedule'!$D$4)),IF(YEAR('Drill log'!A233)='Drill schedule'!$D$4,'Drill log'!N233,""),"")</f>
        <v/>
      </c>
    </row>
    <row r="234">
      <c r="A234">
        <f>IF(AND(LEN('Inspections'!A234)&gt;0,ISNUMBER('Inspections'!H234)),'Inspections'!H234+231/100000,"")</f>
        <v/>
      </c>
      <c r="B234">
        <f>IF(AND(LEN('Inspections'!A234)&gt;0,ISNUMBER('Inspections'!H234)),MAX($B$3:B233)+1,"")</f>
        <v/>
      </c>
      <c r="E234">
        <f>IFERROR(MATCH(231,$B$4:$B$503,0),"")</f>
        <v/>
      </c>
      <c r="H234">
        <f>IF(AND(ISNUMBER('Drill log'!A234),ISNUMBER('Drill log'!N234),ISNUMBER('Drill schedule'!$D$4)),IF(YEAR('Drill log'!A234)='Drill schedule'!$D$4,'Drill log'!N234,""),"")</f>
        <v/>
      </c>
    </row>
    <row r="235">
      <c r="A235">
        <f>IF(AND(LEN('Inspections'!A235)&gt;0,ISNUMBER('Inspections'!H235)),'Inspections'!H235+232/100000,"")</f>
        <v/>
      </c>
      <c r="B235">
        <f>IF(AND(LEN('Inspections'!A235)&gt;0,ISNUMBER('Inspections'!H235)),MAX($B$3:B234)+1,"")</f>
        <v/>
      </c>
      <c r="E235">
        <f>IFERROR(MATCH(232,$B$4:$B$503,0),"")</f>
        <v/>
      </c>
      <c r="H235">
        <f>IF(AND(ISNUMBER('Drill log'!A235),ISNUMBER('Drill log'!N235),ISNUMBER('Drill schedule'!$D$4)),IF(YEAR('Drill log'!A235)='Drill schedule'!$D$4,'Drill log'!N235,""),"")</f>
        <v/>
      </c>
    </row>
    <row r="236">
      <c r="A236">
        <f>IF(AND(LEN('Inspections'!A236)&gt;0,ISNUMBER('Inspections'!H236)),'Inspections'!H236+233/100000,"")</f>
        <v/>
      </c>
      <c r="B236">
        <f>IF(AND(LEN('Inspections'!A236)&gt;0,ISNUMBER('Inspections'!H236)),MAX($B$3:B235)+1,"")</f>
        <v/>
      </c>
      <c r="E236">
        <f>IFERROR(MATCH(233,$B$4:$B$503,0),"")</f>
        <v/>
      </c>
      <c r="H236">
        <f>IF(AND(ISNUMBER('Drill log'!A236),ISNUMBER('Drill log'!N236),ISNUMBER('Drill schedule'!$D$4)),IF(YEAR('Drill log'!A236)='Drill schedule'!$D$4,'Drill log'!N236,""),"")</f>
        <v/>
      </c>
    </row>
    <row r="237">
      <c r="A237">
        <f>IF(AND(LEN('Inspections'!A237)&gt;0,ISNUMBER('Inspections'!H237)),'Inspections'!H237+234/100000,"")</f>
        <v/>
      </c>
      <c r="B237">
        <f>IF(AND(LEN('Inspections'!A237)&gt;0,ISNUMBER('Inspections'!H237)),MAX($B$3:B236)+1,"")</f>
        <v/>
      </c>
      <c r="E237">
        <f>IFERROR(MATCH(234,$B$4:$B$503,0),"")</f>
        <v/>
      </c>
      <c r="H237">
        <f>IF(AND(ISNUMBER('Drill log'!A237),ISNUMBER('Drill log'!N237),ISNUMBER('Drill schedule'!$D$4)),IF(YEAR('Drill log'!A237)='Drill schedule'!$D$4,'Drill log'!N237,""),"")</f>
        <v/>
      </c>
    </row>
    <row r="238">
      <c r="A238">
        <f>IF(AND(LEN('Inspections'!A238)&gt;0,ISNUMBER('Inspections'!H238)),'Inspections'!H238+235/100000,"")</f>
        <v/>
      </c>
      <c r="B238">
        <f>IF(AND(LEN('Inspections'!A238)&gt;0,ISNUMBER('Inspections'!H238)),MAX($B$3:B237)+1,"")</f>
        <v/>
      </c>
      <c r="E238">
        <f>IFERROR(MATCH(235,$B$4:$B$503,0),"")</f>
        <v/>
      </c>
      <c r="H238">
        <f>IF(AND(ISNUMBER('Drill log'!A238),ISNUMBER('Drill log'!N238),ISNUMBER('Drill schedule'!$D$4)),IF(YEAR('Drill log'!A238)='Drill schedule'!$D$4,'Drill log'!N238,""),"")</f>
        <v/>
      </c>
    </row>
    <row r="239">
      <c r="A239">
        <f>IF(AND(LEN('Inspections'!A239)&gt;0,ISNUMBER('Inspections'!H239)),'Inspections'!H239+236/100000,"")</f>
        <v/>
      </c>
      <c r="B239">
        <f>IF(AND(LEN('Inspections'!A239)&gt;0,ISNUMBER('Inspections'!H239)),MAX($B$3:B238)+1,"")</f>
        <v/>
      </c>
      <c r="E239">
        <f>IFERROR(MATCH(236,$B$4:$B$503,0),"")</f>
        <v/>
      </c>
      <c r="H239">
        <f>IF(AND(ISNUMBER('Drill log'!A239),ISNUMBER('Drill log'!N239),ISNUMBER('Drill schedule'!$D$4)),IF(YEAR('Drill log'!A239)='Drill schedule'!$D$4,'Drill log'!N239,""),"")</f>
        <v/>
      </c>
    </row>
    <row r="240">
      <c r="A240">
        <f>IF(AND(LEN('Inspections'!A240)&gt;0,ISNUMBER('Inspections'!H240)),'Inspections'!H240+237/100000,"")</f>
        <v/>
      </c>
      <c r="B240">
        <f>IF(AND(LEN('Inspections'!A240)&gt;0,ISNUMBER('Inspections'!H240)),MAX($B$3:B239)+1,"")</f>
        <v/>
      </c>
      <c r="E240">
        <f>IFERROR(MATCH(237,$B$4:$B$503,0),"")</f>
        <v/>
      </c>
      <c r="H240">
        <f>IF(AND(ISNUMBER('Drill log'!A240),ISNUMBER('Drill log'!N240),ISNUMBER('Drill schedule'!$D$4)),IF(YEAR('Drill log'!A240)='Drill schedule'!$D$4,'Drill log'!N240,""),"")</f>
        <v/>
      </c>
    </row>
    <row r="241">
      <c r="A241">
        <f>IF(AND(LEN('Inspections'!A241)&gt;0,ISNUMBER('Inspections'!H241)),'Inspections'!H241+238/100000,"")</f>
        <v/>
      </c>
      <c r="B241">
        <f>IF(AND(LEN('Inspections'!A241)&gt;0,ISNUMBER('Inspections'!H241)),MAX($B$3:B240)+1,"")</f>
        <v/>
      </c>
      <c r="E241">
        <f>IFERROR(MATCH(238,$B$4:$B$503,0),"")</f>
        <v/>
      </c>
      <c r="H241">
        <f>IF(AND(ISNUMBER('Drill log'!A241),ISNUMBER('Drill log'!N241),ISNUMBER('Drill schedule'!$D$4)),IF(YEAR('Drill log'!A241)='Drill schedule'!$D$4,'Drill log'!N241,""),"")</f>
        <v/>
      </c>
    </row>
    <row r="242">
      <c r="A242">
        <f>IF(AND(LEN('Inspections'!A242)&gt;0,ISNUMBER('Inspections'!H242)),'Inspections'!H242+239/100000,"")</f>
        <v/>
      </c>
      <c r="B242">
        <f>IF(AND(LEN('Inspections'!A242)&gt;0,ISNUMBER('Inspections'!H242)),MAX($B$3:B241)+1,"")</f>
        <v/>
      </c>
      <c r="E242">
        <f>IFERROR(MATCH(239,$B$4:$B$503,0),"")</f>
        <v/>
      </c>
      <c r="H242">
        <f>IF(AND(ISNUMBER('Drill log'!A242),ISNUMBER('Drill log'!N242),ISNUMBER('Drill schedule'!$D$4)),IF(YEAR('Drill log'!A242)='Drill schedule'!$D$4,'Drill log'!N242,""),"")</f>
        <v/>
      </c>
    </row>
    <row r="243">
      <c r="A243">
        <f>IF(AND(LEN('Inspections'!A243)&gt;0,ISNUMBER('Inspections'!H243)),'Inspections'!H243+240/100000,"")</f>
        <v/>
      </c>
      <c r="B243">
        <f>IF(AND(LEN('Inspections'!A243)&gt;0,ISNUMBER('Inspections'!H243)),MAX($B$3:B242)+1,"")</f>
        <v/>
      </c>
      <c r="E243">
        <f>IFERROR(MATCH(240,$B$4:$B$503,0),"")</f>
        <v/>
      </c>
      <c r="H243">
        <f>IF(AND(ISNUMBER('Drill log'!A243),ISNUMBER('Drill log'!N243),ISNUMBER('Drill schedule'!$D$4)),IF(YEAR('Drill log'!A243)='Drill schedule'!$D$4,'Drill log'!N243,""),"")</f>
        <v/>
      </c>
    </row>
    <row r="244">
      <c r="A244">
        <f>IF(AND(LEN('Inspections'!A244)&gt;0,ISNUMBER('Inspections'!H244)),'Inspections'!H244+241/100000,"")</f>
        <v/>
      </c>
      <c r="B244">
        <f>IF(AND(LEN('Inspections'!A244)&gt;0,ISNUMBER('Inspections'!H244)),MAX($B$3:B243)+1,"")</f>
        <v/>
      </c>
      <c r="E244">
        <f>IFERROR(MATCH(241,$B$4:$B$503,0),"")</f>
        <v/>
      </c>
      <c r="H244">
        <f>IF(AND(ISNUMBER('Drill log'!A244),ISNUMBER('Drill log'!N244),ISNUMBER('Drill schedule'!$D$4)),IF(YEAR('Drill log'!A244)='Drill schedule'!$D$4,'Drill log'!N244,""),"")</f>
        <v/>
      </c>
    </row>
    <row r="245">
      <c r="A245">
        <f>IF(AND(LEN('Inspections'!A245)&gt;0,ISNUMBER('Inspections'!H245)),'Inspections'!H245+242/100000,"")</f>
        <v/>
      </c>
      <c r="B245">
        <f>IF(AND(LEN('Inspections'!A245)&gt;0,ISNUMBER('Inspections'!H245)),MAX($B$3:B244)+1,"")</f>
        <v/>
      </c>
      <c r="E245">
        <f>IFERROR(MATCH(242,$B$4:$B$503,0),"")</f>
        <v/>
      </c>
      <c r="H245">
        <f>IF(AND(ISNUMBER('Drill log'!A245),ISNUMBER('Drill log'!N245),ISNUMBER('Drill schedule'!$D$4)),IF(YEAR('Drill log'!A245)='Drill schedule'!$D$4,'Drill log'!N245,""),"")</f>
        <v/>
      </c>
    </row>
    <row r="246">
      <c r="A246">
        <f>IF(AND(LEN('Inspections'!A246)&gt;0,ISNUMBER('Inspections'!H246)),'Inspections'!H246+243/100000,"")</f>
        <v/>
      </c>
      <c r="B246">
        <f>IF(AND(LEN('Inspections'!A246)&gt;0,ISNUMBER('Inspections'!H246)),MAX($B$3:B245)+1,"")</f>
        <v/>
      </c>
      <c r="E246">
        <f>IFERROR(MATCH(243,$B$4:$B$503,0),"")</f>
        <v/>
      </c>
      <c r="H246">
        <f>IF(AND(ISNUMBER('Drill log'!A246),ISNUMBER('Drill log'!N246),ISNUMBER('Drill schedule'!$D$4)),IF(YEAR('Drill log'!A246)='Drill schedule'!$D$4,'Drill log'!N246,""),"")</f>
        <v/>
      </c>
    </row>
    <row r="247">
      <c r="A247">
        <f>IF(AND(LEN('Inspections'!A247)&gt;0,ISNUMBER('Inspections'!H247)),'Inspections'!H247+244/100000,"")</f>
        <v/>
      </c>
      <c r="B247">
        <f>IF(AND(LEN('Inspections'!A247)&gt;0,ISNUMBER('Inspections'!H247)),MAX($B$3:B246)+1,"")</f>
        <v/>
      </c>
      <c r="E247">
        <f>IFERROR(MATCH(244,$B$4:$B$503,0),"")</f>
        <v/>
      </c>
      <c r="H247">
        <f>IF(AND(ISNUMBER('Drill log'!A247),ISNUMBER('Drill log'!N247),ISNUMBER('Drill schedule'!$D$4)),IF(YEAR('Drill log'!A247)='Drill schedule'!$D$4,'Drill log'!N247,""),"")</f>
        <v/>
      </c>
    </row>
    <row r="248">
      <c r="A248">
        <f>IF(AND(LEN('Inspections'!A248)&gt;0,ISNUMBER('Inspections'!H248)),'Inspections'!H248+245/100000,"")</f>
        <v/>
      </c>
      <c r="B248">
        <f>IF(AND(LEN('Inspections'!A248)&gt;0,ISNUMBER('Inspections'!H248)),MAX($B$3:B247)+1,"")</f>
        <v/>
      </c>
      <c r="E248">
        <f>IFERROR(MATCH(245,$B$4:$B$503,0),"")</f>
        <v/>
      </c>
      <c r="H248">
        <f>IF(AND(ISNUMBER('Drill log'!A248),ISNUMBER('Drill log'!N248),ISNUMBER('Drill schedule'!$D$4)),IF(YEAR('Drill log'!A248)='Drill schedule'!$D$4,'Drill log'!N248,""),"")</f>
        <v/>
      </c>
    </row>
    <row r="249">
      <c r="A249">
        <f>IF(AND(LEN('Inspections'!A249)&gt;0,ISNUMBER('Inspections'!H249)),'Inspections'!H249+246/100000,"")</f>
        <v/>
      </c>
      <c r="B249">
        <f>IF(AND(LEN('Inspections'!A249)&gt;0,ISNUMBER('Inspections'!H249)),MAX($B$3:B248)+1,"")</f>
        <v/>
      </c>
      <c r="E249">
        <f>IFERROR(MATCH(246,$B$4:$B$503,0),"")</f>
        <v/>
      </c>
      <c r="H249">
        <f>IF(AND(ISNUMBER('Drill log'!A249),ISNUMBER('Drill log'!N249),ISNUMBER('Drill schedule'!$D$4)),IF(YEAR('Drill log'!A249)='Drill schedule'!$D$4,'Drill log'!N249,""),"")</f>
        <v/>
      </c>
    </row>
    <row r="250">
      <c r="A250">
        <f>IF(AND(LEN('Inspections'!A250)&gt;0,ISNUMBER('Inspections'!H250)),'Inspections'!H250+247/100000,"")</f>
        <v/>
      </c>
      <c r="B250">
        <f>IF(AND(LEN('Inspections'!A250)&gt;0,ISNUMBER('Inspections'!H250)),MAX($B$3:B249)+1,"")</f>
        <v/>
      </c>
      <c r="E250">
        <f>IFERROR(MATCH(247,$B$4:$B$503,0),"")</f>
        <v/>
      </c>
      <c r="H250">
        <f>IF(AND(ISNUMBER('Drill log'!A250),ISNUMBER('Drill log'!N250),ISNUMBER('Drill schedule'!$D$4)),IF(YEAR('Drill log'!A250)='Drill schedule'!$D$4,'Drill log'!N250,""),"")</f>
        <v/>
      </c>
    </row>
    <row r="251">
      <c r="A251">
        <f>IF(AND(LEN('Inspections'!A251)&gt;0,ISNUMBER('Inspections'!H251)),'Inspections'!H251+248/100000,"")</f>
        <v/>
      </c>
      <c r="B251">
        <f>IF(AND(LEN('Inspections'!A251)&gt;0,ISNUMBER('Inspections'!H251)),MAX($B$3:B250)+1,"")</f>
        <v/>
      </c>
      <c r="E251">
        <f>IFERROR(MATCH(248,$B$4:$B$503,0),"")</f>
        <v/>
      </c>
      <c r="H251">
        <f>IF(AND(ISNUMBER('Drill log'!A251),ISNUMBER('Drill log'!N251),ISNUMBER('Drill schedule'!$D$4)),IF(YEAR('Drill log'!A251)='Drill schedule'!$D$4,'Drill log'!N251,""),"")</f>
        <v/>
      </c>
    </row>
    <row r="252">
      <c r="A252">
        <f>IF(AND(LEN('Inspections'!A252)&gt;0,ISNUMBER('Inspections'!H252)),'Inspections'!H252+249/100000,"")</f>
        <v/>
      </c>
      <c r="B252">
        <f>IF(AND(LEN('Inspections'!A252)&gt;0,ISNUMBER('Inspections'!H252)),MAX($B$3:B251)+1,"")</f>
        <v/>
      </c>
      <c r="E252">
        <f>IFERROR(MATCH(249,$B$4:$B$503,0),"")</f>
        <v/>
      </c>
      <c r="H252">
        <f>IF(AND(ISNUMBER('Drill log'!A252),ISNUMBER('Drill log'!N252),ISNUMBER('Drill schedule'!$D$4)),IF(YEAR('Drill log'!A252)='Drill schedule'!$D$4,'Drill log'!N252,""),"")</f>
        <v/>
      </c>
    </row>
    <row r="253">
      <c r="A253">
        <f>IF(AND(LEN('Inspections'!A253)&gt;0,ISNUMBER('Inspections'!H253)),'Inspections'!H253+250/100000,"")</f>
        <v/>
      </c>
      <c r="B253">
        <f>IF(AND(LEN('Inspections'!A253)&gt;0,ISNUMBER('Inspections'!H253)),MAX($B$3:B252)+1,"")</f>
        <v/>
      </c>
      <c r="E253">
        <f>IFERROR(MATCH(250,$B$4:$B$503,0),"")</f>
        <v/>
      </c>
      <c r="H253">
        <f>IF(AND(ISNUMBER('Drill log'!A253),ISNUMBER('Drill log'!N253),ISNUMBER('Drill schedule'!$D$4)),IF(YEAR('Drill log'!A253)='Drill schedule'!$D$4,'Drill log'!N253,""),"")</f>
        <v/>
      </c>
    </row>
    <row r="254">
      <c r="A254">
        <f>IF(AND(LEN('Inspections'!A254)&gt;0,ISNUMBER('Inspections'!H254)),'Inspections'!H254+251/100000,"")</f>
        <v/>
      </c>
      <c r="B254">
        <f>IF(AND(LEN('Inspections'!A254)&gt;0,ISNUMBER('Inspections'!H254)),MAX($B$3:B253)+1,"")</f>
        <v/>
      </c>
      <c r="E254">
        <f>IFERROR(MATCH(251,$B$4:$B$503,0),"")</f>
        <v/>
      </c>
      <c r="H254">
        <f>IF(AND(ISNUMBER('Drill log'!A254),ISNUMBER('Drill log'!N254),ISNUMBER('Drill schedule'!$D$4)),IF(YEAR('Drill log'!A254)='Drill schedule'!$D$4,'Drill log'!N254,""),"")</f>
        <v/>
      </c>
    </row>
    <row r="255">
      <c r="A255">
        <f>IF(AND(LEN('Inspections'!A255)&gt;0,ISNUMBER('Inspections'!H255)),'Inspections'!H255+252/100000,"")</f>
        <v/>
      </c>
      <c r="B255">
        <f>IF(AND(LEN('Inspections'!A255)&gt;0,ISNUMBER('Inspections'!H255)),MAX($B$3:B254)+1,"")</f>
        <v/>
      </c>
      <c r="E255">
        <f>IFERROR(MATCH(252,$B$4:$B$503,0),"")</f>
        <v/>
      </c>
      <c r="H255">
        <f>IF(AND(ISNUMBER('Drill log'!A255),ISNUMBER('Drill log'!N255),ISNUMBER('Drill schedule'!$D$4)),IF(YEAR('Drill log'!A255)='Drill schedule'!$D$4,'Drill log'!N255,""),"")</f>
        <v/>
      </c>
    </row>
    <row r="256">
      <c r="A256">
        <f>IF(AND(LEN('Inspections'!A256)&gt;0,ISNUMBER('Inspections'!H256)),'Inspections'!H256+253/100000,"")</f>
        <v/>
      </c>
      <c r="B256">
        <f>IF(AND(LEN('Inspections'!A256)&gt;0,ISNUMBER('Inspections'!H256)),MAX($B$3:B255)+1,"")</f>
        <v/>
      </c>
      <c r="E256">
        <f>IFERROR(MATCH(253,$B$4:$B$503,0),"")</f>
        <v/>
      </c>
      <c r="H256">
        <f>IF(AND(ISNUMBER('Drill log'!A256),ISNUMBER('Drill log'!N256),ISNUMBER('Drill schedule'!$D$4)),IF(YEAR('Drill log'!A256)='Drill schedule'!$D$4,'Drill log'!N256,""),"")</f>
        <v/>
      </c>
    </row>
    <row r="257">
      <c r="A257">
        <f>IF(AND(LEN('Inspections'!A257)&gt;0,ISNUMBER('Inspections'!H257)),'Inspections'!H257+254/100000,"")</f>
        <v/>
      </c>
      <c r="B257">
        <f>IF(AND(LEN('Inspections'!A257)&gt;0,ISNUMBER('Inspections'!H257)),MAX($B$3:B256)+1,"")</f>
        <v/>
      </c>
      <c r="E257">
        <f>IFERROR(MATCH(254,$B$4:$B$503,0),"")</f>
        <v/>
      </c>
      <c r="H257">
        <f>IF(AND(ISNUMBER('Drill log'!A257),ISNUMBER('Drill log'!N257),ISNUMBER('Drill schedule'!$D$4)),IF(YEAR('Drill log'!A257)='Drill schedule'!$D$4,'Drill log'!N257,""),"")</f>
        <v/>
      </c>
    </row>
    <row r="258">
      <c r="A258">
        <f>IF(AND(LEN('Inspections'!A258)&gt;0,ISNUMBER('Inspections'!H258)),'Inspections'!H258+255/100000,"")</f>
        <v/>
      </c>
      <c r="B258">
        <f>IF(AND(LEN('Inspections'!A258)&gt;0,ISNUMBER('Inspections'!H258)),MAX($B$3:B257)+1,"")</f>
        <v/>
      </c>
      <c r="E258">
        <f>IFERROR(MATCH(255,$B$4:$B$503,0),"")</f>
        <v/>
      </c>
      <c r="H258">
        <f>IF(AND(ISNUMBER('Drill log'!A258),ISNUMBER('Drill log'!N258),ISNUMBER('Drill schedule'!$D$4)),IF(YEAR('Drill log'!A258)='Drill schedule'!$D$4,'Drill log'!N258,""),"")</f>
        <v/>
      </c>
    </row>
    <row r="259">
      <c r="A259">
        <f>IF(AND(LEN('Inspections'!A259)&gt;0,ISNUMBER('Inspections'!H259)),'Inspections'!H259+256/100000,"")</f>
        <v/>
      </c>
      <c r="B259">
        <f>IF(AND(LEN('Inspections'!A259)&gt;0,ISNUMBER('Inspections'!H259)),MAX($B$3:B258)+1,"")</f>
        <v/>
      </c>
      <c r="E259">
        <f>IFERROR(MATCH(256,$B$4:$B$503,0),"")</f>
        <v/>
      </c>
      <c r="H259">
        <f>IF(AND(ISNUMBER('Drill log'!A259),ISNUMBER('Drill log'!N259),ISNUMBER('Drill schedule'!$D$4)),IF(YEAR('Drill log'!A259)='Drill schedule'!$D$4,'Drill log'!N259,""),"")</f>
        <v/>
      </c>
    </row>
    <row r="260">
      <c r="A260">
        <f>IF(AND(LEN('Inspections'!A260)&gt;0,ISNUMBER('Inspections'!H260)),'Inspections'!H260+257/100000,"")</f>
        <v/>
      </c>
      <c r="B260">
        <f>IF(AND(LEN('Inspections'!A260)&gt;0,ISNUMBER('Inspections'!H260)),MAX($B$3:B259)+1,"")</f>
        <v/>
      </c>
      <c r="E260">
        <f>IFERROR(MATCH(257,$B$4:$B$503,0),"")</f>
        <v/>
      </c>
      <c r="H260">
        <f>IF(AND(ISNUMBER('Drill log'!A260),ISNUMBER('Drill log'!N260),ISNUMBER('Drill schedule'!$D$4)),IF(YEAR('Drill log'!A260)='Drill schedule'!$D$4,'Drill log'!N260,""),"")</f>
        <v/>
      </c>
    </row>
    <row r="261">
      <c r="A261">
        <f>IF(AND(LEN('Inspections'!A261)&gt;0,ISNUMBER('Inspections'!H261)),'Inspections'!H261+258/100000,"")</f>
        <v/>
      </c>
      <c r="B261">
        <f>IF(AND(LEN('Inspections'!A261)&gt;0,ISNUMBER('Inspections'!H261)),MAX($B$3:B260)+1,"")</f>
        <v/>
      </c>
      <c r="E261">
        <f>IFERROR(MATCH(258,$B$4:$B$503,0),"")</f>
        <v/>
      </c>
      <c r="H261">
        <f>IF(AND(ISNUMBER('Drill log'!A261),ISNUMBER('Drill log'!N261),ISNUMBER('Drill schedule'!$D$4)),IF(YEAR('Drill log'!A261)='Drill schedule'!$D$4,'Drill log'!N261,""),"")</f>
        <v/>
      </c>
    </row>
    <row r="262">
      <c r="A262">
        <f>IF(AND(LEN('Inspections'!A262)&gt;0,ISNUMBER('Inspections'!H262)),'Inspections'!H262+259/100000,"")</f>
        <v/>
      </c>
      <c r="B262">
        <f>IF(AND(LEN('Inspections'!A262)&gt;0,ISNUMBER('Inspections'!H262)),MAX($B$3:B261)+1,"")</f>
        <v/>
      </c>
      <c r="E262">
        <f>IFERROR(MATCH(259,$B$4:$B$503,0),"")</f>
        <v/>
      </c>
      <c r="H262">
        <f>IF(AND(ISNUMBER('Drill log'!A262),ISNUMBER('Drill log'!N262),ISNUMBER('Drill schedule'!$D$4)),IF(YEAR('Drill log'!A262)='Drill schedule'!$D$4,'Drill log'!N262,""),"")</f>
        <v/>
      </c>
    </row>
    <row r="263">
      <c r="A263">
        <f>IF(AND(LEN('Inspections'!A263)&gt;0,ISNUMBER('Inspections'!H263)),'Inspections'!H263+260/100000,"")</f>
        <v/>
      </c>
      <c r="B263">
        <f>IF(AND(LEN('Inspections'!A263)&gt;0,ISNUMBER('Inspections'!H263)),MAX($B$3:B262)+1,"")</f>
        <v/>
      </c>
      <c r="E263">
        <f>IFERROR(MATCH(260,$B$4:$B$503,0),"")</f>
        <v/>
      </c>
      <c r="H263">
        <f>IF(AND(ISNUMBER('Drill log'!A263),ISNUMBER('Drill log'!N263),ISNUMBER('Drill schedule'!$D$4)),IF(YEAR('Drill log'!A263)='Drill schedule'!$D$4,'Drill log'!N263,""),"")</f>
        <v/>
      </c>
    </row>
    <row r="264">
      <c r="A264">
        <f>IF(AND(LEN('Inspections'!A264)&gt;0,ISNUMBER('Inspections'!H264)),'Inspections'!H264+261/100000,"")</f>
        <v/>
      </c>
      <c r="B264">
        <f>IF(AND(LEN('Inspections'!A264)&gt;0,ISNUMBER('Inspections'!H264)),MAX($B$3:B263)+1,"")</f>
        <v/>
      </c>
      <c r="E264">
        <f>IFERROR(MATCH(261,$B$4:$B$503,0),"")</f>
        <v/>
      </c>
      <c r="H264">
        <f>IF(AND(ISNUMBER('Drill log'!A264),ISNUMBER('Drill log'!N264),ISNUMBER('Drill schedule'!$D$4)),IF(YEAR('Drill log'!A264)='Drill schedule'!$D$4,'Drill log'!N264,""),"")</f>
        <v/>
      </c>
    </row>
    <row r="265">
      <c r="A265">
        <f>IF(AND(LEN('Inspections'!A265)&gt;0,ISNUMBER('Inspections'!H265)),'Inspections'!H265+262/100000,"")</f>
        <v/>
      </c>
      <c r="B265">
        <f>IF(AND(LEN('Inspections'!A265)&gt;0,ISNUMBER('Inspections'!H265)),MAX($B$3:B264)+1,"")</f>
        <v/>
      </c>
      <c r="E265">
        <f>IFERROR(MATCH(262,$B$4:$B$503,0),"")</f>
        <v/>
      </c>
      <c r="H265">
        <f>IF(AND(ISNUMBER('Drill log'!A265),ISNUMBER('Drill log'!N265),ISNUMBER('Drill schedule'!$D$4)),IF(YEAR('Drill log'!A265)='Drill schedule'!$D$4,'Drill log'!N265,""),"")</f>
        <v/>
      </c>
    </row>
    <row r="266">
      <c r="A266">
        <f>IF(AND(LEN('Inspections'!A266)&gt;0,ISNUMBER('Inspections'!H266)),'Inspections'!H266+263/100000,"")</f>
        <v/>
      </c>
      <c r="B266">
        <f>IF(AND(LEN('Inspections'!A266)&gt;0,ISNUMBER('Inspections'!H266)),MAX($B$3:B265)+1,"")</f>
        <v/>
      </c>
      <c r="E266">
        <f>IFERROR(MATCH(263,$B$4:$B$503,0),"")</f>
        <v/>
      </c>
      <c r="H266">
        <f>IF(AND(ISNUMBER('Drill log'!A266),ISNUMBER('Drill log'!N266),ISNUMBER('Drill schedule'!$D$4)),IF(YEAR('Drill log'!A266)='Drill schedule'!$D$4,'Drill log'!N266,""),"")</f>
        <v/>
      </c>
    </row>
    <row r="267">
      <c r="A267">
        <f>IF(AND(LEN('Inspections'!A267)&gt;0,ISNUMBER('Inspections'!H267)),'Inspections'!H267+264/100000,"")</f>
        <v/>
      </c>
      <c r="B267">
        <f>IF(AND(LEN('Inspections'!A267)&gt;0,ISNUMBER('Inspections'!H267)),MAX($B$3:B266)+1,"")</f>
        <v/>
      </c>
      <c r="E267">
        <f>IFERROR(MATCH(264,$B$4:$B$503,0),"")</f>
        <v/>
      </c>
      <c r="H267">
        <f>IF(AND(ISNUMBER('Drill log'!A267),ISNUMBER('Drill log'!N267),ISNUMBER('Drill schedule'!$D$4)),IF(YEAR('Drill log'!A267)='Drill schedule'!$D$4,'Drill log'!N267,""),"")</f>
        <v/>
      </c>
    </row>
    <row r="268">
      <c r="A268">
        <f>IF(AND(LEN('Inspections'!A268)&gt;0,ISNUMBER('Inspections'!H268)),'Inspections'!H268+265/100000,"")</f>
        <v/>
      </c>
      <c r="B268">
        <f>IF(AND(LEN('Inspections'!A268)&gt;0,ISNUMBER('Inspections'!H268)),MAX($B$3:B267)+1,"")</f>
        <v/>
      </c>
      <c r="E268">
        <f>IFERROR(MATCH(265,$B$4:$B$503,0),"")</f>
        <v/>
      </c>
      <c r="H268">
        <f>IF(AND(ISNUMBER('Drill log'!A268),ISNUMBER('Drill log'!N268),ISNUMBER('Drill schedule'!$D$4)),IF(YEAR('Drill log'!A268)='Drill schedule'!$D$4,'Drill log'!N268,""),"")</f>
        <v/>
      </c>
    </row>
    <row r="269">
      <c r="A269">
        <f>IF(AND(LEN('Inspections'!A269)&gt;0,ISNUMBER('Inspections'!H269)),'Inspections'!H269+266/100000,"")</f>
        <v/>
      </c>
      <c r="B269">
        <f>IF(AND(LEN('Inspections'!A269)&gt;0,ISNUMBER('Inspections'!H269)),MAX($B$3:B268)+1,"")</f>
        <v/>
      </c>
      <c r="E269">
        <f>IFERROR(MATCH(266,$B$4:$B$503,0),"")</f>
        <v/>
      </c>
      <c r="H269">
        <f>IF(AND(ISNUMBER('Drill log'!A269),ISNUMBER('Drill log'!N269),ISNUMBER('Drill schedule'!$D$4)),IF(YEAR('Drill log'!A269)='Drill schedule'!$D$4,'Drill log'!N269,""),"")</f>
        <v/>
      </c>
    </row>
    <row r="270">
      <c r="A270">
        <f>IF(AND(LEN('Inspections'!A270)&gt;0,ISNUMBER('Inspections'!H270)),'Inspections'!H270+267/100000,"")</f>
        <v/>
      </c>
      <c r="B270">
        <f>IF(AND(LEN('Inspections'!A270)&gt;0,ISNUMBER('Inspections'!H270)),MAX($B$3:B269)+1,"")</f>
        <v/>
      </c>
      <c r="E270">
        <f>IFERROR(MATCH(267,$B$4:$B$503,0),"")</f>
        <v/>
      </c>
      <c r="H270">
        <f>IF(AND(ISNUMBER('Drill log'!A270),ISNUMBER('Drill log'!N270),ISNUMBER('Drill schedule'!$D$4)),IF(YEAR('Drill log'!A270)='Drill schedule'!$D$4,'Drill log'!N270,""),"")</f>
        <v/>
      </c>
    </row>
    <row r="271">
      <c r="A271">
        <f>IF(AND(LEN('Inspections'!A271)&gt;0,ISNUMBER('Inspections'!H271)),'Inspections'!H271+268/100000,"")</f>
        <v/>
      </c>
      <c r="B271">
        <f>IF(AND(LEN('Inspections'!A271)&gt;0,ISNUMBER('Inspections'!H271)),MAX($B$3:B270)+1,"")</f>
        <v/>
      </c>
      <c r="E271">
        <f>IFERROR(MATCH(268,$B$4:$B$503,0),"")</f>
        <v/>
      </c>
      <c r="H271">
        <f>IF(AND(ISNUMBER('Drill log'!A271),ISNUMBER('Drill log'!N271),ISNUMBER('Drill schedule'!$D$4)),IF(YEAR('Drill log'!A271)='Drill schedule'!$D$4,'Drill log'!N271,""),"")</f>
        <v/>
      </c>
    </row>
    <row r="272">
      <c r="A272">
        <f>IF(AND(LEN('Inspections'!A272)&gt;0,ISNUMBER('Inspections'!H272)),'Inspections'!H272+269/100000,"")</f>
        <v/>
      </c>
      <c r="B272">
        <f>IF(AND(LEN('Inspections'!A272)&gt;0,ISNUMBER('Inspections'!H272)),MAX($B$3:B271)+1,"")</f>
        <v/>
      </c>
      <c r="E272">
        <f>IFERROR(MATCH(269,$B$4:$B$503,0),"")</f>
        <v/>
      </c>
      <c r="H272">
        <f>IF(AND(ISNUMBER('Drill log'!A272),ISNUMBER('Drill log'!N272),ISNUMBER('Drill schedule'!$D$4)),IF(YEAR('Drill log'!A272)='Drill schedule'!$D$4,'Drill log'!N272,""),"")</f>
        <v/>
      </c>
    </row>
    <row r="273">
      <c r="A273">
        <f>IF(AND(LEN('Inspections'!A273)&gt;0,ISNUMBER('Inspections'!H273)),'Inspections'!H273+270/100000,"")</f>
        <v/>
      </c>
      <c r="B273">
        <f>IF(AND(LEN('Inspections'!A273)&gt;0,ISNUMBER('Inspections'!H273)),MAX($B$3:B272)+1,"")</f>
        <v/>
      </c>
      <c r="E273">
        <f>IFERROR(MATCH(270,$B$4:$B$503,0),"")</f>
        <v/>
      </c>
      <c r="H273">
        <f>IF(AND(ISNUMBER('Drill log'!A273),ISNUMBER('Drill log'!N273),ISNUMBER('Drill schedule'!$D$4)),IF(YEAR('Drill log'!A273)='Drill schedule'!$D$4,'Drill log'!N273,""),"")</f>
        <v/>
      </c>
    </row>
    <row r="274">
      <c r="A274">
        <f>IF(AND(LEN('Inspections'!A274)&gt;0,ISNUMBER('Inspections'!H274)),'Inspections'!H274+271/100000,"")</f>
        <v/>
      </c>
      <c r="B274">
        <f>IF(AND(LEN('Inspections'!A274)&gt;0,ISNUMBER('Inspections'!H274)),MAX($B$3:B273)+1,"")</f>
        <v/>
      </c>
      <c r="E274">
        <f>IFERROR(MATCH(271,$B$4:$B$503,0),"")</f>
        <v/>
      </c>
      <c r="H274">
        <f>IF(AND(ISNUMBER('Drill log'!A274),ISNUMBER('Drill log'!N274),ISNUMBER('Drill schedule'!$D$4)),IF(YEAR('Drill log'!A274)='Drill schedule'!$D$4,'Drill log'!N274,""),"")</f>
        <v/>
      </c>
    </row>
    <row r="275">
      <c r="A275">
        <f>IF(AND(LEN('Inspections'!A275)&gt;0,ISNUMBER('Inspections'!H275)),'Inspections'!H275+272/100000,"")</f>
        <v/>
      </c>
      <c r="B275">
        <f>IF(AND(LEN('Inspections'!A275)&gt;0,ISNUMBER('Inspections'!H275)),MAX($B$3:B274)+1,"")</f>
        <v/>
      </c>
      <c r="E275">
        <f>IFERROR(MATCH(272,$B$4:$B$503,0),"")</f>
        <v/>
      </c>
      <c r="H275">
        <f>IF(AND(ISNUMBER('Drill log'!A275),ISNUMBER('Drill log'!N275),ISNUMBER('Drill schedule'!$D$4)),IF(YEAR('Drill log'!A275)='Drill schedule'!$D$4,'Drill log'!N275,""),"")</f>
        <v/>
      </c>
    </row>
    <row r="276">
      <c r="A276">
        <f>IF(AND(LEN('Inspections'!A276)&gt;0,ISNUMBER('Inspections'!H276)),'Inspections'!H276+273/100000,"")</f>
        <v/>
      </c>
      <c r="B276">
        <f>IF(AND(LEN('Inspections'!A276)&gt;0,ISNUMBER('Inspections'!H276)),MAX($B$3:B275)+1,"")</f>
        <v/>
      </c>
      <c r="E276">
        <f>IFERROR(MATCH(273,$B$4:$B$503,0),"")</f>
        <v/>
      </c>
      <c r="H276">
        <f>IF(AND(ISNUMBER('Drill log'!A276),ISNUMBER('Drill log'!N276),ISNUMBER('Drill schedule'!$D$4)),IF(YEAR('Drill log'!A276)='Drill schedule'!$D$4,'Drill log'!N276,""),"")</f>
        <v/>
      </c>
    </row>
    <row r="277">
      <c r="A277">
        <f>IF(AND(LEN('Inspections'!A277)&gt;0,ISNUMBER('Inspections'!H277)),'Inspections'!H277+274/100000,"")</f>
        <v/>
      </c>
      <c r="B277">
        <f>IF(AND(LEN('Inspections'!A277)&gt;0,ISNUMBER('Inspections'!H277)),MAX($B$3:B276)+1,"")</f>
        <v/>
      </c>
      <c r="E277">
        <f>IFERROR(MATCH(274,$B$4:$B$503,0),"")</f>
        <v/>
      </c>
      <c r="H277">
        <f>IF(AND(ISNUMBER('Drill log'!A277),ISNUMBER('Drill log'!N277),ISNUMBER('Drill schedule'!$D$4)),IF(YEAR('Drill log'!A277)='Drill schedule'!$D$4,'Drill log'!N277,""),"")</f>
        <v/>
      </c>
    </row>
    <row r="278">
      <c r="A278">
        <f>IF(AND(LEN('Inspections'!A278)&gt;0,ISNUMBER('Inspections'!H278)),'Inspections'!H278+275/100000,"")</f>
        <v/>
      </c>
      <c r="B278">
        <f>IF(AND(LEN('Inspections'!A278)&gt;0,ISNUMBER('Inspections'!H278)),MAX($B$3:B277)+1,"")</f>
        <v/>
      </c>
      <c r="E278">
        <f>IFERROR(MATCH(275,$B$4:$B$503,0),"")</f>
        <v/>
      </c>
      <c r="H278">
        <f>IF(AND(ISNUMBER('Drill log'!A278),ISNUMBER('Drill log'!N278),ISNUMBER('Drill schedule'!$D$4)),IF(YEAR('Drill log'!A278)='Drill schedule'!$D$4,'Drill log'!N278,""),"")</f>
        <v/>
      </c>
    </row>
    <row r="279">
      <c r="A279">
        <f>IF(AND(LEN('Inspections'!A279)&gt;0,ISNUMBER('Inspections'!H279)),'Inspections'!H279+276/100000,"")</f>
        <v/>
      </c>
      <c r="B279">
        <f>IF(AND(LEN('Inspections'!A279)&gt;0,ISNUMBER('Inspections'!H279)),MAX($B$3:B278)+1,"")</f>
        <v/>
      </c>
      <c r="E279">
        <f>IFERROR(MATCH(276,$B$4:$B$503,0),"")</f>
        <v/>
      </c>
      <c r="H279">
        <f>IF(AND(ISNUMBER('Drill log'!A279),ISNUMBER('Drill log'!N279),ISNUMBER('Drill schedule'!$D$4)),IF(YEAR('Drill log'!A279)='Drill schedule'!$D$4,'Drill log'!N279,""),"")</f>
        <v/>
      </c>
    </row>
    <row r="280">
      <c r="A280">
        <f>IF(AND(LEN('Inspections'!A280)&gt;0,ISNUMBER('Inspections'!H280)),'Inspections'!H280+277/100000,"")</f>
        <v/>
      </c>
      <c r="B280">
        <f>IF(AND(LEN('Inspections'!A280)&gt;0,ISNUMBER('Inspections'!H280)),MAX($B$3:B279)+1,"")</f>
        <v/>
      </c>
      <c r="E280">
        <f>IFERROR(MATCH(277,$B$4:$B$503,0),"")</f>
        <v/>
      </c>
      <c r="H280">
        <f>IF(AND(ISNUMBER('Drill log'!A280),ISNUMBER('Drill log'!N280),ISNUMBER('Drill schedule'!$D$4)),IF(YEAR('Drill log'!A280)='Drill schedule'!$D$4,'Drill log'!N280,""),"")</f>
        <v/>
      </c>
    </row>
    <row r="281">
      <c r="A281">
        <f>IF(AND(LEN('Inspections'!A281)&gt;0,ISNUMBER('Inspections'!H281)),'Inspections'!H281+278/100000,"")</f>
        <v/>
      </c>
      <c r="B281">
        <f>IF(AND(LEN('Inspections'!A281)&gt;0,ISNUMBER('Inspections'!H281)),MAX($B$3:B280)+1,"")</f>
        <v/>
      </c>
      <c r="E281">
        <f>IFERROR(MATCH(278,$B$4:$B$503,0),"")</f>
        <v/>
      </c>
      <c r="H281">
        <f>IF(AND(ISNUMBER('Drill log'!A281),ISNUMBER('Drill log'!N281),ISNUMBER('Drill schedule'!$D$4)),IF(YEAR('Drill log'!A281)='Drill schedule'!$D$4,'Drill log'!N281,""),"")</f>
        <v/>
      </c>
    </row>
    <row r="282">
      <c r="A282">
        <f>IF(AND(LEN('Inspections'!A282)&gt;0,ISNUMBER('Inspections'!H282)),'Inspections'!H282+279/100000,"")</f>
        <v/>
      </c>
      <c r="B282">
        <f>IF(AND(LEN('Inspections'!A282)&gt;0,ISNUMBER('Inspections'!H282)),MAX($B$3:B281)+1,"")</f>
        <v/>
      </c>
      <c r="E282">
        <f>IFERROR(MATCH(279,$B$4:$B$503,0),"")</f>
        <v/>
      </c>
      <c r="H282">
        <f>IF(AND(ISNUMBER('Drill log'!A282),ISNUMBER('Drill log'!N282),ISNUMBER('Drill schedule'!$D$4)),IF(YEAR('Drill log'!A282)='Drill schedule'!$D$4,'Drill log'!N282,""),"")</f>
        <v/>
      </c>
    </row>
    <row r="283">
      <c r="A283">
        <f>IF(AND(LEN('Inspections'!A283)&gt;0,ISNUMBER('Inspections'!H283)),'Inspections'!H283+280/100000,"")</f>
        <v/>
      </c>
      <c r="B283">
        <f>IF(AND(LEN('Inspections'!A283)&gt;0,ISNUMBER('Inspections'!H283)),MAX($B$3:B282)+1,"")</f>
        <v/>
      </c>
      <c r="E283">
        <f>IFERROR(MATCH(280,$B$4:$B$503,0),"")</f>
        <v/>
      </c>
      <c r="H283">
        <f>IF(AND(ISNUMBER('Drill log'!A283),ISNUMBER('Drill log'!N283),ISNUMBER('Drill schedule'!$D$4)),IF(YEAR('Drill log'!A283)='Drill schedule'!$D$4,'Drill log'!N283,""),"")</f>
        <v/>
      </c>
    </row>
    <row r="284">
      <c r="A284">
        <f>IF(AND(LEN('Inspections'!A284)&gt;0,ISNUMBER('Inspections'!H284)),'Inspections'!H284+281/100000,"")</f>
        <v/>
      </c>
      <c r="B284">
        <f>IF(AND(LEN('Inspections'!A284)&gt;0,ISNUMBER('Inspections'!H284)),MAX($B$3:B283)+1,"")</f>
        <v/>
      </c>
      <c r="E284">
        <f>IFERROR(MATCH(281,$B$4:$B$503,0),"")</f>
        <v/>
      </c>
      <c r="H284">
        <f>IF(AND(ISNUMBER('Drill log'!A284),ISNUMBER('Drill log'!N284),ISNUMBER('Drill schedule'!$D$4)),IF(YEAR('Drill log'!A284)='Drill schedule'!$D$4,'Drill log'!N284,""),"")</f>
        <v/>
      </c>
    </row>
    <row r="285">
      <c r="A285">
        <f>IF(AND(LEN('Inspections'!A285)&gt;0,ISNUMBER('Inspections'!H285)),'Inspections'!H285+282/100000,"")</f>
        <v/>
      </c>
      <c r="B285">
        <f>IF(AND(LEN('Inspections'!A285)&gt;0,ISNUMBER('Inspections'!H285)),MAX($B$3:B284)+1,"")</f>
        <v/>
      </c>
      <c r="E285">
        <f>IFERROR(MATCH(282,$B$4:$B$503,0),"")</f>
        <v/>
      </c>
      <c r="H285">
        <f>IF(AND(ISNUMBER('Drill log'!A285),ISNUMBER('Drill log'!N285),ISNUMBER('Drill schedule'!$D$4)),IF(YEAR('Drill log'!A285)='Drill schedule'!$D$4,'Drill log'!N285,""),"")</f>
        <v/>
      </c>
    </row>
    <row r="286">
      <c r="A286">
        <f>IF(AND(LEN('Inspections'!A286)&gt;0,ISNUMBER('Inspections'!H286)),'Inspections'!H286+283/100000,"")</f>
        <v/>
      </c>
      <c r="B286">
        <f>IF(AND(LEN('Inspections'!A286)&gt;0,ISNUMBER('Inspections'!H286)),MAX($B$3:B285)+1,"")</f>
        <v/>
      </c>
      <c r="E286">
        <f>IFERROR(MATCH(283,$B$4:$B$503,0),"")</f>
        <v/>
      </c>
      <c r="H286">
        <f>IF(AND(ISNUMBER('Drill log'!A286),ISNUMBER('Drill log'!N286),ISNUMBER('Drill schedule'!$D$4)),IF(YEAR('Drill log'!A286)='Drill schedule'!$D$4,'Drill log'!N286,""),"")</f>
        <v/>
      </c>
    </row>
    <row r="287">
      <c r="A287">
        <f>IF(AND(LEN('Inspections'!A287)&gt;0,ISNUMBER('Inspections'!H287)),'Inspections'!H287+284/100000,"")</f>
        <v/>
      </c>
      <c r="B287">
        <f>IF(AND(LEN('Inspections'!A287)&gt;0,ISNUMBER('Inspections'!H287)),MAX($B$3:B286)+1,"")</f>
        <v/>
      </c>
      <c r="E287">
        <f>IFERROR(MATCH(284,$B$4:$B$503,0),"")</f>
        <v/>
      </c>
      <c r="H287">
        <f>IF(AND(ISNUMBER('Drill log'!A287),ISNUMBER('Drill log'!N287),ISNUMBER('Drill schedule'!$D$4)),IF(YEAR('Drill log'!A287)='Drill schedule'!$D$4,'Drill log'!N287,""),"")</f>
        <v/>
      </c>
    </row>
    <row r="288">
      <c r="A288">
        <f>IF(AND(LEN('Inspections'!A288)&gt;0,ISNUMBER('Inspections'!H288)),'Inspections'!H288+285/100000,"")</f>
        <v/>
      </c>
      <c r="B288">
        <f>IF(AND(LEN('Inspections'!A288)&gt;0,ISNUMBER('Inspections'!H288)),MAX($B$3:B287)+1,"")</f>
        <v/>
      </c>
      <c r="E288">
        <f>IFERROR(MATCH(285,$B$4:$B$503,0),"")</f>
        <v/>
      </c>
      <c r="H288">
        <f>IF(AND(ISNUMBER('Drill log'!A288),ISNUMBER('Drill log'!N288),ISNUMBER('Drill schedule'!$D$4)),IF(YEAR('Drill log'!A288)='Drill schedule'!$D$4,'Drill log'!N288,""),"")</f>
        <v/>
      </c>
    </row>
    <row r="289">
      <c r="A289">
        <f>IF(AND(LEN('Inspections'!A289)&gt;0,ISNUMBER('Inspections'!H289)),'Inspections'!H289+286/100000,"")</f>
        <v/>
      </c>
      <c r="B289">
        <f>IF(AND(LEN('Inspections'!A289)&gt;0,ISNUMBER('Inspections'!H289)),MAX($B$3:B288)+1,"")</f>
        <v/>
      </c>
      <c r="E289">
        <f>IFERROR(MATCH(286,$B$4:$B$503,0),"")</f>
        <v/>
      </c>
      <c r="H289">
        <f>IF(AND(ISNUMBER('Drill log'!A289),ISNUMBER('Drill log'!N289),ISNUMBER('Drill schedule'!$D$4)),IF(YEAR('Drill log'!A289)='Drill schedule'!$D$4,'Drill log'!N289,""),"")</f>
        <v/>
      </c>
    </row>
    <row r="290">
      <c r="A290">
        <f>IF(AND(LEN('Inspections'!A290)&gt;0,ISNUMBER('Inspections'!H290)),'Inspections'!H290+287/100000,"")</f>
        <v/>
      </c>
      <c r="B290">
        <f>IF(AND(LEN('Inspections'!A290)&gt;0,ISNUMBER('Inspections'!H290)),MAX($B$3:B289)+1,"")</f>
        <v/>
      </c>
      <c r="E290">
        <f>IFERROR(MATCH(287,$B$4:$B$503,0),"")</f>
        <v/>
      </c>
      <c r="H290">
        <f>IF(AND(ISNUMBER('Drill log'!A290),ISNUMBER('Drill log'!N290),ISNUMBER('Drill schedule'!$D$4)),IF(YEAR('Drill log'!A290)='Drill schedule'!$D$4,'Drill log'!N290,""),"")</f>
        <v/>
      </c>
    </row>
    <row r="291">
      <c r="A291">
        <f>IF(AND(LEN('Inspections'!A291)&gt;0,ISNUMBER('Inspections'!H291)),'Inspections'!H291+288/100000,"")</f>
        <v/>
      </c>
      <c r="B291">
        <f>IF(AND(LEN('Inspections'!A291)&gt;0,ISNUMBER('Inspections'!H291)),MAX($B$3:B290)+1,"")</f>
        <v/>
      </c>
      <c r="E291">
        <f>IFERROR(MATCH(288,$B$4:$B$503,0),"")</f>
        <v/>
      </c>
      <c r="H291">
        <f>IF(AND(ISNUMBER('Drill log'!A291),ISNUMBER('Drill log'!N291),ISNUMBER('Drill schedule'!$D$4)),IF(YEAR('Drill log'!A291)='Drill schedule'!$D$4,'Drill log'!N291,""),"")</f>
        <v/>
      </c>
    </row>
    <row r="292">
      <c r="A292">
        <f>IF(AND(LEN('Inspections'!A292)&gt;0,ISNUMBER('Inspections'!H292)),'Inspections'!H292+289/100000,"")</f>
        <v/>
      </c>
      <c r="B292">
        <f>IF(AND(LEN('Inspections'!A292)&gt;0,ISNUMBER('Inspections'!H292)),MAX($B$3:B291)+1,"")</f>
        <v/>
      </c>
      <c r="E292">
        <f>IFERROR(MATCH(289,$B$4:$B$503,0),"")</f>
        <v/>
      </c>
      <c r="H292">
        <f>IF(AND(ISNUMBER('Drill log'!A292),ISNUMBER('Drill log'!N292),ISNUMBER('Drill schedule'!$D$4)),IF(YEAR('Drill log'!A292)='Drill schedule'!$D$4,'Drill log'!N292,""),"")</f>
        <v/>
      </c>
    </row>
    <row r="293">
      <c r="A293">
        <f>IF(AND(LEN('Inspections'!A293)&gt;0,ISNUMBER('Inspections'!H293)),'Inspections'!H293+290/100000,"")</f>
        <v/>
      </c>
      <c r="B293">
        <f>IF(AND(LEN('Inspections'!A293)&gt;0,ISNUMBER('Inspections'!H293)),MAX($B$3:B292)+1,"")</f>
        <v/>
      </c>
      <c r="E293">
        <f>IFERROR(MATCH(290,$B$4:$B$503,0),"")</f>
        <v/>
      </c>
      <c r="H293">
        <f>IF(AND(ISNUMBER('Drill log'!A293),ISNUMBER('Drill log'!N293),ISNUMBER('Drill schedule'!$D$4)),IF(YEAR('Drill log'!A293)='Drill schedule'!$D$4,'Drill log'!N293,""),"")</f>
        <v/>
      </c>
    </row>
    <row r="294">
      <c r="A294">
        <f>IF(AND(LEN('Inspections'!A294)&gt;0,ISNUMBER('Inspections'!H294)),'Inspections'!H294+291/100000,"")</f>
        <v/>
      </c>
      <c r="B294">
        <f>IF(AND(LEN('Inspections'!A294)&gt;0,ISNUMBER('Inspections'!H294)),MAX($B$3:B293)+1,"")</f>
        <v/>
      </c>
      <c r="E294">
        <f>IFERROR(MATCH(291,$B$4:$B$503,0),"")</f>
        <v/>
      </c>
      <c r="H294">
        <f>IF(AND(ISNUMBER('Drill log'!A294),ISNUMBER('Drill log'!N294),ISNUMBER('Drill schedule'!$D$4)),IF(YEAR('Drill log'!A294)='Drill schedule'!$D$4,'Drill log'!N294,""),"")</f>
        <v/>
      </c>
    </row>
    <row r="295">
      <c r="A295">
        <f>IF(AND(LEN('Inspections'!A295)&gt;0,ISNUMBER('Inspections'!H295)),'Inspections'!H295+292/100000,"")</f>
        <v/>
      </c>
      <c r="B295">
        <f>IF(AND(LEN('Inspections'!A295)&gt;0,ISNUMBER('Inspections'!H295)),MAX($B$3:B294)+1,"")</f>
        <v/>
      </c>
      <c r="E295">
        <f>IFERROR(MATCH(292,$B$4:$B$503,0),"")</f>
        <v/>
      </c>
      <c r="H295">
        <f>IF(AND(ISNUMBER('Drill log'!A295),ISNUMBER('Drill log'!N295),ISNUMBER('Drill schedule'!$D$4)),IF(YEAR('Drill log'!A295)='Drill schedule'!$D$4,'Drill log'!N295,""),"")</f>
        <v/>
      </c>
    </row>
    <row r="296">
      <c r="A296">
        <f>IF(AND(LEN('Inspections'!A296)&gt;0,ISNUMBER('Inspections'!H296)),'Inspections'!H296+293/100000,"")</f>
        <v/>
      </c>
      <c r="B296">
        <f>IF(AND(LEN('Inspections'!A296)&gt;0,ISNUMBER('Inspections'!H296)),MAX($B$3:B295)+1,"")</f>
        <v/>
      </c>
      <c r="E296">
        <f>IFERROR(MATCH(293,$B$4:$B$503,0),"")</f>
        <v/>
      </c>
      <c r="H296">
        <f>IF(AND(ISNUMBER('Drill log'!A296),ISNUMBER('Drill log'!N296),ISNUMBER('Drill schedule'!$D$4)),IF(YEAR('Drill log'!A296)='Drill schedule'!$D$4,'Drill log'!N296,""),"")</f>
        <v/>
      </c>
    </row>
    <row r="297">
      <c r="A297">
        <f>IF(AND(LEN('Inspections'!A297)&gt;0,ISNUMBER('Inspections'!H297)),'Inspections'!H297+294/100000,"")</f>
        <v/>
      </c>
      <c r="B297">
        <f>IF(AND(LEN('Inspections'!A297)&gt;0,ISNUMBER('Inspections'!H297)),MAX($B$3:B296)+1,"")</f>
        <v/>
      </c>
      <c r="E297">
        <f>IFERROR(MATCH(294,$B$4:$B$503,0),"")</f>
        <v/>
      </c>
      <c r="H297">
        <f>IF(AND(ISNUMBER('Drill log'!A297),ISNUMBER('Drill log'!N297),ISNUMBER('Drill schedule'!$D$4)),IF(YEAR('Drill log'!A297)='Drill schedule'!$D$4,'Drill log'!N297,""),"")</f>
        <v/>
      </c>
    </row>
    <row r="298">
      <c r="A298">
        <f>IF(AND(LEN('Inspections'!A298)&gt;0,ISNUMBER('Inspections'!H298)),'Inspections'!H298+295/100000,"")</f>
        <v/>
      </c>
      <c r="B298">
        <f>IF(AND(LEN('Inspections'!A298)&gt;0,ISNUMBER('Inspections'!H298)),MAX($B$3:B297)+1,"")</f>
        <v/>
      </c>
      <c r="E298">
        <f>IFERROR(MATCH(295,$B$4:$B$503,0),"")</f>
        <v/>
      </c>
      <c r="H298">
        <f>IF(AND(ISNUMBER('Drill log'!A298),ISNUMBER('Drill log'!N298),ISNUMBER('Drill schedule'!$D$4)),IF(YEAR('Drill log'!A298)='Drill schedule'!$D$4,'Drill log'!N298,""),"")</f>
        <v/>
      </c>
    </row>
    <row r="299">
      <c r="A299">
        <f>IF(AND(LEN('Inspections'!A299)&gt;0,ISNUMBER('Inspections'!H299)),'Inspections'!H299+296/100000,"")</f>
        <v/>
      </c>
      <c r="B299">
        <f>IF(AND(LEN('Inspections'!A299)&gt;0,ISNUMBER('Inspections'!H299)),MAX($B$3:B298)+1,"")</f>
        <v/>
      </c>
      <c r="E299">
        <f>IFERROR(MATCH(296,$B$4:$B$503,0),"")</f>
        <v/>
      </c>
      <c r="H299">
        <f>IF(AND(ISNUMBER('Drill log'!A299),ISNUMBER('Drill log'!N299),ISNUMBER('Drill schedule'!$D$4)),IF(YEAR('Drill log'!A299)='Drill schedule'!$D$4,'Drill log'!N299,""),"")</f>
        <v/>
      </c>
    </row>
    <row r="300">
      <c r="A300">
        <f>IF(AND(LEN('Inspections'!A300)&gt;0,ISNUMBER('Inspections'!H300)),'Inspections'!H300+297/100000,"")</f>
        <v/>
      </c>
      <c r="B300">
        <f>IF(AND(LEN('Inspections'!A300)&gt;0,ISNUMBER('Inspections'!H300)),MAX($B$3:B299)+1,"")</f>
        <v/>
      </c>
      <c r="E300">
        <f>IFERROR(MATCH(297,$B$4:$B$503,0),"")</f>
        <v/>
      </c>
      <c r="H300">
        <f>IF(AND(ISNUMBER('Drill log'!A300),ISNUMBER('Drill log'!N300),ISNUMBER('Drill schedule'!$D$4)),IF(YEAR('Drill log'!A300)='Drill schedule'!$D$4,'Drill log'!N300,""),"")</f>
        <v/>
      </c>
    </row>
    <row r="301">
      <c r="A301">
        <f>IF(AND(LEN('Inspections'!A301)&gt;0,ISNUMBER('Inspections'!H301)),'Inspections'!H301+298/100000,"")</f>
        <v/>
      </c>
      <c r="B301">
        <f>IF(AND(LEN('Inspections'!A301)&gt;0,ISNUMBER('Inspections'!H301)),MAX($B$3:B300)+1,"")</f>
        <v/>
      </c>
      <c r="E301">
        <f>IFERROR(MATCH(298,$B$4:$B$503,0),"")</f>
        <v/>
      </c>
      <c r="H301">
        <f>IF(AND(ISNUMBER('Drill log'!A301),ISNUMBER('Drill log'!N301),ISNUMBER('Drill schedule'!$D$4)),IF(YEAR('Drill log'!A301)='Drill schedule'!$D$4,'Drill log'!N301,""),"")</f>
        <v/>
      </c>
    </row>
    <row r="302">
      <c r="A302">
        <f>IF(AND(LEN('Inspections'!A302)&gt;0,ISNUMBER('Inspections'!H302)),'Inspections'!H302+299/100000,"")</f>
        <v/>
      </c>
      <c r="B302">
        <f>IF(AND(LEN('Inspections'!A302)&gt;0,ISNUMBER('Inspections'!H302)),MAX($B$3:B301)+1,"")</f>
        <v/>
      </c>
      <c r="E302">
        <f>IFERROR(MATCH(299,$B$4:$B$503,0),"")</f>
        <v/>
      </c>
      <c r="H302">
        <f>IF(AND(ISNUMBER('Drill log'!A302),ISNUMBER('Drill log'!N302),ISNUMBER('Drill schedule'!$D$4)),IF(YEAR('Drill log'!A302)='Drill schedule'!$D$4,'Drill log'!N302,""),"")</f>
        <v/>
      </c>
    </row>
    <row r="303">
      <c r="A303">
        <f>IF(AND(LEN('Inspections'!A303)&gt;0,ISNUMBER('Inspections'!H303)),'Inspections'!H303+300/100000,"")</f>
        <v/>
      </c>
      <c r="B303">
        <f>IF(AND(LEN('Inspections'!A303)&gt;0,ISNUMBER('Inspections'!H303)),MAX($B$3:B302)+1,"")</f>
        <v/>
      </c>
      <c r="E303">
        <f>IFERROR(MATCH(300,$B$4:$B$503,0),"")</f>
        <v/>
      </c>
      <c r="H303">
        <f>IF(AND(ISNUMBER('Drill log'!A303),ISNUMBER('Drill log'!N303),ISNUMBER('Drill schedule'!$D$4)),IF(YEAR('Drill log'!A303)='Drill schedule'!$D$4,'Drill log'!N303,""),"")</f>
        <v/>
      </c>
    </row>
    <row r="304">
      <c r="A304">
        <f>IF(AND(LEN('Inspections'!A304)&gt;0,ISNUMBER('Inspections'!H304)),'Inspections'!H304+301/100000,"")</f>
        <v/>
      </c>
      <c r="B304">
        <f>IF(AND(LEN('Inspections'!A304)&gt;0,ISNUMBER('Inspections'!H304)),MAX($B$3:B303)+1,"")</f>
        <v/>
      </c>
      <c r="E304">
        <f>IFERROR(MATCH(301,$B$4:$B$503,0),"")</f>
        <v/>
      </c>
      <c r="H304">
        <f>IF(AND(ISNUMBER('Drill log'!A304),ISNUMBER('Drill log'!N304),ISNUMBER('Drill schedule'!$D$4)),IF(YEAR('Drill log'!A304)='Drill schedule'!$D$4,'Drill log'!N304,""),"")</f>
        <v/>
      </c>
    </row>
    <row r="305">
      <c r="A305">
        <f>IF(AND(LEN('Inspections'!A305)&gt;0,ISNUMBER('Inspections'!H305)),'Inspections'!H305+302/100000,"")</f>
        <v/>
      </c>
      <c r="B305">
        <f>IF(AND(LEN('Inspections'!A305)&gt;0,ISNUMBER('Inspections'!H305)),MAX($B$3:B304)+1,"")</f>
        <v/>
      </c>
      <c r="E305">
        <f>IFERROR(MATCH(302,$B$4:$B$503,0),"")</f>
        <v/>
      </c>
      <c r="H305">
        <f>IF(AND(ISNUMBER('Drill log'!A305),ISNUMBER('Drill log'!N305),ISNUMBER('Drill schedule'!$D$4)),IF(YEAR('Drill log'!A305)='Drill schedule'!$D$4,'Drill log'!N305,""),"")</f>
        <v/>
      </c>
    </row>
    <row r="306">
      <c r="A306">
        <f>IF(AND(LEN('Inspections'!A306)&gt;0,ISNUMBER('Inspections'!H306)),'Inspections'!H306+303/100000,"")</f>
        <v/>
      </c>
      <c r="B306">
        <f>IF(AND(LEN('Inspections'!A306)&gt;0,ISNUMBER('Inspections'!H306)),MAX($B$3:B305)+1,"")</f>
        <v/>
      </c>
      <c r="E306">
        <f>IFERROR(MATCH(303,$B$4:$B$503,0),"")</f>
        <v/>
      </c>
      <c r="H306">
        <f>IF(AND(ISNUMBER('Drill log'!A306),ISNUMBER('Drill log'!N306),ISNUMBER('Drill schedule'!$D$4)),IF(YEAR('Drill log'!A306)='Drill schedule'!$D$4,'Drill log'!N306,""),"")</f>
        <v/>
      </c>
    </row>
    <row r="307">
      <c r="A307">
        <f>IF(AND(LEN('Inspections'!A307)&gt;0,ISNUMBER('Inspections'!H307)),'Inspections'!H307+304/100000,"")</f>
        <v/>
      </c>
      <c r="B307">
        <f>IF(AND(LEN('Inspections'!A307)&gt;0,ISNUMBER('Inspections'!H307)),MAX($B$3:B306)+1,"")</f>
        <v/>
      </c>
      <c r="E307">
        <f>IFERROR(MATCH(304,$B$4:$B$503,0),"")</f>
        <v/>
      </c>
      <c r="H307">
        <f>IF(AND(ISNUMBER('Drill log'!A307),ISNUMBER('Drill log'!N307),ISNUMBER('Drill schedule'!$D$4)),IF(YEAR('Drill log'!A307)='Drill schedule'!$D$4,'Drill log'!N307,""),"")</f>
        <v/>
      </c>
    </row>
    <row r="308">
      <c r="A308">
        <f>IF(AND(LEN('Inspections'!A308)&gt;0,ISNUMBER('Inspections'!H308)),'Inspections'!H308+305/100000,"")</f>
        <v/>
      </c>
      <c r="B308">
        <f>IF(AND(LEN('Inspections'!A308)&gt;0,ISNUMBER('Inspections'!H308)),MAX($B$3:B307)+1,"")</f>
        <v/>
      </c>
      <c r="E308">
        <f>IFERROR(MATCH(305,$B$4:$B$503,0),"")</f>
        <v/>
      </c>
      <c r="H308">
        <f>IF(AND(ISNUMBER('Drill log'!A308),ISNUMBER('Drill log'!N308),ISNUMBER('Drill schedule'!$D$4)),IF(YEAR('Drill log'!A308)='Drill schedule'!$D$4,'Drill log'!N308,""),"")</f>
        <v/>
      </c>
    </row>
    <row r="309">
      <c r="A309">
        <f>IF(AND(LEN('Inspections'!A309)&gt;0,ISNUMBER('Inspections'!H309)),'Inspections'!H309+306/100000,"")</f>
        <v/>
      </c>
      <c r="B309">
        <f>IF(AND(LEN('Inspections'!A309)&gt;0,ISNUMBER('Inspections'!H309)),MAX($B$3:B308)+1,"")</f>
        <v/>
      </c>
      <c r="E309">
        <f>IFERROR(MATCH(306,$B$4:$B$503,0),"")</f>
        <v/>
      </c>
      <c r="H309">
        <f>IF(AND(ISNUMBER('Drill log'!A309),ISNUMBER('Drill log'!N309),ISNUMBER('Drill schedule'!$D$4)),IF(YEAR('Drill log'!A309)='Drill schedule'!$D$4,'Drill log'!N309,""),"")</f>
        <v/>
      </c>
    </row>
    <row r="310">
      <c r="A310">
        <f>IF(AND(LEN('Inspections'!A310)&gt;0,ISNUMBER('Inspections'!H310)),'Inspections'!H310+307/100000,"")</f>
        <v/>
      </c>
      <c r="B310">
        <f>IF(AND(LEN('Inspections'!A310)&gt;0,ISNUMBER('Inspections'!H310)),MAX($B$3:B309)+1,"")</f>
        <v/>
      </c>
      <c r="E310">
        <f>IFERROR(MATCH(307,$B$4:$B$503,0),"")</f>
        <v/>
      </c>
      <c r="H310">
        <f>IF(AND(ISNUMBER('Drill log'!A310),ISNUMBER('Drill log'!N310),ISNUMBER('Drill schedule'!$D$4)),IF(YEAR('Drill log'!A310)='Drill schedule'!$D$4,'Drill log'!N310,""),"")</f>
        <v/>
      </c>
    </row>
    <row r="311">
      <c r="A311">
        <f>IF(AND(LEN('Inspections'!A311)&gt;0,ISNUMBER('Inspections'!H311)),'Inspections'!H311+308/100000,"")</f>
        <v/>
      </c>
      <c r="B311">
        <f>IF(AND(LEN('Inspections'!A311)&gt;0,ISNUMBER('Inspections'!H311)),MAX($B$3:B310)+1,"")</f>
        <v/>
      </c>
      <c r="E311">
        <f>IFERROR(MATCH(308,$B$4:$B$503,0),"")</f>
        <v/>
      </c>
      <c r="H311">
        <f>IF(AND(ISNUMBER('Drill log'!A311),ISNUMBER('Drill log'!N311),ISNUMBER('Drill schedule'!$D$4)),IF(YEAR('Drill log'!A311)='Drill schedule'!$D$4,'Drill log'!N311,""),"")</f>
        <v/>
      </c>
    </row>
    <row r="312">
      <c r="A312">
        <f>IF(AND(LEN('Inspections'!A312)&gt;0,ISNUMBER('Inspections'!H312)),'Inspections'!H312+309/100000,"")</f>
        <v/>
      </c>
      <c r="B312">
        <f>IF(AND(LEN('Inspections'!A312)&gt;0,ISNUMBER('Inspections'!H312)),MAX($B$3:B311)+1,"")</f>
        <v/>
      </c>
      <c r="E312">
        <f>IFERROR(MATCH(309,$B$4:$B$503,0),"")</f>
        <v/>
      </c>
      <c r="H312">
        <f>IF(AND(ISNUMBER('Drill log'!A312),ISNUMBER('Drill log'!N312),ISNUMBER('Drill schedule'!$D$4)),IF(YEAR('Drill log'!A312)='Drill schedule'!$D$4,'Drill log'!N312,""),"")</f>
        <v/>
      </c>
    </row>
    <row r="313">
      <c r="A313">
        <f>IF(AND(LEN('Inspections'!A313)&gt;0,ISNUMBER('Inspections'!H313)),'Inspections'!H313+310/100000,"")</f>
        <v/>
      </c>
      <c r="B313">
        <f>IF(AND(LEN('Inspections'!A313)&gt;0,ISNUMBER('Inspections'!H313)),MAX($B$3:B312)+1,"")</f>
        <v/>
      </c>
      <c r="E313">
        <f>IFERROR(MATCH(310,$B$4:$B$503,0),"")</f>
        <v/>
      </c>
      <c r="H313">
        <f>IF(AND(ISNUMBER('Drill log'!A313),ISNUMBER('Drill log'!N313),ISNUMBER('Drill schedule'!$D$4)),IF(YEAR('Drill log'!A313)='Drill schedule'!$D$4,'Drill log'!N313,""),"")</f>
        <v/>
      </c>
    </row>
    <row r="314">
      <c r="A314">
        <f>IF(AND(LEN('Inspections'!A314)&gt;0,ISNUMBER('Inspections'!H314)),'Inspections'!H314+311/100000,"")</f>
        <v/>
      </c>
      <c r="B314">
        <f>IF(AND(LEN('Inspections'!A314)&gt;0,ISNUMBER('Inspections'!H314)),MAX($B$3:B313)+1,"")</f>
        <v/>
      </c>
      <c r="E314">
        <f>IFERROR(MATCH(311,$B$4:$B$503,0),"")</f>
        <v/>
      </c>
      <c r="H314">
        <f>IF(AND(ISNUMBER('Drill log'!A314),ISNUMBER('Drill log'!N314),ISNUMBER('Drill schedule'!$D$4)),IF(YEAR('Drill log'!A314)='Drill schedule'!$D$4,'Drill log'!N314,""),"")</f>
        <v/>
      </c>
    </row>
    <row r="315">
      <c r="A315">
        <f>IF(AND(LEN('Inspections'!A315)&gt;0,ISNUMBER('Inspections'!H315)),'Inspections'!H315+312/100000,"")</f>
        <v/>
      </c>
      <c r="B315">
        <f>IF(AND(LEN('Inspections'!A315)&gt;0,ISNUMBER('Inspections'!H315)),MAX($B$3:B314)+1,"")</f>
        <v/>
      </c>
      <c r="E315">
        <f>IFERROR(MATCH(312,$B$4:$B$503,0),"")</f>
        <v/>
      </c>
      <c r="H315">
        <f>IF(AND(ISNUMBER('Drill log'!A315),ISNUMBER('Drill log'!N315),ISNUMBER('Drill schedule'!$D$4)),IF(YEAR('Drill log'!A315)='Drill schedule'!$D$4,'Drill log'!N315,""),"")</f>
        <v/>
      </c>
    </row>
    <row r="316">
      <c r="A316">
        <f>IF(AND(LEN('Inspections'!A316)&gt;0,ISNUMBER('Inspections'!H316)),'Inspections'!H316+313/100000,"")</f>
        <v/>
      </c>
      <c r="B316">
        <f>IF(AND(LEN('Inspections'!A316)&gt;0,ISNUMBER('Inspections'!H316)),MAX($B$3:B315)+1,"")</f>
        <v/>
      </c>
      <c r="E316">
        <f>IFERROR(MATCH(313,$B$4:$B$503,0),"")</f>
        <v/>
      </c>
      <c r="H316">
        <f>IF(AND(ISNUMBER('Drill log'!A316),ISNUMBER('Drill log'!N316),ISNUMBER('Drill schedule'!$D$4)),IF(YEAR('Drill log'!A316)='Drill schedule'!$D$4,'Drill log'!N316,""),"")</f>
        <v/>
      </c>
    </row>
    <row r="317">
      <c r="A317">
        <f>IF(AND(LEN('Inspections'!A317)&gt;0,ISNUMBER('Inspections'!H317)),'Inspections'!H317+314/100000,"")</f>
        <v/>
      </c>
      <c r="B317">
        <f>IF(AND(LEN('Inspections'!A317)&gt;0,ISNUMBER('Inspections'!H317)),MAX($B$3:B316)+1,"")</f>
        <v/>
      </c>
      <c r="E317">
        <f>IFERROR(MATCH(314,$B$4:$B$503,0),"")</f>
        <v/>
      </c>
      <c r="H317">
        <f>IF(AND(ISNUMBER('Drill log'!A317),ISNUMBER('Drill log'!N317),ISNUMBER('Drill schedule'!$D$4)),IF(YEAR('Drill log'!A317)='Drill schedule'!$D$4,'Drill log'!N317,""),"")</f>
        <v/>
      </c>
    </row>
    <row r="318">
      <c r="A318">
        <f>IF(AND(LEN('Inspections'!A318)&gt;0,ISNUMBER('Inspections'!H318)),'Inspections'!H318+315/100000,"")</f>
        <v/>
      </c>
      <c r="B318">
        <f>IF(AND(LEN('Inspections'!A318)&gt;0,ISNUMBER('Inspections'!H318)),MAX($B$3:B317)+1,"")</f>
        <v/>
      </c>
      <c r="E318">
        <f>IFERROR(MATCH(315,$B$4:$B$503,0),"")</f>
        <v/>
      </c>
      <c r="H318">
        <f>IF(AND(ISNUMBER('Drill log'!A318),ISNUMBER('Drill log'!N318),ISNUMBER('Drill schedule'!$D$4)),IF(YEAR('Drill log'!A318)='Drill schedule'!$D$4,'Drill log'!N318,""),"")</f>
        <v/>
      </c>
    </row>
    <row r="319">
      <c r="A319">
        <f>IF(AND(LEN('Inspections'!A319)&gt;0,ISNUMBER('Inspections'!H319)),'Inspections'!H319+316/100000,"")</f>
        <v/>
      </c>
      <c r="B319">
        <f>IF(AND(LEN('Inspections'!A319)&gt;0,ISNUMBER('Inspections'!H319)),MAX($B$3:B318)+1,"")</f>
        <v/>
      </c>
      <c r="E319">
        <f>IFERROR(MATCH(316,$B$4:$B$503,0),"")</f>
        <v/>
      </c>
      <c r="H319">
        <f>IF(AND(ISNUMBER('Drill log'!A319),ISNUMBER('Drill log'!N319),ISNUMBER('Drill schedule'!$D$4)),IF(YEAR('Drill log'!A319)='Drill schedule'!$D$4,'Drill log'!N319,""),"")</f>
        <v/>
      </c>
    </row>
    <row r="320">
      <c r="A320">
        <f>IF(AND(LEN('Inspections'!A320)&gt;0,ISNUMBER('Inspections'!H320)),'Inspections'!H320+317/100000,"")</f>
        <v/>
      </c>
      <c r="B320">
        <f>IF(AND(LEN('Inspections'!A320)&gt;0,ISNUMBER('Inspections'!H320)),MAX($B$3:B319)+1,"")</f>
        <v/>
      </c>
      <c r="E320">
        <f>IFERROR(MATCH(317,$B$4:$B$503,0),"")</f>
        <v/>
      </c>
      <c r="H320">
        <f>IF(AND(ISNUMBER('Drill log'!A320),ISNUMBER('Drill log'!N320),ISNUMBER('Drill schedule'!$D$4)),IF(YEAR('Drill log'!A320)='Drill schedule'!$D$4,'Drill log'!N320,""),"")</f>
        <v/>
      </c>
    </row>
    <row r="321">
      <c r="A321">
        <f>IF(AND(LEN('Inspections'!A321)&gt;0,ISNUMBER('Inspections'!H321)),'Inspections'!H321+318/100000,"")</f>
        <v/>
      </c>
      <c r="B321">
        <f>IF(AND(LEN('Inspections'!A321)&gt;0,ISNUMBER('Inspections'!H321)),MAX($B$3:B320)+1,"")</f>
        <v/>
      </c>
      <c r="E321">
        <f>IFERROR(MATCH(318,$B$4:$B$503,0),"")</f>
        <v/>
      </c>
      <c r="H321">
        <f>IF(AND(ISNUMBER('Drill log'!A321),ISNUMBER('Drill log'!N321),ISNUMBER('Drill schedule'!$D$4)),IF(YEAR('Drill log'!A321)='Drill schedule'!$D$4,'Drill log'!N321,""),"")</f>
        <v/>
      </c>
    </row>
    <row r="322">
      <c r="A322">
        <f>IF(AND(LEN('Inspections'!A322)&gt;0,ISNUMBER('Inspections'!H322)),'Inspections'!H322+319/100000,"")</f>
        <v/>
      </c>
      <c r="B322">
        <f>IF(AND(LEN('Inspections'!A322)&gt;0,ISNUMBER('Inspections'!H322)),MAX($B$3:B321)+1,"")</f>
        <v/>
      </c>
      <c r="E322">
        <f>IFERROR(MATCH(319,$B$4:$B$503,0),"")</f>
        <v/>
      </c>
      <c r="H322">
        <f>IF(AND(ISNUMBER('Drill log'!A322),ISNUMBER('Drill log'!N322),ISNUMBER('Drill schedule'!$D$4)),IF(YEAR('Drill log'!A322)='Drill schedule'!$D$4,'Drill log'!N322,""),"")</f>
        <v/>
      </c>
    </row>
    <row r="323">
      <c r="A323">
        <f>IF(AND(LEN('Inspections'!A323)&gt;0,ISNUMBER('Inspections'!H323)),'Inspections'!H323+320/100000,"")</f>
        <v/>
      </c>
      <c r="B323">
        <f>IF(AND(LEN('Inspections'!A323)&gt;0,ISNUMBER('Inspections'!H323)),MAX($B$3:B322)+1,"")</f>
        <v/>
      </c>
      <c r="E323">
        <f>IFERROR(MATCH(320,$B$4:$B$503,0),"")</f>
        <v/>
      </c>
      <c r="H323">
        <f>IF(AND(ISNUMBER('Drill log'!A323),ISNUMBER('Drill log'!N323),ISNUMBER('Drill schedule'!$D$4)),IF(YEAR('Drill log'!A323)='Drill schedule'!$D$4,'Drill log'!N323,""),"")</f>
        <v/>
      </c>
    </row>
    <row r="324">
      <c r="A324">
        <f>IF(AND(LEN('Inspections'!A324)&gt;0,ISNUMBER('Inspections'!H324)),'Inspections'!H324+321/100000,"")</f>
        <v/>
      </c>
      <c r="B324">
        <f>IF(AND(LEN('Inspections'!A324)&gt;0,ISNUMBER('Inspections'!H324)),MAX($B$3:B323)+1,"")</f>
        <v/>
      </c>
      <c r="E324">
        <f>IFERROR(MATCH(321,$B$4:$B$503,0),"")</f>
        <v/>
      </c>
      <c r="H324">
        <f>IF(AND(ISNUMBER('Drill log'!A324),ISNUMBER('Drill log'!N324),ISNUMBER('Drill schedule'!$D$4)),IF(YEAR('Drill log'!A324)='Drill schedule'!$D$4,'Drill log'!N324,""),"")</f>
        <v/>
      </c>
    </row>
    <row r="325">
      <c r="A325">
        <f>IF(AND(LEN('Inspections'!A325)&gt;0,ISNUMBER('Inspections'!H325)),'Inspections'!H325+322/100000,"")</f>
        <v/>
      </c>
      <c r="B325">
        <f>IF(AND(LEN('Inspections'!A325)&gt;0,ISNUMBER('Inspections'!H325)),MAX($B$3:B324)+1,"")</f>
        <v/>
      </c>
      <c r="E325">
        <f>IFERROR(MATCH(322,$B$4:$B$503,0),"")</f>
        <v/>
      </c>
      <c r="H325">
        <f>IF(AND(ISNUMBER('Drill log'!A325),ISNUMBER('Drill log'!N325),ISNUMBER('Drill schedule'!$D$4)),IF(YEAR('Drill log'!A325)='Drill schedule'!$D$4,'Drill log'!N325,""),"")</f>
        <v/>
      </c>
    </row>
    <row r="326">
      <c r="A326">
        <f>IF(AND(LEN('Inspections'!A326)&gt;0,ISNUMBER('Inspections'!H326)),'Inspections'!H326+323/100000,"")</f>
        <v/>
      </c>
      <c r="B326">
        <f>IF(AND(LEN('Inspections'!A326)&gt;0,ISNUMBER('Inspections'!H326)),MAX($B$3:B325)+1,"")</f>
        <v/>
      </c>
      <c r="E326">
        <f>IFERROR(MATCH(323,$B$4:$B$503,0),"")</f>
        <v/>
      </c>
      <c r="H326">
        <f>IF(AND(ISNUMBER('Drill log'!A326),ISNUMBER('Drill log'!N326),ISNUMBER('Drill schedule'!$D$4)),IF(YEAR('Drill log'!A326)='Drill schedule'!$D$4,'Drill log'!N326,""),"")</f>
        <v/>
      </c>
    </row>
    <row r="327">
      <c r="A327">
        <f>IF(AND(LEN('Inspections'!A327)&gt;0,ISNUMBER('Inspections'!H327)),'Inspections'!H327+324/100000,"")</f>
        <v/>
      </c>
      <c r="B327">
        <f>IF(AND(LEN('Inspections'!A327)&gt;0,ISNUMBER('Inspections'!H327)),MAX($B$3:B326)+1,"")</f>
        <v/>
      </c>
      <c r="E327">
        <f>IFERROR(MATCH(324,$B$4:$B$503,0),"")</f>
        <v/>
      </c>
      <c r="H327">
        <f>IF(AND(ISNUMBER('Drill log'!A327),ISNUMBER('Drill log'!N327),ISNUMBER('Drill schedule'!$D$4)),IF(YEAR('Drill log'!A327)='Drill schedule'!$D$4,'Drill log'!N327,""),"")</f>
        <v/>
      </c>
    </row>
    <row r="328">
      <c r="A328">
        <f>IF(AND(LEN('Inspections'!A328)&gt;0,ISNUMBER('Inspections'!H328)),'Inspections'!H328+325/100000,"")</f>
        <v/>
      </c>
      <c r="B328">
        <f>IF(AND(LEN('Inspections'!A328)&gt;0,ISNUMBER('Inspections'!H328)),MAX($B$3:B327)+1,"")</f>
        <v/>
      </c>
      <c r="E328">
        <f>IFERROR(MATCH(325,$B$4:$B$503,0),"")</f>
        <v/>
      </c>
      <c r="H328">
        <f>IF(AND(ISNUMBER('Drill log'!A328),ISNUMBER('Drill log'!N328),ISNUMBER('Drill schedule'!$D$4)),IF(YEAR('Drill log'!A328)='Drill schedule'!$D$4,'Drill log'!N328,""),"")</f>
        <v/>
      </c>
    </row>
    <row r="329">
      <c r="A329">
        <f>IF(AND(LEN('Inspections'!A329)&gt;0,ISNUMBER('Inspections'!H329)),'Inspections'!H329+326/100000,"")</f>
        <v/>
      </c>
      <c r="B329">
        <f>IF(AND(LEN('Inspections'!A329)&gt;0,ISNUMBER('Inspections'!H329)),MAX($B$3:B328)+1,"")</f>
        <v/>
      </c>
      <c r="E329">
        <f>IFERROR(MATCH(326,$B$4:$B$503,0),"")</f>
        <v/>
      </c>
      <c r="H329">
        <f>IF(AND(ISNUMBER('Drill log'!A329),ISNUMBER('Drill log'!N329),ISNUMBER('Drill schedule'!$D$4)),IF(YEAR('Drill log'!A329)='Drill schedule'!$D$4,'Drill log'!N329,""),"")</f>
        <v/>
      </c>
    </row>
    <row r="330">
      <c r="A330">
        <f>IF(AND(LEN('Inspections'!A330)&gt;0,ISNUMBER('Inspections'!H330)),'Inspections'!H330+327/100000,"")</f>
        <v/>
      </c>
      <c r="B330">
        <f>IF(AND(LEN('Inspections'!A330)&gt;0,ISNUMBER('Inspections'!H330)),MAX($B$3:B329)+1,"")</f>
        <v/>
      </c>
      <c r="E330">
        <f>IFERROR(MATCH(327,$B$4:$B$503,0),"")</f>
        <v/>
      </c>
      <c r="H330">
        <f>IF(AND(ISNUMBER('Drill log'!A330),ISNUMBER('Drill log'!N330),ISNUMBER('Drill schedule'!$D$4)),IF(YEAR('Drill log'!A330)='Drill schedule'!$D$4,'Drill log'!N330,""),"")</f>
        <v/>
      </c>
    </row>
    <row r="331">
      <c r="A331">
        <f>IF(AND(LEN('Inspections'!A331)&gt;0,ISNUMBER('Inspections'!H331)),'Inspections'!H331+328/100000,"")</f>
        <v/>
      </c>
      <c r="B331">
        <f>IF(AND(LEN('Inspections'!A331)&gt;0,ISNUMBER('Inspections'!H331)),MAX($B$3:B330)+1,"")</f>
        <v/>
      </c>
      <c r="E331">
        <f>IFERROR(MATCH(328,$B$4:$B$503,0),"")</f>
        <v/>
      </c>
      <c r="H331">
        <f>IF(AND(ISNUMBER('Drill log'!A331),ISNUMBER('Drill log'!N331),ISNUMBER('Drill schedule'!$D$4)),IF(YEAR('Drill log'!A331)='Drill schedule'!$D$4,'Drill log'!N331,""),"")</f>
        <v/>
      </c>
    </row>
    <row r="332">
      <c r="A332">
        <f>IF(AND(LEN('Inspections'!A332)&gt;0,ISNUMBER('Inspections'!H332)),'Inspections'!H332+329/100000,"")</f>
        <v/>
      </c>
      <c r="B332">
        <f>IF(AND(LEN('Inspections'!A332)&gt;0,ISNUMBER('Inspections'!H332)),MAX($B$3:B331)+1,"")</f>
        <v/>
      </c>
      <c r="E332">
        <f>IFERROR(MATCH(329,$B$4:$B$503,0),"")</f>
        <v/>
      </c>
      <c r="H332">
        <f>IF(AND(ISNUMBER('Drill log'!A332),ISNUMBER('Drill log'!N332),ISNUMBER('Drill schedule'!$D$4)),IF(YEAR('Drill log'!A332)='Drill schedule'!$D$4,'Drill log'!N332,""),"")</f>
        <v/>
      </c>
    </row>
    <row r="333">
      <c r="A333">
        <f>IF(AND(LEN('Inspections'!A333)&gt;0,ISNUMBER('Inspections'!H333)),'Inspections'!H333+330/100000,"")</f>
        <v/>
      </c>
      <c r="B333">
        <f>IF(AND(LEN('Inspections'!A333)&gt;0,ISNUMBER('Inspections'!H333)),MAX($B$3:B332)+1,"")</f>
        <v/>
      </c>
      <c r="E333">
        <f>IFERROR(MATCH(330,$B$4:$B$503,0),"")</f>
        <v/>
      </c>
      <c r="H333">
        <f>IF(AND(ISNUMBER('Drill log'!A333),ISNUMBER('Drill log'!N333),ISNUMBER('Drill schedule'!$D$4)),IF(YEAR('Drill log'!A333)='Drill schedule'!$D$4,'Drill log'!N333,""),"")</f>
        <v/>
      </c>
    </row>
    <row r="334">
      <c r="A334">
        <f>IF(AND(LEN('Inspections'!A334)&gt;0,ISNUMBER('Inspections'!H334)),'Inspections'!H334+331/100000,"")</f>
        <v/>
      </c>
      <c r="B334">
        <f>IF(AND(LEN('Inspections'!A334)&gt;0,ISNUMBER('Inspections'!H334)),MAX($B$3:B333)+1,"")</f>
        <v/>
      </c>
      <c r="E334">
        <f>IFERROR(MATCH(331,$B$4:$B$503,0),"")</f>
        <v/>
      </c>
      <c r="H334">
        <f>IF(AND(ISNUMBER('Drill log'!A334),ISNUMBER('Drill log'!N334),ISNUMBER('Drill schedule'!$D$4)),IF(YEAR('Drill log'!A334)='Drill schedule'!$D$4,'Drill log'!N334,""),"")</f>
        <v/>
      </c>
    </row>
    <row r="335">
      <c r="A335">
        <f>IF(AND(LEN('Inspections'!A335)&gt;0,ISNUMBER('Inspections'!H335)),'Inspections'!H335+332/100000,"")</f>
        <v/>
      </c>
      <c r="B335">
        <f>IF(AND(LEN('Inspections'!A335)&gt;0,ISNUMBER('Inspections'!H335)),MAX($B$3:B334)+1,"")</f>
        <v/>
      </c>
      <c r="E335">
        <f>IFERROR(MATCH(332,$B$4:$B$503,0),"")</f>
        <v/>
      </c>
      <c r="H335">
        <f>IF(AND(ISNUMBER('Drill log'!A335),ISNUMBER('Drill log'!N335),ISNUMBER('Drill schedule'!$D$4)),IF(YEAR('Drill log'!A335)='Drill schedule'!$D$4,'Drill log'!N335,""),"")</f>
        <v/>
      </c>
    </row>
    <row r="336">
      <c r="A336">
        <f>IF(AND(LEN('Inspections'!A336)&gt;0,ISNUMBER('Inspections'!H336)),'Inspections'!H336+333/100000,"")</f>
        <v/>
      </c>
      <c r="B336">
        <f>IF(AND(LEN('Inspections'!A336)&gt;0,ISNUMBER('Inspections'!H336)),MAX($B$3:B335)+1,"")</f>
        <v/>
      </c>
      <c r="E336">
        <f>IFERROR(MATCH(333,$B$4:$B$503,0),"")</f>
        <v/>
      </c>
      <c r="H336">
        <f>IF(AND(ISNUMBER('Drill log'!A336),ISNUMBER('Drill log'!N336),ISNUMBER('Drill schedule'!$D$4)),IF(YEAR('Drill log'!A336)='Drill schedule'!$D$4,'Drill log'!N336,""),"")</f>
        <v/>
      </c>
    </row>
    <row r="337">
      <c r="A337">
        <f>IF(AND(LEN('Inspections'!A337)&gt;0,ISNUMBER('Inspections'!H337)),'Inspections'!H337+334/100000,"")</f>
        <v/>
      </c>
      <c r="B337">
        <f>IF(AND(LEN('Inspections'!A337)&gt;0,ISNUMBER('Inspections'!H337)),MAX($B$3:B336)+1,"")</f>
        <v/>
      </c>
      <c r="E337">
        <f>IFERROR(MATCH(334,$B$4:$B$503,0),"")</f>
        <v/>
      </c>
      <c r="H337">
        <f>IF(AND(ISNUMBER('Drill log'!A337),ISNUMBER('Drill log'!N337),ISNUMBER('Drill schedule'!$D$4)),IF(YEAR('Drill log'!A337)='Drill schedule'!$D$4,'Drill log'!N337,""),"")</f>
        <v/>
      </c>
    </row>
    <row r="338">
      <c r="A338">
        <f>IF(AND(LEN('Inspections'!A338)&gt;0,ISNUMBER('Inspections'!H338)),'Inspections'!H338+335/100000,"")</f>
        <v/>
      </c>
      <c r="B338">
        <f>IF(AND(LEN('Inspections'!A338)&gt;0,ISNUMBER('Inspections'!H338)),MAX($B$3:B337)+1,"")</f>
        <v/>
      </c>
      <c r="E338">
        <f>IFERROR(MATCH(335,$B$4:$B$503,0),"")</f>
        <v/>
      </c>
      <c r="H338">
        <f>IF(AND(ISNUMBER('Drill log'!A338),ISNUMBER('Drill log'!N338),ISNUMBER('Drill schedule'!$D$4)),IF(YEAR('Drill log'!A338)='Drill schedule'!$D$4,'Drill log'!N338,""),"")</f>
        <v/>
      </c>
    </row>
    <row r="339">
      <c r="A339">
        <f>IF(AND(LEN('Inspections'!A339)&gt;0,ISNUMBER('Inspections'!H339)),'Inspections'!H339+336/100000,"")</f>
        <v/>
      </c>
      <c r="B339">
        <f>IF(AND(LEN('Inspections'!A339)&gt;0,ISNUMBER('Inspections'!H339)),MAX($B$3:B338)+1,"")</f>
        <v/>
      </c>
      <c r="E339">
        <f>IFERROR(MATCH(336,$B$4:$B$503,0),"")</f>
        <v/>
      </c>
      <c r="H339">
        <f>IF(AND(ISNUMBER('Drill log'!A339),ISNUMBER('Drill log'!N339),ISNUMBER('Drill schedule'!$D$4)),IF(YEAR('Drill log'!A339)='Drill schedule'!$D$4,'Drill log'!N339,""),"")</f>
        <v/>
      </c>
    </row>
    <row r="340">
      <c r="A340">
        <f>IF(AND(LEN('Inspections'!A340)&gt;0,ISNUMBER('Inspections'!H340)),'Inspections'!H340+337/100000,"")</f>
        <v/>
      </c>
      <c r="B340">
        <f>IF(AND(LEN('Inspections'!A340)&gt;0,ISNUMBER('Inspections'!H340)),MAX($B$3:B339)+1,"")</f>
        <v/>
      </c>
      <c r="E340">
        <f>IFERROR(MATCH(337,$B$4:$B$503,0),"")</f>
        <v/>
      </c>
      <c r="H340">
        <f>IF(AND(ISNUMBER('Drill log'!A340),ISNUMBER('Drill log'!N340),ISNUMBER('Drill schedule'!$D$4)),IF(YEAR('Drill log'!A340)='Drill schedule'!$D$4,'Drill log'!N340,""),"")</f>
        <v/>
      </c>
    </row>
    <row r="341">
      <c r="A341">
        <f>IF(AND(LEN('Inspections'!A341)&gt;0,ISNUMBER('Inspections'!H341)),'Inspections'!H341+338/100000,"")</f>
        <v/>
      </c>
      <c r="B341">
        <f>IF(AND(LEN('Inspections'!A341)&gt;0,ISNUMBER('Inspections'!H341)),MAX($B$3:B340)+1,"")</f>
        <v/>
      </c>
      <c r="E341">
        <f>IFERROR(MATCH(338,$B$4:$B$503,0),"")</f>
        <v/>
      </c>
      <c r="H341">
        <f>IF(AND(ISNUMBER('Drill log'!A341),ISNUMBER('Drill log'!N341),ISNUMBER('Drill schedule'!$D$4)),IF(YEAR('Drill log'!A341)='Drill schedule'!$D$4,'Drill log'!N341,""),"")</f>
        <v/>
      </c>
    </row>
    <row r="342">
      <c r="A342">
        <f>IF(AND(LEN('Inspections'!A342)&gt;0,ISNUMBER('Inspections'!H342)),'Inspections'!H342+339/100000,"")</f>
        <v/>
      </c>
      <c r="B342">
        <f>IF(AND(LEN('Inspections'!A342)&gt;0,ISNUMBER('Inspections'!H342)),MAX($B$3:B341)+1,"")</f>
        <v/>
      </c>
      <c r="E342">
        <f>IFERROR(MATCH(339,$B$4:$B$503,0),"")</f>
        <v/>
      </c>
      <c r="H342">
        <f>IF(AND(ISNUMBER('Drill log'!A342),ISNUMBER('Drill log'!N342),ISNUMBER('Drill schedule'!$D$4)),IF(YEAR('Drill log'!A342)='Drill schedule'!$D$4,'Drill log'!N342,""),"")</f>
        <v/>
      </c>
    </row>
    <row r="343">
      <c r="A343">
        <f>IF(AND(LEN('Inspections'!A343)&gt;0,ISNUMBER('Inspections'!H343)),'Inspections'!H343+340/100000,"")</f>
        <v/>
      </c>
      <c r="B343">
        <f>IF(AND(LEN('Inspections'!A343)&gt;0,ISNUMBER('Inspections'!H343)),MAX($B$3:B342)+1,"")</f>
        <v/>
      </c>
      <c r="E343">
        <f>IFERROR(MATCH(340,$B$4:$B$503,0),"")</f>
        <v/>
      </c>
      <c r="H343">
        <f>IF(AND(ISNUMBER('Drill log'!A343),ISNUMBER('Drill log'!N343),ISNUMBER('Drill schedule'!$D$4)),IF(YEAR('Drill log'!A343)='Drill schedule'!$D$4,'Drill log'!N343,""),"")</f>
        <v/>
      </c>
    </row>
    <row r="344">
      <c r="A344">
        <f>IF(AND(LEN('Inspections'!A344)&gt;0,ISNUMBER('Inspections'!H344)),'Inspections'!H344+341/100000,"")</f>
        <v/>
      </c>
      <c r="B344">
        <f>IF(AND(LEN('Inspections'!A344)&gt;0,ISNUMBER('Inspections'!H344)),MAX($B$3:B343)+1,"")</f>
        <v/>
      </c>
      <c r="E344">
        <f>IFERROR(MATCH(341,$B$4:$B$503,0),"")</f>
        <v/>
      </c>
      <c r="H344">
        <f>IF(AND(ISNUMBER('Drill log'!A344),ISNUMBER('Drill log'!N344),ISNUMBER('Drill schedule'!$D$4)),IF(YEAR('Drill log'!A344)='Drill schedule'!$D$4,'Drill log'!N344,""),"")</f>
        <v/>
      </c>
    </row>
    <row r="345">
      <c r="A345">
        <f>IF(AND(LEN('Inspections'!A345)&gt;0,ISNUMBER('Inspections'!H345)),'Inspections'!H345+342/100000,"")</f>
        <v/>
      </c>
      <c r="B345">
        <f>IF(AND(LEN('Inspections'!A345)&gt;0,ISNUMBER('Inspections'!H345)),MAX($B$3:B344)+1,"")</f>
        <v/>
      </c>
      <c r="E345">
        <f>IFERROR(MATCH(342,$B$4:$B$503,0),"")</f>
        <v/>
      </c>
      <c r="H345">
        <f>IF(AND(ISNUMBER('Drill log'!A345),ISNUMBER('Drill log'!N345),ISNUMBER('Drill schedule'!$D$4)),IF(YEAR('Drill log'!A345)='Drill schedule'!$D$4,'Drill log'!N345,""),"")</f>
        <v/>
      </c>
    </row>
    <row r="346">
      <c r="A346">
        <f>IF(AND(LEN('Inspections'!A346)&gt;0,ISNUMBER('Inspections'!H346)),'Inspections'!H346+343/100000,"")</f>
        <v/>
      </c>
      <c r="B346">
        <f>IF(AND(LEN('Inspections'!A346)&gt;0,ISNUMBER('Inspections'!H346)),MAX($B$3:B345)+1,"")</f>
        <v/>
      </c>
      <c r="E346">
        <f>IFERROR(MATCH(343,$B$4:$B$503,0),"")</f>
        <v/>
      </c>
      <c r="H346">
        <f>IF(AND(ISNUMBER('Drill log'!A346),ISNUMBER('Drill log'!N346),ISNUMBER('Drill schedule'!$D$4)),IF(YEAR('Drill log'!A346)='Drill schedule'!$D$4,'Drill log'!N346,""),"")</f>
        <v/>
      </c>
    </row>
    <row r="347">
      <c r="A347">
        <f>IF(AND(LEN('Inspections'!A347)&gt;0,ISNUMBER('Inspections'!H347)),'Inspections'!H347+344/100000,"")</f>
        <v/>
      </c>
      <c r="B347">
        <f>IF(AND(LEN('Inspections'!A347)&gt;0,ISNUMBER('Inspections'!H347)),MAX($B$3:B346)+1,"")</f>
        <v/>
      </c>
      <c r="E347">
        <f>IFERROR(MATCH(344,$B$4:$B$503,0),"")</f>
        <v/>
      </c>
      <c r="H347">
        <f>IF(AND(ISNUMBER('Drill log'!A347),ISNUMBER('Drill log'!N347),ISNUMBER('Drill schedule'!$D$4)),IF(YEAR('Drill log'!A347)='Drill schedule'!$D$4,'Drill log'!N347,""),"")</f>
        <v/>
      </c>
    </row>
    <row r="348">
      <c r="A348">
        <f>IF(AND(LEN('Inspections'!A348)&gt;0,ISNUMBER('Inspections'!H348)),'Inspections'!H348+345/100000,"")</f>
        <v/>
      </c>
      <c r="B348">
        <f>IF(AND(LEN('Inspections'!A348)&gt;0,ISNUMBER('Inspections'!H348)),MAX($B$3:B347)+1,"")</f>
        <v/>
      </c>
      <c r="E348">
        <f>IFERROR(MATCH(345,$B$4:$B$503,0),"")</f>
        <v/>
      </c>
      <c r="H348">
        <f>IF(AND(ISNUMBER('Drill log'!A348),ISNUMBER('Drill log'!N348),ISNUMBER('Drill schedule'!$D$4)),IF(YEAR('Drill log'!A348)='Drill schedule'!$D$4,'Drill log'!N348,""),"")</f>
        <v/>
      </c>
    </row>
    <row r="349">
      <c r="A349">
        <f>IF(AND(LEN('Inspections'!A349)&gt;0,ISNUMBER('Inspections'!H349)),'Inspections'!H349+346/100000,"")</f>
        <v/>
      </c>
      <c r="B349">
        <f>IF(AND(LEN('Inspections'!A349)&gt;0,ISNUMBER('Inspections'!H349)),MAX($B$3:B348)+1,"")</f>
        <v/>
      </c>
      <c r="E349">
        <f>IFERROR(MATCH(346,$B$4:$B$503,0),"")</f>
        <v/>
      </c>
      <c r="H349">
        <f>IF(AND(ISNUMBER('Drill log'!A349),ISNUMBER('Drill log'!N349),ISNUMBER('Drill schedule'!$D$4)),IF(YEAR('Drill log'!A349)='Drill schedule'!$D$4,'Drill log'!N349,""),"")</f>
        <v/>
      </c>
    </row>
    <row r="350">
      <c r="A350">
        <f>IF(AND(LEN('Inspections'!A350)&gt;0,ISNUMBER('Inspections'!H350)),'Inspections'!H350+347/100000,"")</f>
        <v/>
      </c>
      <c r="B350">
        <f>IF(AND(LEN('Inspections'!A350)&gt;0,ISNUMBER('Inspections'!H350)),MAX($B$3:B349)+1,"")</f>
        <v/>
      </c>
      <c r="E350">
        <f>IFERROR(MATCH(347,$B$4:$B$503,0),"")</f>
        <v/>
      </c>
      <c r="H350">
        <f>IF(AND(ISNUMBER('Drill log'!A350),ISNUMBER('Drill log'!N350),ISNUMBER('Drill schedule'!$D$4)),IF(YEAR('Drill log'!A350)='Drill schedule'!$D$4,'Drill log'!N350,""),"")</f>
        <v/>
      </c>
    </row>
    <row r="351">
      <c r="A351">
        <f>IF(AND(LEN('Inspections'!A351)&gt;0,ISNUMBER('Inspections'!H351)),'Inspections'!H351+348/100000,"")</f>
        <v/>
      </c>
      <c r="B351">
        <f>IF(AND(LEN('Inspections'!A351)&gt;0,ISNUMBER('Inspections'!H351)),MAX($B$3:B350)+1,"")</f>
        <v/>
      </c>
      <c r="E351">
        <f>IFERROR(MATCH(348,$B$4:$B$503,0),"")</f>
        <v/>
      </c>
      <c r="H351">
        <f>IF(AND(ISNUMBER('Drill log'!A351),ISNUMBER('Drill log'!N351),ISNUMBER('Drill schedule'!$D$4)),IF(YEAR('Drill log'!A351)='Drill schedule'!$D$4,'Drill log'!N351,""),"")</f>
        <v/>
      </c>
    </row>
    <row r="352">
      <c r="A352">
        <f>IF(AND(LEN('Inspections'!A352)&gt;0,ISNUMBER('Inspections'!H352)),'Inspections'!H352+349/100000,"")</f>
        <v/>
      </c>
      <c r="B352">
        <f>IF(AND(LEN('Inspections'!A352)&gt;0,ISNUMBER('Inspections'!H352)),MAX($B$3:B351)+1,"")</f>
        <v/>
      </c>
      <c r="E352">
        <f>IFERROR(MATCH(349,$B$4:$B$503,0),"")</f>
        <v/>
      </c>
      <c r="H352">
        <f>IF(AND(ISNUMBER('Drill log'!A352),ISNUMBER('Drill log'!N352),ISNUMBER('Drill schedule'!$D$4)),IF(YEAR('Drill log'!A352)='Drill schedule'!$D$4,'Drill log'!N352,""),"")</f>
        <v/>
      </c>
    </row>
    <row r="353">
      <c r="A353">
        <f>IF(AND(LEN('Inspections'!A353)&gt;0,ISNUMBER('Inspections'!H353)),'Inspections'!H353+350/100000,"")</f>
        <v/>
      </c>
      <c r="B353">
        <f>IF(AND(LEN('Inspections'!A353)&gt;0,ISNUMBER('Inspections'!H353)),MAX($B$3:B352)+1,"")</f>
        <v/>
      </c>
      <c r="E353">
        <f>IFERROR(MATCH(350,$B$4:$B$503,0),"")</f>
        <v/>
      </c>
      <c r="H353">
        <f>IF(AND(ISNUMBER('Drill log'!A353),ISNUMBER('Drill log'!N353),ISNUMBER('Drill schedule'!$D$4)),IF(YEAR('Drill log'!A353)='Drill schedule'!$D$4,'Drill log'!N353,""),"")</f>
        <v/>
      </c>
    </row>
    <row r="354">
      <c r="A354">
        <f>IF(AND(LEN('Inspections'!A354)&gt;0,ISNUMBER('Inspections'!H354)),'Inspections'!H354+351/100000,"")</f>
        <v/>
      </c>
      <c r="B354">
        <f>IF(AND(LEN('Inspections'!A354)&gt;0,ISNUMBER('Inspections'!H354)),MAX($B$3:B353)+1,"")</f>
        <v/>
      </c>
      <c r="E354">
        <f>IFERROR(MATCH(351,$B$4:$B$503,0),"")</f>
        <v/>
      </c>
      <c r="H354">
        <f>IF(AND(ISNUMBER('Drill log'!A354),ISNUMBER('Drill log'!N354),ISNUMBER('Drill schedule'!$D$4)),IF(YEAR('Drill log'!A354)='Drill schedule'!$D$4,'Drill log'!N354,""),"")</f>
        <v/>
      </c>
    </row>
    <row r="355">
      <c r="A355">
        <f>IF(AND(LEN('Inspections'!A355)&gt;0,ISNUMBER('Inspections'!H355)),'Inspections'!H355+352/100000,"")</f>
        <v/>
      </c>
      <c r="B355">
        <f>IF(AND(LEN('Inspections'!A355)&gt;0,ISNUMBER('Inspections'!H355)),MAX($B$3:B354)+1,"")</f>
        <v/>
      </c>
      <c r="E355">
        <f>IFERROR(MATCH(352,$B$4:$B$503,0),"")</f>
        <v/>
      </c>
      <c r="H355">
        <f>IF(AND(ISNUMBER('Drill log'!A355),ISNUMBER('Drill log'!N355),ISNUMBER('Drill schedule'!$D$4)),IF(YEAR('Drill log'!A355)='Drill schedule'!$D$4,'Drill log'!N355,""),"")</f>
        <v/>
      </c>
    </row>
    <row r="356">
      <c r="A356">
        <f>IF(AND(LEN('Inspections'!A356)&gt;0,ISNUMBER('Inspections'!H356)),'Inspections'!H356+353/100000,"")</f>
        <v/>
      </c>
      <c r="B356">
        <f>IF(AND(LEN('Inspections'!A356)&gt;0,ISNUMBER('Inspections'!H356)),MAX($B$3:B355)+1,"")</f>
        <v/>
      </c>
      <c r="E356">
        <f>IFERROR(MATCH(353,$B$4:$B$503,0),"")</f>
        <v/>
      </c>
      <c r="H356">
        <f>IF(AND(ISNUMBER('Drill log'!A356),ISNUMBER('Drill log'!N356),ISNUMBER('Drill schedule'!$D$4)),IF(YEAR('Drill log'!A356)='Drill schedule'!$D$4,'Drill log'!N356,""),"")</f>
        <v/>
      </c>
    </row>
    <row r="357">
      <c r="A357">
        <f>IF(AND(LEN('Inspections'!A357)&gt;0,ISNUMBER('Inspections'!H357)),'Inspections'!H357+354/100000,"")</f>
        <v/>
      </c>
      <c r="B357">
        <f>IF(AND(LEN('Inspections'!A357)&gt;0,ISNUMBER('Inspections'!H357)),MAX($B$3:B356)+1,"")</f>
        <v/>
      </c>
      <c r="E357">
        <f>IFERROR(MATCH(354,$B$4:$B$503,0),"")</f>
        <v/>
      </c>
      <c r="H357">
        <f>IF(AND(ISNUMBER('Drill log'!A357),ISNUMBER('Drill log'!N357),ISNUMBER('Drill schedule'!$D$4)),IF(YEAR('Drill log'!A357)='Drill schedule'!$D$4,'Drill log'!N357,""),"")</f>
        <v/>
      </c>
    </row>
    <row r="358">
      <c r="A358">
        <f>IF(AND(LEN('Inspections'!A358)&gt;0,ISNUMBER('Inspections'!H358)),'Inspections'!H358+355/100000,"")</f>
        <v/>
      </c>
      <c r="B358">
        <f>IF(AND(LEN('Inspections'!A358)&gt;0,ISNUMBER('Inspections'!H358)),MAX($B$3:B357)+1,"")</f>
        <v/>
      </c>
      <c r="E358">
        <f>IFERROR(MATCH(355,$B$4:$B$503,0),"")</f>
        <v/>
      </c>
      <c r="H358">
        <f>IF(AND(ISNUMBER('Drill log'!A358),ISNUMBER('Drill log'!N358),ISNUMBER('Drill schedule'!$D$4)),IF(YEAR('Drill log'!A358)='Drill schedule'!$D$4,'Drill log'!N358,""),"")</f>
        <v/>
      </c>
    </row>
    <row r="359">
      <c r="A359">
        <f>IF(AND(LEN('Inspections'!A359)&gt;0,ISNUMBER('Inspections'!H359)),'Inspections'!H359+356/100000,"")</f>
        <v/>
      </c>
      <c r="B359">
        <f>IF(AND(LEN('Inspections'!A359)&gt;0,ISNUMBER('Inspections'!H359)),MAX($B$3:B358)+1,"")</f>
        <v/>
      </c>
      <c r="E359">
        <f>IFERROR(MATCH(356,$B$4:$B$503,0),"")</f>
        <v/>
      </c>
      <c r="H359">
        <f>IF(AND(ISNUMBER('Drill log'!A359),ISNUMBER('Drill log'!N359),ISNUMBER('Drill schedule'!$D$4)),IF(YEAR('Drill log'!A359)='Drill schedule'!$D$4,'Drill log'!N359,""),"")</f>
        <v/>
      </c>
    </row>
    <row r="360">
      <c r="A360">
        <f>IF(AND(LEN('Inspections'!A360)&gt;0,ISNUMBER('Inspections'!H360)),'Inspections'!H360+357/100000,"")</f>
        <v/>
      </c>
      <c r="B360">
        <f>IF(AND(LEN('Inspections'!A360)&gt;0,ISNUMBER('Inspections'!H360)),MAX($B$3:B359)+1,"")</f>
        <v/>
      </c>
      <c r="E360">
        <f>IFERROR(MATCH(357,$B$4:$B$503,0),"")</f>
        <v/>
      </c>
      <c r="H360">
        <f>IF(AND(ISNUMBER('Drill log'!A360),ISNUMBER('Drill log'!N360),ISNUMBER('Drill schedule'!$D$4)),IF(YEAR('Drill log'!A360)='Drill schedule'!$D$4,'Drill log'!N360,""),"")</f>
        <v/>
      </c>
    </row>
    <row r="361">
      <c r="A361">
        <f>IF(AND(LEN('Inspections'!A361)&gt;0,ISNUMBER('Inspections'!H361)),'Inspections'!H361+358/100000,"")</f>
        <v/>
      </c>
      <c r="B361">
        <f>IF(AND(LEN('Inspections'!A361)&gt;0,ISNUMBER('Inspections'!H361)),MAX($B$3:B360)+1,"")</f>
        <v/>
      </c>
      <c r="E361">
        <f>IFERROR(MATCH(358,$B$4:$B$503,0),"")</f>
        <v/>
      </c>
      <c r="H361">
        <f>IF(AND(ISNUMBER('Drill log'!A361),ISNUMBER('Drill log'!N361),ISNUMBER('Drill schedule'!$D$4)),IF(YEAR('Drill log'!A361)='Drill schedule'!$D$4,'Drill log'!N361,""),"")</f>
        <v/>
      </c>
    </row>
    <row r="362">
      <c r="A362">
        <f>IF(AND(LEN('Inspections'!A362)&gt;0,ISNUMBER('Inspections'!H362)),'Inspections'!H362+359/100000,"")</f>
        <v/>
      </c>
      <c r="B362">
        <f>IF(AND(LEN('Inspections'!A362)&gt;0,ISNUMBER('Inspections'!H362)),MAX($B$3:B361)+1,"")</f>
        <v/>
      </c>
      <c r="E362">
        <f>IFERROR(MATCH(359,$B$4:$B$503,0),"")</f>
        <v/>
      </c>
      <c r="H362">
        <f>IF(AND(ISNUMBER('Drill log'!A362),ISNUMBER('Drill log'!N362),ISNUMBER('Drill schedule'!$D$4)),IF(YEAR('Drill log'!A362)='Drill schedule'!$D$4,'Drill log'!N362,""),"")</f>
        <v/>
      </c>
    </row>
    <row r="363">
      <c r="A363">
        <f>IF(AND(LEN('Inspections'!A363)&gt;0,ISNUMBER('Inspections'!H363)),'Inspections'!H363+360/100000,"")</f>
        <v/>
      </c>
      <c r="B363">
        <f>IF(AND(LEN('Inspections'!A363)&gt;0,ISNUMBER('Inspections'!H363)),MAX($B$3:B362)+1,"")</f>
        <v/>
      </c>
      <c r="E363">
        <f>IFERROR(MATCH(360,$B$4:$B$503,0),"")</f>
        <v/>
      </c>
      <c r="H363">
        <f>IF(AND(ISNUMBER('Drill log'!A363),ISNUMBER('Drill log'!N363),ISNUMBER('Drill schedule'!$D$4)),IF(YEAR('Drill log'!A363)='Drill schedule'!$D$4,'Drill log'!N363,""),"")</f>
        <v/>
      </c>
    </row>
    <row r="364">
      <c r="A364">
        <f>IF(AND(LEN('Inspections'!A364)&gt;0,ISNUMBER('Inspections'!H364)),'Inspections'!H364+361/100000,"")</f>
        <v/>
      </c>
      <c r="B364">
        <f>IF(AND(LEN('Inspections'!A364)&gt;0,ISNUMBER('Inspections'!H364)),MAX($B$3:B363)+1,"")</f>
        <v/>
      </c>
      <c r="E364">
        <f>IFERROR(MATCH(361,$B$4:$B$503,0),"")</f>
        <v/>
      </c>
      <c r="H364">
        <f>IF(AND(ISNUMBER('Drill log'!A364),ISNUMBER('Drill log'!N364),ISNUMBER('Drill schedule'!$D$4)),IF(YEAR('Drill log'!A364)='Drill schedule'!$D$4,'Drill log'!N364,""),"")</f>
        <v/>
      </c>
    </row>
    <row r="365">
      <c r="A365">
        <f>IF(AND(LEN('Inspections'!A365)&gt;0,ISNUMBER('Inspections'!H365)),'Inspections'!H365+362/100000,"")</f>
        <v/>
      </c>
      <c r="B365">
        <f>IF(AND(LEN('Inspections'!A365)&gt;0,ISNUMBER('Inspections'!H365)),MAX($B$3:B364)+1,"")</f>
        <v/>
      </c>
      <c r="E365">
        <f>IFERROR(MATCH(362,$B$4:$B$503,0),"")</f>
        <v/>
      </c>
      <c r="H365">
        <f>IF(AND(ISNUMBER('Drill log'!A365),ISNUMBER('Drill log'!N365),ISNUMBER('Drill schedule'!$D$4)),IF(YEAR('Drill log'!A365)='Drill schedule'!$D$4,'Drill log'!N365,""),"")</f>
        <v/>
      </c>
    </row>
    <row r="366">
      <c r="A366">
        <f>IF(AND(LEN('Inspections'!A366)&gt;0,ISNUMBER('Inspections'!H366)),'Inspections'!H366+363/100000,"")</f>
        <v/>
      </c>
      <c r="B366">
        <f>IF(AND(LEN('Inspections'!A366)&gt;0,ISNUMBER('Inspections'!H366)),MAX($B$3:B365)+1,"")</f>
        <v/>
      </c>
      <c r="E366">
        <f>IFERROR(MATCH(363,$B$4:$B$503,0),"")</f>
        <v/>
      </c>
      <c r="H366">
        <f>IF(AND(ISNUMBER('Drill log'!A366),ISNUMBER('Drill log'!N366),ISNUMBER('Drill schedule'!$D$4)),IF(YEAR('Drill log'!A366)='Drill schedule'!$D$4,'Drill log'!N366,""),"")</f>
        <v/>
      </c>
    </row>
    <row r="367">
      <c r="A367">
        <f>IF(AND(LEN('Inspections'!A367)&gt;0,ISNUMBER('Inspections'!H367)),'Inspections'!H367+364/100000,"")</f>
        <v/>
      </c>
      <c r="B367">
        <f>IF(AND(LEN('Inspections'!A367)&gt;0,ISNUMBER('Inspections'!H367)),MAX($B$3:B366)+1,"")</f>
        <v/>
      </c>
      <c r="E367">
        <f>IFERROR(MATCH(364,$B$4:$B$503,0),"")</f>
        <v/>
      </c>
      <c r="H367">
        <f>IF(AND(ISNUMBER('Drill log'!A367),ISNUMBER('Drill log'!N367),ISNUMBER('Drill schedule'!$D$4)),IF(YEAR('Drill log'!A367)='Drill schedule'!$D$4,'Drill log'!N367,""),"")</f>
        <v/>
      </c>
    </row>
    <row r="368">
      <c r="A368">
        <f>IF(AND(LEN('Inspections'!A368)&gt;0,ISNUMBER('Inspections'!H368)),'Inspections'!H368+365/100000,"")</f>
        <v/>
      </c>
      <c r="B368">
        <f>IF(AND(LEN('Inspections'!A368)&gt;0,ISNUMBER('Inspections'!H368)),MAX($B$3:B367)+1,"")</f>
        <v/>
      </c>
      <c r="E368">
        <f>IFERROR(MATCH(365,$B$4:$B$503,0),"")</f>
        <v/>
      </c>
      <c r="H368">
        <f>IF(AND(ISNUMBER('Drill log'!A368),ISNUMBER('Drill log'!N368),ISNUMBER('Drill schedule'!$D$4)),IF(YEAR('Drill log'!A368)='Drill schedule'!$D$4,'Drill log'!N368,""),"")</f>
        <v/>
      </c>
    </row>
    <row r="369">
      <c r="A369">
        <f>IF(AND(LEN('Inspections'!A369)&gt;0,ISNUMBER('Inspections'!H369)),'Inspections'!H369+366/100000,"")</f>
        <v/>
      </c>
      <c r="B369">
        <f>IF(AND(LEN('Inspections'!A369)&gt;0,ISNUMBER('Inspections'!H369)),MAX($B$3:B368)+1,"")</f>
        <v/>
      </c>
      <c r="E369">
        <f>IFERROR(MATCH(366,$B$4:$B$503,0),"")</f>
        <v/>
      </c>
      <c r="H369">
        <f>IF(AND(ISNUMBER('Drill log'!A369),ISNUMBER('Drill log'!N369),ISNUMBER('Drill schedule'!$D$4)),IF(YEAR('Drill log'!A369)='Drill schedule'!$D$4,'Drill log'!N369,""),"")</f>
        <v/>
      </c>
    </row>
    <row r="370">
      <c r="A370">
        <f>IF(AND(LEN('Inspections'!A370)&gt;0,ISNUMBER('Inspections'!H370)),'Inspections'!H370+367/100000,"")</f>
        <v/>
      </c>
      <c r="B370">
        <f>IF(AND(LEN('Inspections'!A370)&gt;0,ISNUMBER('Inspections'!H370)),MAX($B$3:B369)+1,"")</f>
        <v/>
      </c>
      <c r="E370">
        <f>IFERROR(MATCH(367,$B$4:$B$503,0),"")</f>
        <v/>
      </c>
      <c r="H370">
        <f>IF(AND(ISNUMBER('Drill log'!A370),ISNUMBER('Drill log'!N370),ISNUMBER('Drill schedule'!$D$4)),IF(YEAR('Drill log'!A370)='Drill schedule'!$D$4,'Drill log'!N370,""),"")</f>
        <v/>
      </c>
    </row>
    <row r="371">
      <c r="A371">
        <f>IF(AND(LEN('Inspections'!A371)&gt;0,ISNUMBER('Inspections'!H371)),'Inspections'!H371+368/100000,"")</f>
        <v/>
      </c>
      <c r="B371">
        <f>IF(AND(LEN('Inspections'!A371)&gt;0,ISNUMBER('Inspections'!H371)),MAX($B$3:B370)+1,"")</f>
        <v/>
      </c>
      <c r="E371">
        <f>IFERROR(MATCH(368,$B$4:$B$503,0),"")</f>
        <v/>
      </c>
      <c r="H371">
        <f>IF(AND(ISNUMBER('Drill log'!A371),ISNUMBER('Drill log'!N371),ISNUMBER('Drill schedule'!$D$4)),IF(YEAR('Drill log'!A371)='Drill schedule'!$D$4,'Drill log'!N371,""),"")</f>
        <v/>
      </c>
    </row>
    <row r="372">
      <c r="A372">
        <f>IF(AND(LEN('Inspections'!A372)&gt;0,ISNUMBER('Inspections'!H372)),'Inspections'!H372+369/100000,"")</f>
        <v/>
      </c>
      <c r="B372">
        <f>IF(AND(LEN('Inspections'!A372)&gt;0,ISNUMBER('Inspections'!H372)),MAX($B$3:B371)+1,"")</f>
        <v/>
      </c>
      <c r="E372">
        <f>IFERROR(MATCH(369,$B$4:$B$503,0),"")</f>
        <v/>
      </c>
      <c r="H372">
        <f>IF(AND(ISNUMBER('Drill log'!A372),ISNUMBER('Drill log'!N372),ISNUMBER('Drill schedule'!$D$4)),IF(YEAR('Drill log'!A372)='Drill schedule'!$D$4,'Drill log'!N372,""),"")</f>
        <v/>
      </c>
    </row>
    <row r="373">
      <c r="A373">
        <f>IF(AND(LEN('Inspections'!A373)&gt;0,ISNUMBER('Inspections'!H373)),'Inspections'!H373+370/100000,"")</f>
        <v/>
      </c>
      <c r="B373">
        <f>IF(AND(LEN('Inspections'!A373)&gt;0,ISNUMBER('Inspections'!H373)),MAX($B$3:B372)+1,"")</f>
        <v/>
      </c>
      <c r="E373">
        <f>IFERROR(MATCH(370,$B$4:$B$503,0),"")</f>
        <v/>
      </c>
      <c r="H373">
        <f>IF(AND(ISNUMBER('Drill log'!A373),ISNUMBER('Drill log'!N373),ISNUMBER('Drill schedule'!$D$4)),IF(YEAR('Drill log'!A373)='Drill schedule'!$D$4,'Drill log'!N373,""),"")</f>
        <v/>
      </c>
    </row>
    <row r="374">
      <c r="A374">
        <f>IF(AND(LEN('Inspections'!A374)&gt;0,ISNUMBER('Inspections'!H374)),'Inspections'!H374+371/100000,"")</f>
        <v/>
      </c>
      <c r="B374">
        <f>IF(AND(LEN('Inspections'!A374)&gt;0,ISNUMBER('Inspections'!H374)),MAX($B$3:B373)+1,"")</f>
        <v/>
      </c>
      <c r="E374">
        <f>IFERROR(MATCH(371,$B$4:$B$503,0),"")</f>
        <v/>
      </c>
      <c r="H374">
        <f>IF(AND(ISNUMBER('Drill log'!A374),ISNUMBER('Drill log'!N374),ISNUMBER('Drill schedule'!$D$4)),IF(YEAR('Drill log'!A374)='Drill schedule'!$D$4,'Drill log'!N374,""),"")</f>
        <v/>
      </c>
    </row>
    <row r="375">
      <c r="A375">
        <f>IF(AND(LEN('Inspections'!A375)&gt;0,ISNUMBER('Inspections'!H375)),'Inspections'!H375+372/100000,"")</f>
        <v/>
      </c>
      <c r="B375">
        <f>IF(AND(LEN('Inspections'!A375)&gt;0,ISNUMBER('Inspections'!H375)),MAX($B$3:B374)+1,"")</f>
        <v/>
      </c>
      <c r="E375">
        <f>IFERROR(MATCH(372,$B$4:$B$503,0),"")</f>
        <v/>
      </c>
      <c r="H375">
        <f>IF(AND(ISNUMBER('Drill log'!A375),ISNUMBER('Drill log'!N375),ISNUMBER('Drill schedule'!$D$4)),IF(YEAR('Drill log'!A375)='Drill schedule'!$D$4,'Drill log'!N375,""),"")</f>
        <v/>
      </c>
    </row>
    <row r="376">
      <c r="A376">
        <f>IF(AND(LEN('Inspections'!A376)&gt;0,ISNUMBER('Inspections'!H376)),'Inspections'!H376+373/100000,"")</f>
        <v/>
      </c>
      <c r="B376">
        <f>IF(AND(LEN('Inspections'!A376)&gt;0,ISNUMBER('Inspections'!H376)),MAX($B$3:B375)+1,"")</f>
        <v/>
      </c>
      <c r="E376">
        <f>IFERROR(MATCH(373,$B$4:$B$503,0),"")</f>
        <v/>
      </c>
      <c r="H376">
        <f>IF(AND(ISNUMBER('Drill log'!A376),ISNUMBER('Drill log'!N376),ISNUMBER('Drill schedule'!$D$4)),IF(YEAR('Drill log'!A376)='Drill schedule'!$D$4,'Drill log'!N376,""),"")</f>
        <v/>
      </c>
    </row>
    <row r="377">
      <c r="A377">
        <f>IF(AND(LEN('Inspections'!A377)&gt;0,ISNUMBER('Inspections'!H377)),'Inspections'!H377+374/100000,"")</f>
        <v/>
      </c>
      <c r="B377">
        <f>IF(AND(LEN('Inspections'!A377)&gt;0,ISNUMBER('Inspections'!H377)),MAX($B$3:B376)+1,"")</f>
        <v/>
      </c>
      <c r="E377">
        <f>IFERROR(MATCH(374,$B$4:$B$503,0),"")</f>
        <v/>
      </c>
      <c r="H377">
        <f>IF(AND(ISNUMBER('Drill log'!A377),ISNUMBER('Drill log'!N377),ISNUMBER('Drill schedule'!$D$4)),IF(YEAR('Drill log'!A377)='Drill schedule'!$D$4,'Drill log'!N377,""),"")</f>
        <v/>
      </c>
    </row>
    <row r="378">
      <c r="A378">
        <f>IF(AND(LEN('Inspections'!A378)&gt;0,ISNUMBER('Inspections'!H378)),'Inspections'!H378+375/100000,"")</f>
        <v/>
      </c>
      <c r="B378">
        <f>IF(AND(LEN('Inspections'!A378)&gt;0,ISNUMBER('Inspections'!H378)),MAX($B$3:B377)+1,"")</f>
        <v/>
      </c>
      <c r="E378">
        <f>IFERROR(MATCH(375,$B$4:$B$503,0),"")</f>
        <v/>
      </c>
      <c r="H378">
        <f>IF(AND(ISNUMBER('Drill log'!A378),ISNUMBER('Drill log'!N378),ISNUMBER('Drill schedule'!$D$4)),IF(YEAR('Drill log'!A378)='Drill schedule'!$D$4,'Drill log'!N378,""),"")</f>
        <v/>
      </c>
    </row>
    <row r="379">
      <c r="A379">
        <f>IF(AND(LEN('Inspections'!A379)&gt;0,ISNUMBER('Inspections'!H379)),'Inspections'!H379+376/100000,"")</f>
        <v/>
      </c>
      <c r="B379">
        <f>IF(AND(LEN('Inspections'!A379)&gt;0,ISNUMBER('Inspections'!H379)),MAX($B$3:B378)+1,"")</f>
        <v/>
      </c>
      <c r="E379">
        <f>IFERROR(MATCH(376,$B$4:$B$503,0),"")</f>
        <v/>
      </c>
      <c r="H379">
        <f>IF(AND(ISNUMBER('Drill log'!A379),ISNUMBER('Drill log'!N379),ISNUMBER('Drill schedule'!$D$4)),IF(YEAR('Drill log'!A379)='Drill schedule'!$D$4,'Drill log'!N379,""),"")</f>
        <v/>
      </c>
    </row>
    <row r="380">
      <c r="A380">
        <f>IF(AND(LEN('Inspections'!A380)&gt;0,ISNUMBER('Inspections'!H380)),'Inspections'!H380+377/100000,"")</f>
        <v/>
      </c>
      <c r="B380">
        <f>IF(AND(LEN('Inspections'!A380)&gt;0,ISNUMBER('Inspections'!H380)),MAX($B$3:B379)+1,"")</f>
        <v/>
      </c>
      <c r="E380">
        <f>IFERROR(MATCH(377,$B$4:$B$503,0),"")</f>
        <v/>
      </c>
      <c r="H380">
        <f>IF(AND(ISNUMBER('Drill log'!A380),ISNUMBER('Drill log'!N380),ISNUMBER('Drill schedule'!$D$4)),IF(YEAR('Drill log'!A380)='Drill schedule'!$D$4,'Drill log'!N380,""),"")</f>
        <v/>
      </c>
    </row>
    <row r="381">
      <c r="A381">
        <f>IF(AND(LEN('Inspections'!A381)&gt;0,ISNUMBER('Inspections'!H381)),'Inspections'!H381+378/100000,"")</f>
        <v/>
      </c>
      <c r="B381">
        <f>IF(AND(LEN('Inspections'!A381)&gt;0,ISNUMBER('Inspections'!H381)),MAX($B$3:B380)+1,"")</f>
        <v/>
      </c>
      <c r="E381">
        <f>IFERROR(MATCH(378,$B$4:$B$503,0),"")</f>
        <v/>
      </c>
      <c r="H381">
        <f>IF(AND(ISNUMBER('Drill log'!A381),ISNUMBER('Drill log'!N381),ISNUMBER('Drill schedule'!$D$4)),IF(YEAR('Drill log'!A381)='Drill schedule'!$D$4,'Drill log'!N381,""),"")</f>
        <v/>
      </c>
    </row>
    <row r="382">
      <c r="A382">
        <f>IF(AND(LEN('Inspections'!A382)&gt;0,ISNUMBER('Inspections'!H382)),'Inspections'!H382+379/100000,"")</f>
        <v/>
      </c>
      <c r="B382">
        <f>IF(AND(LEN('Inspections'!A382)&gt;0,ISNUMBER('Inspections'!H382)),MAX($B$3:B381)+1,"")</f>
        <v/>
      </c>
      <c r="E382">
        <f>IFERROR(MATCH(379,$B$4:$B$503,0),"")</f>
        <v/>
      </c>
      <c r="H382">
        <f>IF(AND(ISNUMBER('Drill log'!A382),ISNUMBER('Drill log'!N382),ISNUMBER('Drill schedule'!$D$4)),IF(YEAR('Drill log'!A382)='Drill schedule'!$D$4,'Drill log'!N382,""),"")</f>
        <v/>
      </c>
    </row>
    <row r="383">
      <c r="A383">
        <f>IF(AND(LEN('Inspections'!A383)&gt;0,ISNUMBER('Inspections'!H383)),'Inspections'!H383+380/100000,"")</f>
        <v/>
      </c>
      <c r="B383">
        <f>IF(AND(LEN('Inspections'!A383)&gt;0,ISNUMBER('Inspections'!H383)),MAX($B$3:B382)+1,"")</f>
        <v/>
      </c>
      <c r="E383">
        <f>IFERROR(MATCH(380,$B$4:$B$503,0),"")</f>
        <v/>
      </c>
      <c r="H383">
        <f>IF(AND(ISNUMBER('Drill log'!A383),ISNUMBER('Drill log'!N383),ISNUMBER('Drill schedule'!$D$4)),IF(YEAR('Drill log'!A383)='Drill schedule'!$D$4,'Drill log'!N383,""),"")</f>
        <v/>
      </c>
    </row>
    <row r="384">
      <c r="A384">
        <f>IF(AND(LEN('Inspections'!A384)&gt;0,ISNUMBER('Inspections'!H384)),'Inspections'!H384+381/100000,"")</f>
        <v/>
      </c>
      <c r="B384">
        <f>IF(AND(LEN('Inspections'!A384)&gt;0,ISNUMBER('Inspections'!H384)),MAX($B$3:B383)+1,"")</f>
        <v/>
      </c>
      <c r="E384">
        <f>IFERROR(MATCH(381,$B$4:$B$503,0),"")</f>
        <v/>
      </c>
      <c r="H384">
        <f>IF(AND(ISNUMBER('Drill log'!A384),ISNUMBER('Drill log'!N384),ISNUMBER('Drill schedule'!$D$4)),IF(YEAR('Drill log'!A384)='Drill schedule'!$D$4,'Drill log'!N384,""),"")</f>
        <v/>
      </c>
    </row>
    <row r="385">
      <c r="A385">
        <f>IF(AND(LEN('Inspections'!A385)&gt;0,ISNUMBER('Inspections'!H385)),'Inspections'!H385+382/100000,"")</f>
        <v/>
      </c>
      <c r="B385">
        <f>IF(AND(LEN('Inspections'!A385)&gt;0,ISNUMBER('Inspections'!H385)),MAX($B$3:B384)+1,"")</f>
        <v/>
      </c>
      <c r="E385">
        <f>IFERROR(MATCH(382,$B$4:$B$503,0),"")</f>
        <v/>
      </c>
      <c r="H385">
        <f>IF(AND(ISNUMBER('Drill log'!A385),ISNUMBER('Drill log'!N385),ISNUMBER('Drill schedule'!$D$4)),IF(YEAR('Drill log'!A385)='Drill schedule'!$D$4,'Drill log'!N385,""),"")</f>
        <v/>
      </c>
    </row>
    <row r="386">
      <c r="A386">
        <f>IF(AND(LEN('Inspections'!A386)&gt;0,ISNUMBER('Inspections'!H386)),'Inspections'!H386+383/100000,"")</f>
        <v/>
      </c>
      <c r="B386">
        <f>IF(AND(LEN('Inspections'!A386)&gt;0,ISNUMBER('Inspections'!H386)),MAX($B$3:B385)+1,"")</f>
        <v/>
      </c>
      <c r="E386">
        <f>IFERROR(MATCH(383,$B$4:$B$503,0),"")</f>
        <v/>
      </c>
      <c r="H386">
        <f>IF(AND(ISNUMBER('Drill log'!A386),ISNUMBER('Drill log'!N386),ISNUMBER('Drill schedule'!$D$4)),IF(YEAR('Drill log'!A386)='Drill schedule'!$D$4,'Drill log'!N386,""),"")</f>
        <v/>
      </c>
    </row>
    <row r="387">
      <c r="A387">
        <f>IF(AND(LEN('Inspections'!A387)&gt;0,ISNUMBER('Inspections'!H387)),'Inspections'!H387+384/100000,"")</f>
        <v/>
      </c>
      <c r="B387">
        <f>IF(AND(LEN('Inspections'!A387)&gt;0,ISNUMBER('Inspections'!H387)),MAX($B$3:B386)+1,"")</f>
        <v/>
      </c>
      <c r="E387">
        <f>IFERROR(MATCH(384,$B$4:$B$503,0),"")</f>
        <v/>
      </c>
      <c r="H387">
        <f>IF(AND(ISNUMBER('Drill log'!A387),ISNUMBER('Drill log'!N387),ISNUMBER('Drill schedule'!$D$4)),IF(YEAR('Drill log'!A387)='Drill schedule'!$D$4,'Drill log'!N387,""),"")</f>
        <v/>
      </c>
    </row>
    <row r="388">
      <c r="A388">
        <f>IF(AND(LEN('Inspections'!A388)&gt;0,ISNUMBER('Inspections'!H388)),'Inspections'!H388+385/100000,"")</f>
        <v/>
      </c>
      <c r="B388">
        <f>IF(AND(LEN('Inspections'!A388)&gt;0,ISNUMBER('Inspections'!H388)),MAX($B$3:B387)+1,"")</f>
        <v/>
      </c>
      <c r="E388">
        <f>IFERROR(MATCH(385,$B$4:$B$503,0),"")</f>
        <v/>
      </c>
      <c r="H388">
        <f>IF(AND(ISNUMBER('Drill log'!A388),ISNUMBER('Drill log'!N388),ISNUMBER('Drill schedule'!$D$4)),IF(YEAR('Drill log'!A388)='Drill schedule'!$D$4,'Drill log'!N388,""),"")</f>
        <v/>
      </c>
    </row>
    <row r="389">
      <c r="A389">
        <f>IF(AND(LEN('Inspections'!A389)&gt;0,ISNUMBER('Inspections'!H389)),'Inspections'!H389+386/100000,"")</f>
        <v/>
      </c>
      <c r="B389">
        <f>IF(AND(LEN('Inspections'!A389)&gt;0,ISNUMBER('Inspections'!H389)),MAX($B$3:B388)+1,"")</f>
        <v/>
      </c>
      <c r="E389">
        <f>IFERROR(MATCH(386,$B$4:$B$503,0),"")</f>
        <v/>
      </c>
      <c r="H389">
        <f>IF(AND(ISNUMBER('Drill log'!A389),ISNUMBER('Drill log'!N389),ISNUMBER('Drill schedule'!$D$4)),IF(YEAR('Drill log'!A389)='Drill schedule'!$D$4,'Drill log'!N389,""),"")</f>
        <v/>
      </c>
    </row>
    <row r="390">
      <c r="A390">
        <f>IF(AND(LEN('Inspections'!A390)&gt;0,ISNUMBER('Inspections'!H390)),'Inspections'!H390+387/100000,"")</f>
        <v/>
      </c>
      <c r="B390">
        <f>IF(AND(LEN('Inspections'!A390)&gt;0,ISNUMBER('Inspections'!H390)),MAX($B$3:B389)+1,"")</f>
        <v/>
      </c>
      <c r="E390">
        <f>IFERROR(MATCH(387,$B$4:$B$503,0),"")</f>
        <v/>
      </c>
      <c r="H390">
        <f>IF(AND(ISNUMBER('Drill log'!A390),ISNUMBER('Drill log'!N390),ISNUMBER('Drill schedule'!$D$4)),IF(YEAR('Drill log'!A390)='Drill schedule'!$D$4,'Drill log'!N390,""),"")</f>
        <v/>
      </c>
    </row>
    <row r="391">
      <c r="A391">
        <f>IF(AND(LEN('Inspections'!A391)&gt;0,ISNUMBER('Inspections'!H391)),'Inspections'!H391+388/100000,"")</f>
        <v/>
      </c>
      <c r="B391">
        <f>IF(AND(LEN('Inspections'!A391)&gt;0,ISNUMBER('Inspections'!H391)),MAX($B$3:B390)+1,"")</f>
        <v/>
      </c>
      <c r="E391">
        <f>IFERROR(MATCH(388,$B$4:$B$503,0),"")</f>
        <v/>
      </c>
      <c r="H391">
        <f>IF(AND(ISNUMBER('Drill log'!A391),ISNUMBER('Drill log'!N391),ISNUMBER('Drill schedule'!$D$4)),IF(YEAR('Drill log'!A391)='Drill schedule'!$D$4,'Drill log'!N391,""),"")</f>
        <v/>
      </c>
    </row>
    <row r="392">
      <c r="A392">
        <f>IF(AND(LEN('Inspections'!A392)&gt;0,ISNUMBER('Inspections'!H392)),'Inspections'!H392+389/100000,"")</f>
        <v/>
      </c>
      <c r="B392">
        <f>IF(AND(LEN('Inspections'!A392)&gt;0,ISNUMBER('Inspections'!H392)),MAX($B$3:B391)+1,"")</f>
        <v/>
      </c>
      <c r="E392">
        <f>IFERROR(MATCH(389,$B$4:$B$503,0),"")</f>
        <v/>
      </c>
      <c r="H392">
        <f>IF(AND(ISNUMBER('Drill log'!A392),ISNUMBER('Drill log'!N392),ISNUMBER('Drill schedule'!$D$4)),IF(YEAR('Drill log'!A392)='Drill schedule'!$D$4,'Drill log'!N392,""),"")</f>
        <v/>
      </c>
    </row>
    <row r="393">
      <c r="A393">
        <f>IF(AND(LEN('Inspections'!A393)&gt;0,ISNUMBER('Inspections'!H393)),'Inspections'!H393+390/100000,"")</f>
        <v/>
      </c>
      <c r="B393">
        <f>IF(AND(LEN('Inspections'!A393)&gt;0,ISNUMBER('Inspections'!H393)),MAX($B$3:B392)+1,"")</f>
        <v/>
      </c>
      <c r="E393">
        <f>IFERROR(MATCH(390,$B$4:$B$503,0),"")</f>
        <v/>
      </c>
      <c r="H393">
        <f>IF(AND(ISNUMBER('Drill log'!A393),ISNUMBER('Drill log'!N393),ISNUMBER('Drill schedule'!$D$4)),IF(YEAR('Drill log'!A393)='Drill schedule'!$D$4,'Drill log'!N393,""),"")</f>
        <v/>
      </c>
    </row>
    <row r="394">
      <c r="A394">
        <f>IF(AND(LEN('Inspections'!A394)&gt;0,ISNUMBER('Inspections'!H394)),'Inspections'!H394+391/100000,"")</f>
        <v/>
      </c>
      <c r="B394">
        <f>IF(AND(LEN('Inspections'!A394)&gt;0,ISNUMBER('Inspections'!H394)),MAX($B$3:B393)+1,"")</f>
        <v/>
      </c>
      <c r="E394">
        <f>IFERROR(MATCH(391,$B$4:$B$503,0),"")</f>
        <v/>
      </c>
      <c r="H394">
        <f>IF(AND(ISNUMBER('Drill log'!A394),ISNUMBER('Drill log'!N394),ISNUMBER('Drill schedule'!$D$4)),IF(YEAR('Drill log'!A394)='Drill schedule'!$D$4,'Drill log'!N394,""),"")</f>
        <v/>
      </c>
    </row>
    <row r="395">
      <c r="A395">
        <f>IF(AND(LEN('Inspections'!A395)&gt;0,ISNUMBER('Inspections'!H395)),'Inspections'!H395+392/100000,"")</f>
        <v/>
      </c>
      <c r="B395">
        <f>IF(AND(LEN('Inspections'!A395)&gt;0,ISNUMBER('Inspections'!H395)),MAX($B$3:B394)+1,"")</f>
        <v/>
      </c>
      <c r="E395">
        <f>IFERROR(MATCH(392,$B$4:$B$503,0),"")</f>
        <v/>
      </c>
      <c r="H395">
        <f>IF(AND(ISNUMBER('Drill log'!A395),ISNUMBER('Drill log'!N395),ISNUMBER('Drill schedule'!$D$4)),IF(YEAR('Drill log'!A395)='Drill schedule'!$D$4,'Drill log'!N395,""),"")</f>
        <v/>
      </c>
    </row>
    <row r="396">
      <c r="A396">
        <f>IF(AND(LEN('Inspections'!A396)&gt;0,ISNUMBER('Inspections'!H396)),'Inspections'!H396+393/100000,"")</f>
        <v/>
      </c>
      <c r="B396">
        <f>IF(AND(LEN('Inspections'!A396)&gt;0,ISNUMBER('Inspections'!H396)),MAX($B$3:B395)+1,"")</f>
        <v/>
      </c>
      <c r="E396">
        <f>IFERROR(MATCH(393,$B$4:$B$503,0),"")</f>
        <v/>
      </c>
      <c r="H396">
        <f>IF(AND(ISNUMBER('Drill log'!A396),ISNUMBER('Drill log'!N396),ISNUMBER('Drill schedule'!$D$4)),IF(YEAR('Drill log'!A396)='Drill schedule'!$D$4,'Drill log'!N396,""),"")</f>
        <v/>
      </c>
    </row>
    <row r="397">
      <c r="A397">
        <f>IF(AND(LEN('Inspections'!A397)&gt;0,ISNUMBER('Inspections'!H397)),'Inspections'!H397+394/100000,"")</f>
        <v/>
      </c>
      <c r="B397">
        <f>IF(AND(LEN('Inspections'!A397)&gt;0,ISNUMBER('Inspections'!H397)),MAX($B$3:B396)+1,"")</f>
        <v/>
      </c>
      <c r="E397">
        <f>IFERROR(MATCH(394,$B$4:$B$503,0),"")</f>
        <v/>
      </c>
      <c r="H397">
        <f>IF(AND(ISNUMBER('Drill log'!A397),ISNUMBER('Drill log'!N397),ISNUMBER('Drill schedule'!$D$4)),IF(YEAR('Drill log'!A397)='Drill schedule'!$D$4,'Drill log'!N397,""),"")</f>
        <v/>
      </c>
    </row>
    <row r="398">
      <c r="A398">
        <f>IF(AND(LEN('Inspections'!A398)&gt;0,ISNUMBER('Inspections'!H398)),'Inspections'!H398+395/100000,"")</f>
        <v/>
      </c>
      <c r="B398">
        <f>IF(AND(LEN('Inspections'!A398)&gt;0,ISNUMBER('Inspections'!H398)),MAX($B$3:B397)+1,"")</f>
        <v/>
      </c>
      <c r="E398">
        <f>IFERROR(MATCH(395,$B$4:$B$503,0),"")</f>
        <v/>
      </c>
      <c r="H398">
        <f>IF(AND(ISNUMBER('Drill log'!A398),ISNUMBER('Drill log'!N398),ISNUMBER('Drill schedule'!$D$4)),IF(YEAR('Drill log'!A398)='Drill schedule'!$D$4,'Drill log'!N398,""),"")</f>
        <v/>
      </c>
    </row>
    <row r="399">
      <c r="A399">
        <f>IF(AND(LEN('Inspections'!A399)&gt;0,ISNUMBER('Inspections'!H399)),'Inspections'!H399+396/100000,"")</f>
        <v/>
      </c>
      <c r="B399">
        <f>IF(AND(LEN('Inspections'!A399)&gt;0,ISNUMBER('Inspections'!H399)),MAX($B$3:B398)+1,"")</f>
        <v/>
      </c>
      <c r="E399">
        <f>IFERROR(MATCH(396,$B$4:$B$503,0),"")</f>
        <v/>
      </c>
      <c r="H399">
        <f>IF(AND(ISNUMBER('Drill log'!A399),ISNUMBER('Drill log'!N399),ISNUMBER('Drill schedule'!$D$4)),IF(YEAR('Drill log'!A399)='Drill schedule'!$D$4,'Drill log'!N399,""),"")</f>
        <v/>
      </c>
    </row>
    <row r="400">
      <c r="A400">
        <f>IF(AND(LEN('Inspections'!A400)&gt;0,ISNUMBER('Inspections'!H400)),'Inspections'!H400+397/100000,"")</f>
        <v/>
      </c>
      <c r="B400">
        <f>IF(AND(LEN('Inspections'!A400)&gt;0,ISNUMBER('Inspections'!H400)),MAX($B$3:B399)+1,"")</f>
        <v/>
      </c>
      <c r="E400">
        <f>IFERROR(MATCH(397,$B$4:$B$503,0),"")</f>
        <v/>
      </c>
      <c r="H400">
        <f>IF(AND(ISNUMBER('Drill log'!A400),ISNUMBER('Drill log'!N400),ISNUMBER('Drill schedule'!$D$4)),IF(YEAR('Drill log'!A400)='Drill schedule'!$D$4,'Drill log'!N400,""),"")</f>
        <v/>
      </c>
    </row>
    <row r="401">
      <c r="A401">
        <f>IF(AND(LEN('Inspections'!A401)&gt;0,ISNUMBER('Inspections'!H401)),'Inspections'!H401+398/100000,"")</f>
        <v/>
      </c>
      <c r="B401">
        <f>IF(AND(LEN('Inspections'!A401)&gt;0,ISNUMBER('Inspections'!H401)),MAX($B$3:B400)+1,"")</f>
        <v/>
      </c>
      <c r="E401">
        <f>IFERROR(MATCH(398,$B$4:$B$503,0),"")</f>
        <v/>
      </c>
      <c r="H401">
        <f>IF(AND(ISNUMBER('Drill log'!A401),ISNUMBER('Drill log'!N401),ISNUMBER('Drill schedule'!$D$4)),IF(YEAR('Drill log'!A401)='Drill schedule'!$D$4,'Drill log'!N401,""),"")</f>
        <v/>
      </c>
    </row>
    <row r="402">
      <c r="A402">
        <f>IF(AND(LEN('Inspections'!A402)&gt;0,ISNUMBER('Inspections'!H402)),'Inspections'!H402+399/100000,"")</f>
        <v/>
      </c>
      <c r="B402">
        <f>IF(AND(LEN('Inspections'!A402)&gt;0,ISNUMBER('Inspections'!H402)),MAX($B$3:B401)+1,"")</f>
        <v/>
      </c>
      <c r="E402">
        <f>IFERROR(MATCH(399,$B$4:$B$503,0),"")</f>
        <v/>
      </c>
      <c r="H402">
        <f>IF(AND(ISNUMBER('Drill log'!A402),ISNUMBER('Drill log'!N402),ISNUMBER('Drill schedule'!$D$4)),IF(YEAR('Drill log'!A402)='Drill schedule'!$D$4,'Drill log'!N402,""),"")</f>
        <v/>
      </c>
    </row>
    <row r="403">
      <c r="A403">
        <f>IF(AND(LEN('Inspections'!A403)&gt;0,ISNUMBER('Inspections'!H403)),'Inspections'!H403+400/100000,"")</f>
        <v/>
      </c>
      <c r="B403">
        <f>IF(AND(LEN('Inspections'!A403)&gt;0,ISNUMBER('Inspections'!H403)),MAX($B$3:B402)+1,"")</f>
        <v/>
      </c>
      <c r="E403">
        <f>IFERROR(MATCH(400,$B$4:$B$503,0),"")</f>
        <v/>
      </c>
      <c r="H403">
        <f>IF(AND(ISNUMBER('Drill log'!A403),ISNUMBER('Drill log'!N403),ISNUMBER('Drill schedule'!$D$4)),IF(YEAR('Drill log'!A403)='Drill schedule'!$D$4,'Drill log'!N403,""),"")</f>
        <v/>
      </c>
    </row>
    <row r="404">
      <c r="A404">
        <f>IF(AND(LEN('Inspections'!A404)&gt;0,ISNUMBER('Inspections'!H404)),'Inspections'!H404+401/100000,"")</f>
        <v/>
      </c>
      <c r="B404">
        <f>IF(AND(LEN('Inspections'!A404)&gt;0,ISNUMBER('Inspections'!H404)),MAX($B$3:B403)+1,"")</f>
        <v/>
      </c>
      <c r="E404">
        <f>IFERROR(MATCH(401,$B$4:$B$503,0),"")</f>
        <v/>
      </c>
      <c r="H404">
        <f>IF(AND(ISNUMBER('Drill log'!A404),ISNUMBER('Drill log'!N404),ISNUMBER('Drill schedule'!$D$4)),IF(YEAR('Drill log'!A404)='Drill schedule'!$D$4,'Drill log'!N404,""),"")</f>
        <v/>
      </c>
    </row>
    <row r="405">
      <c r="A405">
        <f>IF(AND(LEN('Inspections'!A405)&gt;0,ISNUMBER('Inspections'!H405)),'Inspections'!H405+402/100000,"")</f>
        <v/>
      </c>
      <c r="B405">
        <f>IF(AND(LEN('Inspections'!A405)&gt;0,ISNUMBER('Inspections'!H405)),MAX($B$3:B404)+1,"")</f>
        <v/>
      </c>
      <c r="E405">
        <f>IFERROR(MATCH(402,$B$4:$B$503,0),"")</f>
        <v/>
      </c>
      <c r="H405">
        <f>IF(AND(ISNUMBER('Drill log'!A405),ISNUMBER('Drill log'!N405),ISNUMBER('Drill schedule'!$D$4)),IF(YEAR('Drill log'!A405)='Drill schedule'!$D$4,'Drill log'!N405,""),"")</f>
        <v/>
      </c>
    </row>
    <row r="406">
      <c r="A406">
        <f>IF(AND(LEN('Inspections'!A406)&gt;0,ISNUMBER('Inspections'!H406)),'Inspections'!H406+403/100000,"")</f>
        <v/>
      </c>
      <c r="B406">
        <f>IF(AND(LEN('Inspections'!A406)&gt;0,ISNUMBER('Inspections'!H406)),MAX($B$3:B405)+1,"")</f>
        <v/>
      </c>
      <c r="E406">
        <f>IFERROR(MATCH(403,$B$4:$B$503,0),"")</f>
        <v/>
      </c>
      <c r="H406">
        <f>IF(AND(ISNUMBER('Drill log'!A406),ISNUMBER('Drill log'!N406),ISNUMBER('Drill schedule'!$D$4)),IF(YEAR('Drill log'!A406)='Drill schedule'!$D$4,'Drill log'!N406,""),"")</f>
        <v/>
      </c>
    </row>
    <row r="407">
      <c r="A407">
        <f>IF(AND(LEN('Inspections'!A407)&gt;0,ISNUMBER('Inspections'!H407)),'Inspections'!H407+404/100000,"")</f>
        <v/>
      </c>
      <c r="B407">
        <f>IF(AND(LEN('Inspections'!A407)&gt;0,ISNUMBER('Inspections'!H407)),MAX($B$3:B406)+1,"")</f>
        <v/>
      </c>
      <c r="E407">
        <f>IFERROR(MATCH(404,$B$4:$B$503,0),"")</f>
        <v/>
      </c>
      <c r="H407">
        <f>IF(AND(ISNUMBER('Drill log'!A407),ISNUMBER('Drill log'!N407),ISNUMBER('Drill schedule'!$D$4)),IF(YEAR('Drill log'!A407)='Drill schedule'!$D$4,'Drill log'!N407,""),"")</f>
        <v/>
      </c>
    </row>
    <row r="408">
      <c r="A408">
        <f>IF(AND(LEN('Inspections'!A408)&gt;0,ISNUMBER('Inspections'!H408)),'Inspections'!H408+405/100000,"")</f>
        <v/>
      </c>
      <c r="B408">
        <f>IF(AND(LEN('Inspections'!A408)&gt;0,ISNUMBER('Inspections'!H408)),MAX($B$3:B407)+1,"")</f>
        <v/>
      </c>
      <c r="E408">
        <f>IFERROR(MATCH(405,$B$4:$B$503,0),"")</f>
        <v/>
      </c>
      <c r="H408">
        <f>IF(AND(ISNUMBER('Drill log'!A408),ISNUMBER('Drill log'!N408),ISNUMBER('Drill schedule'!$D$4)),IF(YEAR('Drill log'!A408)='Drill schedule'!$D$4,'Drill log'!N408,""),"")</f>
        <v/>
      </c>
    </row>
    <row r="409">
      <c r="A409">
        <f>IF(AND(LEN('Inspections'!A409)&gt;0,ISNUMBER('Inspections'!H409)),'Inspections'!H409+406/100000,"")</f>
        <v/>
      </c>
      <c r="B409">
        <f>IF(AND(LEN('Inspections'!A409)&gt;0,ISNUMBER('Inspections'!H409)),MAX($B$3:B408)+1,"")</f>
        <v/>
      </c>
      <c r="E409">
        <f>IFERROR(MATCH(406,$B$4:$B$503,0),"")</f>
        <v/>
      </c>
      <c r="H409">
        <f>IF(AND(ISNUMBER('Drill log'!A409),ISNUMBER('Drill log'!N409),ISNUMBER('Drill schedule'!$D$4)),IF(YEAR('Drill log'!A409)='Drill schedule'!$D$4,'Drill log'!N409,""),"")</f>
        <v/>
      </c>
    </row>
    <row r="410">
      <c r="A410">
        <f>IF(AND(LEN('Inspections'!A410)&gt;0,ISNUMBER('Inspections'!H410)),'Inspections'!H410+407/100000,"")</f>
        <v/>
      </c>
      <c r="B410">
        <f>IF(AND(LEN('Inspections'!A410)&gt;0,ISNUMBER('Inspections'!H410)),MAX($B$3:B409)+1,"")</f>
        <v/>
      </c>
      <c r="E410">
        <f>IFERROR(MATCH(407,$B$4:$B$503,0),"")</f>
        <v/>
      </c>
      <c r="H410">
        <f>IF(AND(ISNUMBER('Drill log'!A410),ISNUMBER('Drill log'!N410),ISNUMBER('Drill schedule'!$D$4)),IF(YEAR('Drill log'!A410)='Drill schedule'!$D$4,'Drill log'!N410,""),"")</f>
        <v/>
      </c>
    </row>
    <row r="411">
      <c r="A411">
        <f>IF(AND(LEN('Inspections'!A411)&gt;0,ISNUMBER('Inspections'!H411)),'Inspections'!H411+408/100000,"")</f>
        <v/>
      </c>
      <c r="B411">
        <f>IF(AND(LEN('Inspections'!A411)&gt;0,ISNUMBER('Inspections'!H411)),MAX($B$3:B410)+1,"")</f>
        <v/>
      </c>
      <c r="E411">
        <f>IFERROR(MATCH(408,$B$4:$B$503,0),"")</f>
        <v/>
      </c>
      <c r="H411">
        <f>IF(AND(ISNUMBER('Drill log'!A411),ISNUMBER('Drill log'!N411),ISNUMBER('Drill schedule'!$D$4)),IF(YEAR('Drill log'!A411)='Drill schedule'!$D$4,'Drill log'!N411,""),"")</f>
        <v/>
      </c>
    </row>
    <row r="412">
      <c r="A412">
        <f>IF(AND(LEN('Inspections'!A412)&gt;0,ISNUMBER('Inspections'!H412)),'Inspections'!H412+409/100000,"")</f>
        <v/>
      </c>
      <c r="B412">
        <f>IF(AND(LEN('Inspections'!A412)&gt;0,ISNUMBER('Inspections'!H412)),MAX($B$3:B411)+1,"")</f>
        <v/>
      </c>
      <c r="E412">
        <f>IFERROR(MATCH(409,$B$4:$B$503,0),"")</f>
        <v/>
      </c>
      <c r="H412">
        <f>IF(AND(ISNUMBER('Drill log'!A412),ISNUMBER('Drill log'!N412),ISNUMBER('Drill schedule'!$D$4)),IF(YEAR('Drill log'!A412)='Drill schedule'!$D$4,'Drill log'!N412,""),"")</f>
        <v/>
      </c>
    </row>
    <row r="413">
      <c r="A413">
        <f>IF(AND(LEN('Inspections'!A413)&gt;0,ISNUMBER('Inspections'!H413)),'Inspections'!H413+410/100000,"")</f>
        <v/>
      </c>
      <c r="B413">
        <f>IF(AND(LEN('Inspections'!A413)&gt;0,ISNUMBER('Inspections'!H413)),MAX($B$3:B412)+1,"")</f>
        <v/>
      </c>
      <c r="E413">
        <f>IFERROR(MATCH(410,$B$4:$B$503,0),"")</f>
        <v/>
      </c>
      <c r="H413">
        <f>IF(AND(ISNUMBER('Drill log'!A413),ISNUMBER('Drill log'!N413),ISNUMBER('Drill schedule'!$D$4)),IF(YEAR('Drill log'!A413)='Drill schedule'!$D$4,'Drill log'!N413,""),"")</f>
        <v/>
      </c>
    </row>
    <row r="414">
      <c r="A414">
        <f>IF(AND(LEN('Inspections'!A414)&gt;0,ISNUMBER('Inspections'!H414)),'Inspections'!H414+411/100000,"")</f>
        <v/>
      </c>
      <c r="B414">
        <f>IF(AND(LEN('Inspections'!A414)&gt;0,ISNUMBER('Inspections'!H414)),MAX($B$3:B413)+1,"")</f>
        <v/>
      </c>
      <c r="E414">
        <f>IFERROR(MATCH(411,$B$4:$B$503,0),"")</f>
        <v/>
      </c>
      <c r="H414">
        <f>IF(AND(ISNUMBER('Drill log'!A414),ISNUMBER('Drill log'!N414),ISNUMBER('Drill schedule'!$D$4)),IF(YEAR('Drill log'!A414)='Drill schedule'!$D$4,'Drill log'!N414,""),"")</f>
        <v/>
      </c>
    </row>
    <row r="415">
      <c r="A415">
        <f>IF(AND(LEN('Inspections'!A415)&gt;0,ISNUMBER('Inspections'!H415)),'Inspections'!H415+412/100000,"")</f>
        <v/>
      </c>
      <c r="B415">
        <f>IF(AND(LEN('Inspections'!A415)&gt;0,ISNUMBER('Inspections'!H415)),MAX($B$3:B414)+1,"")</f>
        <v/>
      </c>
      <c r="E415">
        <f>IFERROR(MATCH(412,$B$4:$B$503,0),"")</f>
        <v/>
      </c>
      <c r="H415">
        <f>IF(AND(ISNUMBER('Drill log'!A415),ISNUMBER('Drill log'!N415),ISNUMBER('Drill schedule'!$D$4)),IF(YEAR('Drill log'!A415)='Drill schedule'!$D$4,'Drill log'!N415,""),"")</f>
        <v/>
      </c>
    </row>
    <row r="416">
      <c r="A416">
        <f>IF(AND(LEN('Inspections'!A416)&gt;0,ISNUMBER('Inspections'!H416)),'Inspections'!H416+413/100000,"")</f>
        <v/>
      </c>
      <c r="B416">
        <f>IF(AND(LEN('Inspections'!A416)&gt;0,ISNUMBER('Inspections'!H416)),MAX($B$3:B415)+1,"")</f>
        <v/>
      </c>
      <c r="E416">
        <f>IFERROR(MATCH(413,$B$4:$B$503,0),"")</f>
        <v/>
      </c>
      <c r="H416">
        <f>IF(AND(ISNUMBER('Drill log'!A416),ISNUMBER('Drill log'!N416),ISNUMBER('Drill schedule'!$D$4)),IF(YEAR('Drill log'!A416)='Drill schedule'!$D$4,'Drill log'!N416,""),"")</f>
        <v/>
      </c>
    </row>
    <row r="417">
      <c r="A417">
        <f>IF(AND(LEN('Inspections'!A417)&gt;0,ISNUMBER('Inspections'!H417)),'Inspections'!H417+414/100000,"")</f>
        <v/>
      </c>
      <c r="B417">
        <f>IF(AND(LEN('Inspections'!A417)&gt;0,ISNUMBER('Inspections'!H417)),MAX($B$3:B416)+1,"")</f>
        <v/>
      </c>
      <c r="E417">
        <f>IFERROR(MATCH(414,$B$4:$B$503,0),"")</f>
        <v/>
      </c>
      <c r="H417">
        <f>IF(AND(ISNUMBER('Drill log'!A417),ISNUMBER('Drill log'!N417),ISNUMBER('Drill schedule'!$D$4)),IF(YEAR('Drill log'!A417)='Drill schedule'!$D$4,'Drill log'!N417,""),"")</f>
        <v/>
      </c>
    </row>
    <row r="418">
      <c r="A418">
        <f>IF(AND(LEN('Inspections'!A418)&gt;0,ISNUMBER('Inspections'!H418)),'Inspections'!H418+415/100000,"")</f>
        <v/>
      </c>
      <c r="B418">
        <f>IF(AND(LEN('Inspections'!A418)&gt;0,ISNUMBER('Inspections'!H418)),MAX($B$3:B417)+1,"")</f>
        <v/>
      </c>
      <c r="E418">
        <f>IFERROR(MATCH(415,$B$4:$B$503,0),"")</f>
        <v/>
      </c>
      <c r="H418">
        <f>IF(AND(ISNUMBER('Drill log'!A418),ISNUMBER('Drill log'!N418),ISNUMBER('Drill schedule'!$D$4)),IF(YEAR('Drill log'!A418)='Drill schedule'!$D$4,'Drill log'!N418,""),"")</f>
        <v/>
      </c>
    </row>
    <row r="419">
      <c r="A419">
        <f>IF(AND(LEN('Inspections'!A419)&gt;0,ISNUMBER('Inspections'!H419)),'Inspections'!H419+416/100000,"")</f>
        <v/>
      </c>
      <c r="B419">
        <f>IF(AND(LEN('Inspections'!A419)&gt;0,ISNUMBER('Inspections'!H419)),MAX($B$3:B418)+1,"")</f>
        <v/>
      </c>
      <c r="E419">
        <f>IFERROR(MATCH(416,$B$4:$B$503,0),"")</f>
        <v/>
      </c>
      <c r="H419">
        <f>IF(AND(ISNUMBER('Drill log'!A419),ISNUMBER('Drill log'!N419),ISNUMBER('Drill schedule'!$D$4)),IF(YEAR('Drill log'!A419)='Drill schedule'!$D$4,'Drill log'!N419,""),"")</f>
        <v/>
      </c>
    </row>
    <row r="420">
      <c r="A420">
        <f>IF(AND(LEN('Inspections'!A420)&gt;0,ISNUMBER('Inspections'!H420)),'Inspections'!H420+417/100000,"")</f>
        <v/>
      </c>
      <c r="B420">
        <f>IF(AND(LEN('Inspections'!A420)&gt;0,ISNUMBER('Inspections'!H420)),MAX($B$3:B419)+1,"")</f>
        <v/>
      </c>
      <c r="E420">
        <f>IFERROR(MATCH(417,$B$4:$B$503,0),"")</f>
        <v/>
      </c>
      <c r="H420">
        <f>IF(AND(ISNUMBER('Drill log'!A420),ISNUMBER('Drill log'!N420),ISNUMBER('Drill schedule'!$D$4)),IF(YEAR('Drill log'!A420)='Drill schedule'!$D$4,'Drill log'!N420,""),"")</f>
        <v/>
      </c>
    </row>
    <row r="421">
      <c r="A421">
        <f>IF(AND(LEN('Inspections'!A421)&gt;0,ISNUMBER('Inspections'!H421)),'Inspections'!H421+418/100000,"")</f>
        <v/>
      </c>
      <c r="B421">
        <f>IF(AND(LEN('Inspections'!A421)&gt;0,ISNUMBER('Inspections'!H421)),MAX($B$3:B420)+1,"")</f>
        <v/>
      </c>
      <c r="E421">
        <f>IFERROR(MATCH(418,$B$4:$B$503,0),"")</f>
        <v/>
      </c>
      <c r="H421">
        <f>IF(AND(ISNUMBER('Drill log'!A421),ISNUMBER('Drill log'!N421),ISNUMBER('Drill schedule'!$D$4)),IF(YEAR('Drill log'!A421)='Drill schedule'!$D$4,'Drill log'!N421,""),"")</f>
        <v/>
      </c>
    </row>
    <row r="422">
      <c r="A422">
        <f>IF(AND(LEN('Inspections'!A422)&gt;0,ISNUMBER('Inspections'!H422)),'Inspections'!H422+419/100000,"")</f>
        <v/>
      </c>
      <c r="B422">
        <f>IF(AND(LEN('Inspections'!A422)&gt;0,ISNUMBER('Inspections'!H422)),MAX($B$3:B421)+1,"")</f>
        <v/>
      </c>
      <c r="E422">
        <f>IFERROR(MATCH(419,$B$4:$B$503,0),"")</f>
        <v/>
      </c>
      <c r="H422">
        <f>IF(AND(ISNUMBER('Drill log'!A422),ISNUMBER('Drill log'!N422),ISNUMBER('Drill schedule'!$D$4)),IF(YEAR('Drill log'!A422)='Drill schedule'!$D$4,'Drill log'!N422,""),"")</f>
        <v/>
      </c>
    </row>
    <row r="423">
      <c r="A423">
        <f>IF(AND(LEN('Inspections'!A423)&gt;0,ISNUMBER('Inspections'!H423)),'Inspections'!H423+420/100000,"")</f>
        <v/>
      </c>
      <c r="B423">
        <f>IF(AND(LEN('Inspections'!A423)&gt;0,ISNUMBER('Inspections'!H423)),MAX($B$3:B422)+1,"")</f>
        <v/>
      </c>
      <c r="E423">
        <f>IFERROR(MATCH(420,$B$4:$B$503,0),"")</f>
        <v/>
      </c>
      <c r="H423">
        <f>IF(AND(ISNUMBER('Drill log'!A423),ISNUMBER('Drill log'!N423),ISNUMBER('Drill schedule'!$D$4)),IF(YEAR('Drill log'!A423)='Drill schedule'!$D$4,'Drill log'!N423,""),"")</f>
        <v/>
      </c>
    </row>
    <row r="424">
      <c r="A424">
        <f>IF(AND(LEN('Inspections'!A424)&gt;0,ISNUMBER('Inspections'!H424)),'Inspections'!H424+421/100000,"")</f>
        <v/>
      </c>
      <c r="B424">
        <f>IF(AND(LEN('Inspections'!A424)&gt;0,ISNUMBER('Inspections'!H424)),MAX($B$3:B423)+1,"")</f>
        <v/>
      </c>
      <c r="E424">
        <f>IFERROR(MATCH(421,$B$4:$B$503,0),"")</f>
        <v/>
      </c>
      <c r="H424">
        <f>IF(AND(ISNUMBER('Drill log'!A424),ISNUMBER('Drill log'!N424),ISNUMBER('Drill schedule'!$D$4)),IF(YEAR('Drill log'!A424)='Drill schedule'!$D$4,'Drill log'!N424,""),"")</f>
        <v/>
      </c>
    </row>
    <row r="425">
      <c r="A425">
        <f>IF(AND(LEN('Inspections'!A425)&gt;0,ISNUMBER('Inspections'!H425)),'Inspections'!H425+422/100000,"")</f>
        <v/>
      </c>
      <c r="B425">
        <f>IF(AND(LEN('Inspections'!A425)&gt;0,ISNUMBER('Inspections'!H425)),MAX($B$3:B424)+1,"")</f>
        <v/>
      </c>
      <c r="E425">
        <f>IFERROR(MATCH(422,$B$4:$B$503,0),"")</f>
        <v/>
      </c>
      <c r="H425">
        <f>IF(AND(ISNUMBER('Drill log'!A425),ISNUMBER('Drill log'!N425),ISNUMBER('Drill schedule'!$D$4)),IF(YEAR('Drill log'!A425)='Drill schedule'!$D$4,'Drill log'!N425,""),"")</f>
        <v/>
      </c>
    </row>
    <row r="426">
      <c r="A426">
        <f>IF(AND(LEN('Inspections'!A426)&gt;0,ISNUMBER('Inspections'!H426)),'Inspections'!H426+423/100000,"")</f>
        <v/>
      </c>
      <c r="B426">
        <f>IF(AND(LEN('Inspections'!A426)&gt;0,ISNUMBER('Inspections'!H426)),MAX($B$3:B425)+1,"")</f>
        <v/>
      </c>
      <c r="E426">
        <f>IFERROR(MATCH(423,$B$4:$B$503,0),"")</f>
        <v/>
      </c>
      <c r="H426">
        <f>IF(AND(ISNUMBER('Drill log'!A426),ISNUMBER('Drill log'!N426),ISNUMBER('Drill schedule'!$D$4)),IF(YEAR('Drill log'!A426)='Drill schedule'!$D$4,'Drill log'!N426,""),"")</f>
        <v/>
      </c>
    </row>
    <row r="427">
      <c r="A427">
        <f>IF(AND(LEN('Inspections'!A427)&gt;0,ISNUMBER('Inspections'!H427)),'Inspections'!H427+424/100000,"")</f>
        <v/>
      </c>
      <c r="B427">
        <f>IF(AND(LEN('Inspections'!A427)&gt;0,ISNUMBER('Inspections'!H427)),MAX($B$3:B426)+1,"")</f>
        <v/>
      </c>
      <c r="E427">
        <f>IFERROR(MATCH(424,$B$4:$B$503,0),"")</f>
        <v/>
      </c>
      <c r="H427">
        <f>IF(AND(ISNUMBER('Drill log'!A427),ISNUMBER('Drill log'!N427),ISNUMBER('Drill schedule'!$D$4)),IF(YEAR('Drill log'!A427)='Drill schedule'!$D$4,'Drill log'!N427,""),"")</f>
        <v/>
      </c>
    </row>
    <row r="428">
      <c r="A428">
        <f>IF(AND(LEN('Inspections'!A428)&gt;0,ISNUMBER('Inspections'!H428)),'Inspections'!H428+425/100000,"")</f>
        <v/>
      </c>
      <c r="B428">
        <f>IF(AND(LEN('Inspections'!A428)&gt;0,ISNUMBER('Inspections'!H428)),MAX($B$3:B427)+1,"")</f>
        <v/>
      </c>
      <c r="E428">
        <f>IFERROR(MATCH(425,$B$4:$B$503,0),"")</f>
        <v/>
      </c>
      <c r="H428">
        <f>IF(AND(ISNUMBER('Drill log'!A428),ISNUMBER('Drill log'!N428),ISNUMBER('Drill schedule'!$D$4)),IF(YEAR('Drill log'!A428)='Drill schedule'!$D$4,'Drill log'!N428,""),"")</f>
        <v/>
      </c>
    </row>
    <row r="429">
      <c r="A429">
        <f>IF(AND(LEN('Inspections'!A429)&gt;0,ISNUMBER('Inspections'!H429)),'Inspections'!H429+426/100000,"")</f>
        <v/>
      </c>
      <c r="B429">
        <f>IF(AND(LEN('Inspections'!A429)&gt;0,ISNUMBER('Inspections'!H429)),MAX($B$3:B428)+1,"")</f>
        <v/>
      </c>
      <c r="E429">
        <f>IFERROR(MATCH(426,$B$4:$B$503,0),"")</f>
        <v/>
      </c>
      <c r="H429">
        <f>IF(AND(ISNUMBER('Drill log'!A429),ISNUMBER('Drill log'!N429),ISNUMBER('Drill schedule'!$D$4)),IF(YEAR('Drill log'!A429)='Drill schedule'!$D$4,'Drill log'!N429,""),"")</f>
        <v/>
      </c>
    </row>
    <row r="430">
      <c r="A430">
        <f>IF(AND(LEN('Inspections'!A430)&gt;0,ISNUMBER('Inspections'!H430)),'Inspections'!H430+427/100000,"")</f>
        <v/>
      </c>
      <c r="B430">
        <f>IF(AND(LEN('Inspections'!A430)&gt;0,ISNUMBER('Inspections'!H430)),MAX($B$3:B429)+1,"")</f>
        <v/>
      </c>
      <c r="E430">
        <f>IFERROR(MATCH(427,$B$4:$B$503,0),"")</f>
        <v/>
      </c>
      <c r="H430">
        <f>IF(AND(ISNUMBER('Drill log'!A430),ISNUMBER('Drill log'!N430),ISNUMBER('Drill schedule'!$D$4)),IF(YEAR('Drill log'!A430)='Drill schedule'!$D$4,'Drill log'!N430,""),"")</f>
        <v/>
      </c>
    </row>
    <row r="431">
      <c r="A431">
        <f>IF(AND(LEN('Inspections'!A431)&gt;0,ISNUMBER('Inspections'!H431)),'Inspections'!H431+428/100000,"")</f>
        <v/>
      </c>
      <c r="B431">
        <f>IF(AND(LEN('Inspections'!A431)&gt;0,ISNUMBER('Inspections'!H431)),MAX($B$3:B430)+1,"")</f>
        <v/>
      </c>
      <c r="E431">
        <f>IFERROR(MATCH(428,$B$4:$B$503,0),"")</f>
        <v/>
      </c>
      <c r="H431">
        <f>IF(AND(ISNUMBER('Drill log'!A431),ISNUMBER('Drill log'!N431),ISNUMBER('Drill schedule'!$D$4)),IF(YEAR('Drill log'!A431)='Drill schedule'!$D$4,'Drill log'!N431,""),"")</f>
        <v/>
      </c>
    </row>
    <row r="432">
      <c r="A432">
        <f>IF(AND(LEN('Inspections'!A432)&gt;0,ISNUMBER('Inspections'!H432)),'Inspections'!H432+429/100000,"")</f>
        <v/>
      </c>
      <c r="B432">
        <f>IF(AND(LEN('Inspections'!A432)&gt;0,ISNUMBER('Inspections'!H432)),MAX($B$3:B431)+1,"")</f>
        <v/>
      </c>
      <c r="E432">
        <f>IFERROR(MATCH(429,$B$4:$B$503,0),"")</f>
        <v/>
      </c>
      <c r="H432">
        <f>IF(AND(ISNUMBER('Drill log'!A432),ISNUMBER('Drill log'!N432),ISNUMBER('Drill schedule'!$D$4)),IF(YEAR('Drill log'!A432)='Drill schedule'!$D$4,'Drill log'!N432,""),"")</f>
        <v/>
      </c>
    </row>
    <row r="433">
      <c r="A433">
        <f>IF(AND(LEN('Inspections'!A433)&gt;0,ISNUMBER('Inspections'!H433)),'Inspections'!H433+430/100000,"")</f>
        <v/>
      </c>
      <c r="B433">
        <f>IF(AND(LEN('Inspections'!A433)&gt;0,ISNUMBER('Inspections'!H433)),MAX($B$3:B432)+1,"")</f>
        <v/>
      </c>
      <c r="E433">
        <f>IFERROR(MATCH(430,$B$4:$B$503,0),"")</f>
        <v/>
      </c>
      <c r="H433">
        <f>IF(AND(ISNUMBER('Drill log'!A433),ISNUMBER('Drill log'!N433),ISNUMBER('Drill schedule'!$D$4)),IF(YEAR('Drill log'!A433)='Drill schedule'!$D$4,'Drill log'!N433,""),"")</f>
        <v/>
      </c>
    </row>
    <row r="434">
      <c r="A434">
        <f>IF(AND(LEN('Inspections'!A434)&gt;0,ISNUMBER('Inspections'!H434)),'Inspections'!H434+431/100000,"")</f>
        <v/>
      </c>
      <c r="B434">
        <f>IF(AND(LEN('Inspections'!A434)&gt;0,ISNUMBER('Inspections'!H434)),MAX($B$3:B433)+1,"")</f>
        <v/>
      </c>
      <c r="E434">
        <f>IFERROR(MATCH(431,$B$4:$B$503,0),"")</f>
        <v/>
      </c>
      <c r="H434">
        <f>IF(AND(ISNUMBER('Drill log'!A434),ISNUMBER('Drill log'!N434),ISNUMBER('Drill schedule'!$D$4)),IF(YEAR('Drill log'!A434)='Drill schedule'!$D$4,'Drill log'!N434,""),"")</f>
        <v/>
      </c>
    </row>
    <row r="435">
      <c r="A435">
        <f>IF(AND(LEN('Inspections'!A435)&gt;0,ISNUMBER('Inspections'!H435)),'Inspections'!H435+432/100000,"")</f>
        <v/>
      </c>
      <c r="B435">
        <f>IF(AND(LEN('Inspections'!A435)&gt;0,ISNUMBER('Inspections'!H435)),MAX($B$3:B434)+1,"")</f>
        <v/>
      </c>
      <c r="E435">
        <f>IFERROR(MATCH(432,$B$4:$B$503,0),"")</f>
        <v/>
      </c>
      <c r="H435">
        <f>IF(AND(ISNUMBER('Drill log'!A435),ISNUMBER('Drill log'!N435),ISNUMBER('Drill schedule'!$D$4)),IF(YEAR('Drill log'!A435)='Drill schedule'!$D$4,'Drill log'!N435,""),"")</f>
        <v/>
      </c>
    </row>
    <row r="436">
      <c r="A436">
        <f>IF(AND(LEN('Inspections'!A436)&gt;0,ISNUMBER('Inspections'!H436)),'Inspections'!H436+433/100000,"")</f>
        <v/>
      </c>
      <c r="B436">
        <f>IF(AND(LEN('Inspections'!A436)&gt;0,ISNUMBER('Inspections'!H436)),MAX($B$3:B435)+1,"")</f>
        <v/>
      </c>
      <c r="E436">
        <f>IFERROR(MATCH(433,$B$4:$B$503,0),"")</f>
        <v/>
      </c>
      <c r="H436">
        <f>IF(AND(ISNUMBER('Drill log'!A436),ISNUMBER('Drill log'!N436),ISNUMBER('Drill schedule'!$D$4)),IF(YEAR('Drill log'!A436)='Drill schedule'!$D$4,'Drill log'!N436,""),"")</f>
        <v/>
      </c>
    </row>
    <row r="437">
      <c r="A437">
        <f>IF(AND(LEN('Inspections'!A437)&gt;0,ISNUMBER('Inspections'!H437)),'Inspections'!H437+434/100000,"")</f>
        <v/>
      </c>
      <c r="B437">
        <f>IF(AND(LEN('Inspections'!A437)&gt;0,ISNUMBER('Inspections'!H437)),MAX($B$3:B436)+1,"")</f>
        <v/>
      </c>
      <c r="E437">
        <f>IFERROR(MATCH(434,$B$4:$B$503,0),"")</f>
        <v/>
      </c>
      <c r="H437">
        <f>IF(AND(ISNUMBER('Drill log'!A437),ISNUMBER('Drill log'!N437),ISNUMBER('Drill schedule'!$D$4)),IF(YEAR('Drill log'!A437)='Drill schedule'!$D$4,'Drill log'!N437,""),"")</f>
        <v/>
      </c>
    </row>
    <row r="438">
      <c r="A438">
        <f>IF(AND(LEN('Inspections'!A438)&gt;0,ISNUMBER('Inspections'!H438)),'Inspections'!H438+435/100000,"")</f>
        <v/>
      </c>
      <c r="B438">
        <f>IF(AND(LEN('Inspections'!A438)&gt;0,ISNUMBER('Inspections'!H438)),MAX($B$3:B437)+1,"")</f>
        <v/>
      </c>
      <c r="E438">
        <f>IFERROR(MATCH(435,$B$4:$B$503,0),"")</f>
        <v/>
      </c>
      <c r="H438">
        <f>IF(AND(ISNUMBER('Drill log'!A438),ISNUMBER('Drill log'!N438),ISNUMBER('Drill schedule'!$D$4)),IF(YEAR('Drill log'!A438)='Drill schedule'!$D$4,'Drill log'!N438,""),"")</f>
        <v/>
      </c>
    </row>
    <row r="439">
      <c r="A439">
        <f>IF(AND(LEN('Inspections'!A439)&gt;0,ISNUMBER('Inspections'!H439)),'Inspections'!H439+436/100000,"")</f>
        <v/>
      </c>
      <c r="B439">
        <f>IF(AND(LEN('Inspections'!A439)&gt;0,ISNUMBER('Inspections'!H439)),MAX($B$3:B438)+1,"")</f>
        <v/>
      </c>
      <c r="E439">
        <f>IFERROR(MATCH(436,$B$4:$B$503,0),"")</f>
        <v/>
      </c>
      <c r="H439">
        <f>IF(AND(ISNUMBER('Drill log'!A439),ISNUMBER('Drill log'!N439),ISNUMBER('Drill schedule'!$D$4)),IF(YEAR('Drill log'!A439)='Drill schedule'!$D$4,'Drill log'!N439,""),"")</f>
        <v/>
      </c>
    </row>
    <row r="440">
      <c r="A440">
        <f>IF(AND(LEN('Inspections'!A440)&gt;0,ISNUMBER('Inspections'!H440)),'Inspections'!H440+437/100000,"")</f>
        <v/>
      </c>
      <c r="B440">
        <f>IF(AND(LEN('Inspections'!A440)&gt;0,ISNUMBER('Inspections'!H440)),MAX($B$3:B439)+1,"")</f>
        <v/>
      </c>
      <c r="E440">
        <f>IFERROR(MATCH(437,$B$4:$B$503,0),"")</f>
        <v/>
      </c>
      <c r="H440">
        <f>IF(AND(ISNUMBER('Drill log'!A440),ISNUMBER('Drill log'!N440),ISNUMBER('Drill schedule'!$D$4)),IF(YEAR('Drill log'!A440)='Drill schedule'!$D$4,'Drill log'!N440,""),"")</f>
        <v/>
      </c>
    </row>
    <row r="441">
      <c r="A441">
        <f>IF(AND(LEN('Inspections'!A441)&gt;0,ISNUMBER('Inspections'!H441)),'Inspections'!H441+438/100000,"")</f>
        <v/>
      </c>
      <c r="B441">
        <f>IF(AND(LEN('Inspections'!A441)&gt;0,ISNUMBER('Inspections'!H441)),MAX($B$3:B440)+1,"")</f>
        <v/>
      </c>
      <c r="E441">
        <f>IFERROR(MATCH(438,$B$4:$B$503,0),"")</f>
        <v/>
      </c>
      <c r="H441">
        <f>IF(AND(ISNUMBER('Drill log'!A441),ISNUMBER('Drill log'!N441),ISNUMBER('Drill schedule'!$D$4)),IF(YEAR('Drill log'!A441)='Drill schedule'!$D$4,'Drill log'!N441,""),"")</f>
        <v/>
      </c>
    </row>
    <row r="442">
      <c r="A442">
        <f>IF(AND(LEN('Inspections'!A442)&gt;0,ISNUMBER('Inspections'!H442)),'Inspections'!H442+439/100000,"")</f>
        <v/>
      </c>
      <c r="B442">
        <f>IF(AND(LEN('Inspections'!A442)&gt;0,ISNUMBER('Inspections'!H442)),MAX($B$3:B441)+1,"")</f>
        <v/>
      </c>
      <c r="E442">
        <f>IFERROR(MATCH(439,$B$4:$B$503,0),"")</f>
        <v/>
      </c>
      <c r="H442">
        <f>IF(AND(ISNUMBER('Drill log'!A442),ISNUMBER('Drill log'!N442),ISNUMBER('Drill schedule'!$D$4)),IF(YEAR('Drill log'!A442)='Drill schedule'!$D$4,'Drill log'!N442,""),"")</f>
        <v/>
      </c>
    </row>
    <row r="443">
      <c r="A443">
        <f>IF(AND(LEN('Inspections'!A443)&gt;0,ISNUMBER('Inspections'!H443)),'Inspections'!H443+440/100000,"")</f>
        <v/>
      </c>
      <c r="B443">
        <f>IF(AND(LEN('Inspections'!A443)&gt;0,ISNUMBER('Inspections'!H443)),MAX($B$3:B442)+1,"")</f>
        <v/>
      </c>
      <c r="E443">
        <f>IFERROR(MATCH(440,$B$4:$B$503,0),"")</f>
        <v/>
      </c>
      <c r="H443">
        <f>IF(AND(ISNUMBER('Drill log'!A443),ISNUMBER('Drill log'!N443),ISNUMBER('Drill schedule'!$D$4)),IF(YEAR('Drill log'!A443)='Drill schedule'!$D$4,'Drill log'!N443,""),"")</f>
        <v/>
      </c>
    </row>
    <row r="444">
      <c r="A444">
        <f>IF(AND(LEN('Inspections'!A444)&gt;0,ISNUMBER('Inspections'!H444)),'Inspections'!H444+441/100000,"")</f>
        <v/>
      </c>
      <c r="B444">
        <f>IF(AND(LEN('Inspections'!A444)&gt;0,ISNUMBER('Inspections'!H444)),MAX($B$3:B443)+1,"")</f>
        <v/>
      </c>
      <c r="E444">
        <f>IFERROR(MATCH(441,$B$4:$B$503,0),"")</f>
        <v/>
      </c>
      <c r="H444">
        <f>IF(AND(ISNUMBER('Drill log'!A444),ISNUMBER('Drill log'!N444),ISNUMBER('Drill schedule'!$D$4)),IF(YEAR('Drill log'!A444)='Drill schedule'!$D$4,'Drill log'!N444,""),"")</f>
        <v/>
      </c>
    </row>
    <row r="445">
      <c r="A445">
        <f>IF(AND(LEN('Inspections'!A445)&gt;0,ISNUMBER('Inspections'!H445)),'Inspections'!H445+442/100000,"")</f>
        <v/>
      </c>
      <c r="B445">
        <f>IF(AND(LEN('Inspections'!A445)&gt;0,ISNUMBER('Inspections'!H445)),MAX($B$3:B444)+1,"")</f>
        <v/>
      </c>
      <c r="E445">
        <f>IFERROR(MATCH(442,$B$4:$B$503,0),"")</f>
        <v/>
      </c>
      <c r="H445">
        <f>IF(AND(ISNUMBER('Drill log'!A445),ISNUMBER('Drill log'!N445),ISNUMBER('Drill schedule'!$D$4)),IF(YEAR('Drill log'!A445)='Drill schedule'!$D$4,'Drill log'!N445,""),"")</f>
        <v/>
      </c>
    </row>
    <row r="446">
      <c r="A446">
        <f>IF(AND(LEN('Inspections'!A446)&gt;0,ISNUMBER('Inspections'!H446)),'Inspections'!H446+443/100000,"")</f>
        <v/>
      </c>
      <c r="B446">
        <f>IF(AND(LEN('Inspections'!A446)&gt;0,ISNUMBER('Inspections'!H446)),MAX($B$3:B445)+1,"")</f>
        <v/>
      </c>
      <c r="E446">
        <f>IFERROR(MATCH(443,$B$4:$B$503,0),"")</f>
        <v/>
      </c>
      <c r="H446">
        <f>IF(AND(ISNUMBER('Drill log'!A446),ISNUMBER('Drill log'!N446),ISNUMBER('Drill schedule'!$D$4)),IF(YEAR('Drill log'!A446)='Drill schedule'!$D$4,'Drill log'!N446,""),"")</f>
        <v/>
      </c>
    </row>
    <row r="447">
      <c r="A447">
        <f>IF(AND(LEN('Inspections'!A447)&gt;0,ISNUMBER('Inspections'!H447)),'Inspections'!H447+444/100000,"")</f>
        <v/>
      </c>
      <c r="B447">
        <f>IF(AND(LEN('Inspections'!A447)&gt;0,ISNUMBER('Inspections'!H447)),MAX($B$3:B446)+1,"")</f>
        <v/>
      </c>
      <c r="E447">
        <f>IFERROR(MATCH(444,$B$4:$B$503,0),"")</f>
        <v/>
      </c>
      <c r="H447">
        <f>IF(AND(ISNUMBER('Drill log'!A447),ISNUMBER('Drill log'!N447),ISNUMBER('Drill schedule'!$D$4)),IF(YEAR('Drill log'!A447)='Drill schedule'!$D$4,'Drill log'!N447,""),"")</f>
        <v/>
      </c>
    </row>
    <row r="448">
      <c r="A448">
        <f>IF(AND(LEN('Inspections'!A448)&gt;0,ISNUMBER('Inspections'!H448)),'Inspections'!H448+445/100000,"")</f>
        <v/>
      </c>
      <c r="B448">
        <f>IF(AND(LEN('Inspections'!A448)&gt;0,ISNUMBER('Inspections'!H448)),MAX($B$3:B447)+1,"")</f>
        <v/>
      </c>
      <c r="E448">
        <f>IFERROR(MATCH(445,$B$4:$B$503,0),"")</f>
        <v/>
      </c>
      <c r="H448">
        <f>IF(AND(ISNUMBER('Drill log'!A448),ISNUMBER('Drill log'!N448),ISNUMBER('Drill schedule'!$D$4)),IF(YEAR('Drill log'!A448)='Drill schedule'!$D$4,'Drill log'!N448,""),"")</f>
        <v/>
      </c>
    </row>
    <row r="449">
      <c r="A449">
        <f>IF(AND(LEN('Inspections'!A449)&gt;0,ISNUMBER('Inspections'!H449)),'Inspections'!H449+446/100000,"")</f>
        <v/>
      </c>
      <c r="B449">
        <f>IF(AND(LEN('Inspections'!A449)&gt;0,ISNUMBER('Inspections'!H449)),MAX($B$3:B448)+1,"")</f>
        <v/>
      </c>
      <c r="E449">
        <f>IFERROR(MATCH(446,$B$4:$B$503,0),"")</f>
        <v/>
      </c>
      <c r="H449">
        <f>IF(AND(ISNUMBER('Drill log'!A449),ISNUMBER('Drill log'!N449),ISNUMBER('Drill schedule'!$D$4)),IF(YEAR('Drill log'!A449)='Drill schedule'!$D$4,'Drill log'!N449,""),"")</f>
        <v/>
      </c>
    </row>
    <row r="450">
      <c r="A450">
        <f>IF(AND(LEN('Inspections'!A450)&gt;0,ISNUMBER('Inspections'!H450)),'Inspections'!H450+447/100000,"")</f>
        <v/>
      </c>
      <c r="B450">
        <f>IF(AND(LEN('Inspections'!A450)&gt;0,ISNUMBER('Inspections'!H450)),MAX($B$3:B449)+1,"")</f>
        <v/>
      </c>
      <c r="E450">
        <f>IFERROR(MATCH(447,$B$4:$B$503,0),"")</f>
        <v/>
      </c>
      <c r="H450">
        <f>IF(AND(ISNUMBER('Drill log'!A450),ISNUMBER('Drill log'!N450),ISNUMBER('Drill schedule'!$D$4)),IF(YEAR('Drill log'!A450)='Drill schedule'!$D$4,'Drill log'!N450,""),"")</f>
        <v/>
      </c>
    </row>
    <row r="451">
      <c r="A451">
        <f>IF(AND(LEN('Inspections'!A451)&gt;0,ISNUMBER('Inspections'!H451)),'Inspections'!H451+448/100000,"")</f>
        <v/>
      </c>
      <c r="B451">
        <f>IF(AND(LEN('Inspections'!A451)&gt;0,ISNUMBER('Inspections'!H451)),MAX($B$3:B450)+1,"")</f>
        <v/>
      </c>
      <c r="E451">
        <f>IFERROR(MATCH(448,$B$4:$B$503,0),"")</f>
        <v/>
      </c>
      <c r="H451">
        <f>IF(AND(ISNUMBER('Drill log'!A451),ISNUMBER('Drill log'!N451),ISNUMBER('Drill schedule'!$D$4)),IF(YEAR('Drill log'!A451)='Drill schedule'!$D$4,'Drill log'!N451,""),"")</f>
        <v/>
      </c>
    </row>
    <row r="452">
      <c r="A452">
        <f>IF(AND(LEN('Inspections'!A452)&gt;0,ISNUMBER('Inspections'!H452)),'Inspections'!H452+449/100000,"")</f>
        <v/>
      </c>
      <c r="B452">
        <f>IF(AND(LEN('Inspections'!A452)&gt;0,ISNUMBER('Inspections'!H452)),MAX($B$3:B451)+1,"")</f>
        <v/>
      </c>
      <c r="E452">
        <f>IFERROR(MATCH(449,$B$4:$B$503,0),"")</f>
        <v/>
      </c>
      <c r="H452">
        <f>IF(AND(ISNUMBER('Drill log'!A452),ISNUMBER('Drill log'!N452),ISNUMBER('Drill schedule'!$D$4)),IF(YEAR('Drill log'!A452)='Drill schedule'!$D$4,'Drill log'!N452,""),"")</f>
        <v/>
      </c>
    </row>
    <row r="453">
      <c r="A453">
        <f>IF(AND(LEN('Inspections'!A453)&gt;0,ISNUMBER('Inspections'!H453)),'Inspections'!H453+450/100000,"")</f>
        <v/>
      </c>
      <c r="B453">
        <f>IF(AND(LEN('Inspections'!A453)&gt;0,ISNUMBER('Inspections'!H453)),MAX($B$3:B452)+1,"")</f>
        <v/>
      </c>
      <c r="E453">
        <f>IFERROR(MATCH(450,$B$4:$B$503,0),"")</f>
        <v/>
      </c>
      <c r="H453">
        <f>IF(AND(ISNUMBER('Drill log'!A453),ISNUMBER('Drill log'!N453),ISNUMBER('Drill schedule'!$D$4)),IF(YEAR('Drill log'!A453)='Drill schedule'!$D$4,'Drill log'!N453,""),"")</f>
        <v/>
      </c>
    </row>
    <row r="454">
      <c r="A454">
        <f>IF(AND(LEN('Inspections'!A454)&gt;0,ISNUMBER('Inspections'!H454)),'Inspections'!H454+451/100000,"")</f>
        <v/>
      </c>
      <c r="B454">
        <f>IF(AND(LEN('Inspections'!A454)&gt;0,ISNUMBER('Inspections'!H454)),MAX($B$3:B453)+1,"")</f>
        <v/>
      </c>
      <c r="E454">
        <f>IFERROR(MATCH(451,$B$4:$B$503,0),"")</f>
        <v/>
      </c>
      <c r="H454">
        <f>IF(AND(ISNUMBER('Drill log'!A454),ISNUMBER('Drill log'!N454),ISNUMBER('Drill schedule'!$D$4)),IF(YEAR('Drill log'!A454)='Drill schedule'!$D$4,'Drill log'!N454,""),"")</f>
        <v/>
      </c>
    </row>
    <row r="455">
      <c r="A455">
        <f>IF(AND(LEN('Inspections'!A455)&gt;0,ISNUMBER('Inspections'!H455)),'Inspections'!H455+452/100000,"")</f>
        <v/>
      </c>
      <c r="B455">
        <f>IF(AND(LEN('Inspections'!A455)&gt;0,ISNUMBER('Inspections'!H455)),MAX($B$3:B454)+1,"")</f>
        <v/>
      </c>
      <c r="E455">
        <f>IFERROR(MATCH(452,$B$4:$B$503,0),"")</f>
        <v/>
      </c>
      <c r="H455">
        <f>IF(AND(ISNUMBER('Drill log'!A455),ISNUMBER('Drill log'!N455),ISNUMBER('Drill schedule'!$D$4)),IF(YEAR('Drill log'!A455)='Drill schedule'!$D$4,'Drill log'!N455,""),"")</f>
        <v/>
      </c>
    </row>
    <row r="456">
      <c r="A456">
        <f>IF(AND(LEN('Inspections'!A456)&gt;0,ISNUMBER('Inspections'!H456)),'Inspections'!H456+453/100000,"")</f>
        <v/>
      </c>
      <c r="B456">
        <f>IF(AND(LEN('Inspections'!A456)&gt;0,ISNUMBER('Inspections'!H456)),MAX($B$3:B455)+1,"")</f>
        <v/>
      </c>
      <c r="E456">
        <f>IFERROR(MATCH(453,$B$4:$B$503,0),"")</f>
        <v/>
      </c>
      <c r="H456">
        <f>IF(AND(ISNUMBER('Drill log'!A456),ISNUMBER('Drill log'!N456),ISNUMBER('Drill schedule'!$D$4)),IF(YEAR('Drill log'!A456)='Drill schedule'!$D$4,'Drill log'!N456,""),"")</f>
        <v/>
      </c>
    </row>
    <row r="457">
      <c r="A457">
        <f>IF(AND(LEN('Inspections'!A457)&gt;0,ISNUMBER('Inspections'!H457)),'Inspections'!H457+454/100000,"")</f>
        <v/>
      </c>
      <c r="B457">
        <f>IF(AND(LEN('Inspections'!A457)&gt;0,ISNUMBER('Inspections'!H457)),MAX($B$3:B456)+1,"")</f>
        <v/>
      </c>
      <c r="E457">
        <f>IFERROR(MATCH(454,$B$4:$B$503,0),"")</f>
        <v/>
      </c>
      <c r="H457">
        <f>IF(AND(ISNUMBER('Drill log'!A457),ISNUMBER('Drill log'!N457),ISNUMBER('Drill schedule'!$D$4)),IF(YEAR('Drill log'!A457)='Drill schedule'!$D$4,'Drill log'!N457,""),"")</f>
        <v/>
      </c>
    </row>
    <row r="458">
      <c r="A458">
        <f>IF(AND(LEN('Inspections'!A458)&gt;0,ISNUMBER('Inspections'!H458)),'Inspections'!H458+455/100000,"")</f>
        <v/>
      </c>
      <c r="B458">
        <f>IF(AND(LEN('Inspections'!A458)&gt;0,ISNUMBER('Inspections'!H458)),MAX($B$3:B457)+1,"")</f>
        <v/>
      </c>
      <c r="E458">
        <f>IFERROR(MATCH(455,$B$4:$B$503,0),"")</f>
        <v/>
      </c>
      <c r="H458">
        <f>IF(AND(ISNUMBER('Drill log'!A458),ISNUMBER('Drill log'!N458),ISNUMBER('Drill schedule'!$D$4)),IF(YEAR('Drill log'!A458)='Drill schedule'!$D$4,'Drill log'!N458,""),"")</f>
        <v/>
      </c>
    </row>
    <row r="459">
      <c r="A459">
        <f>IF(AND(LEN('Inspections'!A459)&gt;0,ISNUMBER('Inspections'!H459)),'Inspections'!H459+456/100000,"")</f>
        <v/>
      </c>
      <c r="B459">
        <f>IF(AND(LEN('Inspections'!A459)&gt;0,ISNUMBER('Inspections'!H459)),MAX($B$3:B458)+1,"")</f>
        <v/>
      </c>
      <c r="E459">
        <f>IFERROR(MATCH(456,$B$4:$B$503,0),"")</f>
        <v/>
      </c>
      <c r="H459">
        <f>IF(AND(ISNUMBER('Drill log'!A459),ISNUMBER('Drill log'!N459),ISNUMBER('Drill schedule'!$D$4)),IF(YEAR('Drill log'!A459)='Drill schedule'!$D$4,'Drill log'!N459,""),"")</f>
        <v/>
      </c>
    </row>
    <row r="460">
      <c r="A460">
        <f>IF(AND(LEN('Inspections'!A460)&gt;0,ISNUMBER('Inspections'!H460)),'Inspections'!H460+457/100000,"")</f>
        <v/>
      </c>
      <c r="B460">
        <f>IF(AND(LEN('Inspections'!A460)&gt;0,ISNUMBER('Inspections'!H460)),MAX($B$3:B459)+1,"")</f>
        <v/>
      </c>
      <c r="E460">
        <f>IFERROR(MATCH(457,$B$4:$B$503,0),"")</f>
        <v/>
      </c>
      <c r="H460">
        <f>IF(AND(ISNUMBER('Drill log'!A460),ISNUMBER('Drill log'!N460),ISNUMBER('Drill schedule'!$D$4)),IF(YEAR('Drill log'!A460)='Drill schedule'!$D$4,'Drill log'!N460,""),"")</f>
        <v/>
      </c>
    </row>
    <row r="461">
      <c r="A461">
        <f>IF(AND(LEN('Inspections'!A461)&gt;0,ISNUMBER('Inspections'!H461)),'Inspections'!H461+458/100000,"")</f>
        <v/>
      </c>
      <c r="B461">
        <f>IF(AND(LEN('Inspections'!A461)&gt;0,ISNUMBER('Inspections'!H461)),MAX($B$3:B460)+1,"")</f>
        <v/>
      </c>
      <c r="E461">
        <f>IFERROR(MATCH(458,$B$4:$B$503,0),"")</f>
        <v/>
      </c>
      <c r="H461">
        <f>IF(AND(ISNUMBER('Drill log'!A461),ISNUMBER('Drill log'!N461),ISNUMBER('Drill schedule'!$D$4)),IF(YEAR('Drill log'!A461)='Drill schedule'!$D$4,'Drill log'!N461,""),"")</f>
        <v/>
      </c>
    </row>
    <row r="462">
      <c r="A462">
        <f>IF(AND(LEN('Inspections'!A462)&gt;0,ISNUMBER('Inspections'!H462)),'Inspections'!H462+459/100000,"")</f>
        <v/>
      </c>
      <c r="B462">
        <f>IF(AND(LEN('Inspections'!A462)&gt;0,ISNUMBER('Inspections'!H462)),MAX($B$3:B461)+1,"")</f>
        <v/>
      </c>
      <c r="E462">
        <f>IFERROR(MATCH(459,$B$4:$B$503,0),"")</f>
        <v/>
      </c>
      <c r="H462">
        <f>IF(AND(ISNUMBER('Drill log'!A462),ISNUMBER('Drill log'!N462),ISNUMBER('Drill schedule'!$D$4)),IF(YEAR('Drill log'!A462)='Drill schedule'!$D$4,'Drill log'!N462,""),"")</f>
        <v/>
      </c>
    </row>
    <row r="463">
      <c r="A463">
        <f>IF(AND(LEN('Inspections'!A463)&gt;0,ISNUMBER('Inspections'!H463)),'Inspections'!H463+460/100000,"")</f>
        <v/>
      </c>
      <c r="B463">
        <f>IF(AND(LEN('Inspections'!A463)&gt;0,ISNUMBER('Inspections'!H463)),MAX($B$3:B462)+1,"")</f>
        <v/>
      </c>
      <c r="E463">
        <f>IFERROR(MATCH(460,$B$4:$B$503,0),"")</f>
        <v/>
      </c>
      <c r="H463">
        <f>IF(AND(ISNUMBER('Drill log'!A463),ISNUMBER('Drill log'!N463),ISNUMBER('Drill schedule'!$D$4)),IF(YEAR('Drill log'!A463)='Drill schedule'!$D$4,'Drill log'!N463,""),"")</f>
        <v/>
      </c>
    </row>
    <row r="464">
      <c r="A464">
        <f>IF(AND(LEN('Inspections'!A464)&gt;0,ISNUMBER('Inspections'!H464)),'Inspections'!H464+461/100000,"")</f>
        <v/>
      </c>
      <c r="B464">
        <f>IF(AND(LEN('Inspections'!A464)&gt;0,ISNUMBER('Inspections'!H464)),MAX($B$3:B463)+1,"")</f>
        <v/>
      </c>
      <c r="E464">
        <f>IFERROR(MATCH(461,$B$4:$B$503,0),"")</f>
        <v/>
      </c>
      <c r="H464">
        <f>IF(AND(ISNUMBER('Drill log'!A464),ISNUMBER('Drill log'!N464),ISNUMBER('Drill schedule'!$D$4)),IF(YEAR('Drill log'!A464)='Drill schedule'!$D$4,'Drill log'!N464,""),"")</f>
        <v/>
      </c>
    </row>
    <row r="465">
      <c r="A465">
        <f>IF(AND(LEN('Inspections'!A465)&gt;0,ISNUMBER('Inspections'!H465)),'Inspections'!H465+462/100000,"")</f>
        <v/>
      </c>
      <c r="B465">
        <f>IF(AND(LEN('Inspections'!A465)&gt;0,ISNUMBER('Inspections'!H465)),MAX($B$3:B464)+1,"")</f>
        <v/>
      </c>
      <c r="E465">
        <f>IFERROR(MATCH(462,$B$4:$B$503,0),"")</f>
        <v/>
      </c>
      <c r="H465">
        <f>IF(AND(ISNUMBER('Drill log'!A465),ISNUMBER('Drill log'!N465),ISNUMBER('Drill schedule'!$D$4)),IF(YEAR('Drill log'!A465)='Drill schedule'!$D$4,'Drill log'!N465,""),"")</f>
        <v/>
      </c>
    </row>
    <row r="466">
      <c r="A466">
        <f>IF(AND(LEN('Inspections'!A466)&gt;0,ISNUMBER('Inspections'!H466)),'Inspections'!H466+463/100000,"")</f>
        <v/>
      </c>
      <c r="B466">
        <f>IF(AND(LEN('Inspections'!A466)&gt;0,ISNUMBER('Inspections'!H466)),MAX($B$3:B465)+1,"")</f>
        <v/>
      </c>
      <c r="E466">
        <f>IFERROR(MATCH(463,$B$4:$B$503,0),"")</f>
        <v/>
      </c>
      <c r="H466">
        <f>IF(AND(ISNUMBER('Drill log'!A466),ISNUMBER('Drill log'!N466),ISNUMBER('Drill schedule'!$D$4)),IF(YEAR('Drill log'!A466)='Drill schedule'!$D$4,'Drill log'!N466,""),"")</f>
        <v/>
      </c>
    </row>
    <row r="467">
      <c r="A467">
        <f>IF(AND(LEN('Inspections'!A467)&gt;0,ISNUMBER('Inspections'!H467)),'Inspections'!H467+464/100000,"")</f>
        <v/>
      </c>
      <c r="B467">
        <f>IF(AND(LEN('Inspections'!A467)&gt;0,ISNUMBER('Inspections'!H467)),MAX($B$3:B466)+1,"")</f>
        <v/>
      </c>
      <c r="E467">
        <f>IFERROR(MATCH(464,$B$4:$B$503,0),"")</f>
        <v/>
      </c>
      <c r="H467">
        <f>IF(AND(ISNUMBER('Drill log'!A467),ISNUMBER('Drill log'!N467),ISNUMBER('Drill schedule'!$D$4)),IF(YEAR('Drill log'!A467)='Drill schedule'!$D$4,'Drill log'!N467,""),"")</f>
        <v/>
      </c>
    </row>
    <row r="468">
      <c r="A468">
        <f>IF(AND(LEN('Inspections'!A468)&gt;0,ISNUMBER('Inspections'!H468)),'Inspections'!H468+465/100000,"")</f>
        <v/>
      </c>
      <c r="B468">
        <f>IF(AND(LEN('Inspections'!A468)&gt;0,ISNUMBER('Inspections'!H468)),MAX($B$3:B467)+1,"")</f>
        <v/>
      </c>
      <c r="E468">
        <f>IFERROR(MATCH(465,$B$4:$B$503,0),"")</f>
        <v/>
      </c>
      <c r="H468">
        <f>IF(AND(ISNUMBER('Drill log'!A468),ISNUMBER('Drill log'!N468),ISNUMBER('Drill schedule'!$D$4)),IF(YEAR('Drill log'!A468)='Drill schedule'!$D$4,'Drill log'!N468,""),"")</f>
        <v/>
      </c>
    </row>
    <row r="469">
      <c r="A469">
        <f>IF(AND(LEN('Inspections'!A469)&gt;0,ISNUMBER('Inspections'!H469)),'Inspections'!H469+466/100000,"")</f>
        <v/>
      </c>
      <c r="B469">
        <f>IF(AND(LEN('Inspections'!A469)&gt;0,ISNUMBER('Inspections'!H469)),MAX($B$3:B468)+1,"")</f>
        <v/>
      </c>
      <c r="E469">
        <f>IFERROR(MATCH(466,$B$4:$B$503,0),"")</f>
        <v/>
      </c>
      <c r="H469">
        <f>IF(AND(ISNUMBER('Drill log'!A469),ISNUMBER('Drill log'!N469),ISNUMBER('Drill schedule'!$D$4)),IF(YEAR('Drill log'!A469)='Drill schedule'!$D$4,'Drill log'!N469,""),"")</f>
        <v/>
      </c>
    </row>
    <row r="470">
      <c r="A470">
        <f>IF(AND(LEN('Inspections'!A470)&gt;0,ISNUMBER('Inspections'!H470)),'Inspections'!H470+467/100000,"")</f>
        <v/>
      </c>
      <c r="B470">
        <f>IF(AND(LEN('Inspections'!A470)&gt;0,ISNUMBER('Inspections'!H470)),MAX($B$3:B469)+1,"")</f>
        <v/>
      </c>
      <c r="E470">
        <f>IFERROR(MATCH(467,$B$4:$B$503,0),"")</f>
        <v/>
      </c>
      <c r="H470">
        <f>IF(AND(ISNUMBER('Drill log'!A470),ISNUMBER('Drill log'!N470),ISNUMBER('Drill schedule'!$D$4)),IF(YEAR('Drill log'!A470)='Drill schedule'!$D$4,'Drill log'!N470,""),"")</f>
        <v/>
      </c>
    </row>
    <row r="471">
      <c r="A471">
        <f>IF(AND(LEN('Inspections'!A471)&gt;0,ISNUMBER('Inspections'!H471)),'Inspections'!H471+468/100000,"")</f>
        <v/>
      </c>
      <c r="B471">
        <f>IF(AND(LEN('Inspections'!A471)&gt;0,ISNUMBER('Inspections'!H471)),MAX($B$3:B470)+1,"")</f>
        <v/>
      </c>
      <c r="E471">
        <f>IFERROR(MATCH(468,$B$4:$B$503,0),"")</f>
        <v/>
      </c>
      <c r="H471">
        <f>IF(AND(ISNUMBER('Drill log'!A471),ISNUMBER('Drill log'!N471),ISNUMBER('Drill schedule'!$D$4)),IF(YEAR('Drill log'!A471)='Drill schedule'!$D$4,'Drill log'!N471,""),"")</f>
        <v/>
      </c>
    </row>
    <row r="472">
      <c r="A472">
        <f>IF(AND(LEN('Inspections'!A472)&gt;0,ISNUMBER('Inspections'!H472)),'Inspections'!H472+469/100000,"")</f>
        <v/>
      </c>
      <c r="B472">
        <f>IF(AND(LEN('Inspections'!A472)&gt;0,ISNUMBER('Inspections'!H472)),MAX($B$3:B471)+1,"")</f>
        <v/>
      </c>
      <c r="E472">
        <f>IFERROR(MATCH(469,$B$4:$B$503,0),"")</f>
        <v/>
      </c>
      <c r="H472">
        <f>IF(AND(ISNUMBER('Drill log'!A472),ISNUMBER('Drill log'!N472),ISNUMBER('Drill schedule'!$D$4)),IF(YEAR('Drill log'!A472)='Drill schedule'!$D$4,'Drill log'!N472,""),"")</f>
        <v/>
      </c>
    </row>
    <row r="473">
      <c r="A473">
        <f>IF(AND(LEN('Inspections'!A473)&gt;0,ISNUMBER('Inspections'!H473)),'Inspections'!H473+470/100000,"")</f>
        <v/>
      </c>
      <c r="B473">
        <f>IF(AND(LEN('Inspections'!A473)&gt;0,ISNUMBER('Inspections'!H473)),MAX($B$3:B472)+1,"")</f>
        <v/>
      </c>
      <c r="E473">
        <f>IFERROR(MATCH(470,$B$4:$B$503,0),"")</f>
        <v/>
      </c>
      <c r="H473">
        <f>IF(AND(ISNUMBER('Drill log'!A473),ISNUMBER('Drill log'!N473),ISNUMBER('Drill schedule'!$D$4)),IF(YEAR('Drill log'!A473)='Drill schedule'!$D$4,'Drill log'!N473,""),"")</f>
        <v/>
      </c>
    </row>
    <row r="474">
      <c r="A474">
        <f>IF(AND(LEN('Inspections'!A474)&gt;0,ISNUMBER('Inspections'!H474)),'Inspections'!H474+471/100000,"")</f>
        <v/>
      </c>
      <c r="B474">
        <f>IF(AND(LEN('Inspections'!A474)&gt;0,ISNUMBER('Inspections'!H474)),MAX($B$3:B473)+1,"")</f>
        <v/>
      </c>
      <c r="E474">
        <f>IFERROR(MATCH(471,$B$4:$B$503,0),"")</f>
        <v/>
      </c>
      <c r="H474">
        <f>IF(AND(ISNUMBER('Drill log'!A474),ISNUMBER('Drill log'!N474),ISNUMBER('Drill schedule'!$D$4)),IF(YEAR('Drill log'!A474)='Drill schedule'!$D$4,'Drill log'!N474,""),"")</f>
        <v/>
      </c>
    </row>
    <row r="475">
      <c r="A475">
        <f>IF(AND(LEN('Inspections'!A475)&gt;0,ISNUMBER('Inspections'!H475)),'Inspections'!H475+472/100000,"")</f>
        <v/>
      </c>
      <c r="B475">
        <f>IF(AND(LEN('Inspections'!A475)&gt;0,ISNUMBER('Inspections'!H475)),MAX($B$3:B474)+1,"")</f>
        <v/>
      </c>
      <c r="E475">
        <f>IFERROR(MATCH(472,$B$4:$B$503,0),"")</f>
        <v/>
      </c>
      <c r="H475">
        <f>IF(AND(ISNUMBER('Drill log'!A475),ISNUMBER('Drill log'!N475),ISNUMBER('Drill schedule'!$D$4)),IF(YEAR('Drill log'!A475)='Drill schedule'!$D$4,'Drill log'!N475,""),"")</f>
        <v/>
      </c>
    </row>
    <row r="476">
      <c r="A476">
        <f>IF(AND(LEN('Inspections'!A476)&gt;0,ISNUMBER('Inspections'!H476)),'Inspections'!H476+473/100000,"")</f>
        <v/>
      </c>
      <c r="B476">
        <f>IF(AND(LEN('Inspections'!A476)&gt;0,ISNUMBER('Inspections'!H476)),MAX($B$3:B475)+1,"")</f>
        <v/>
      </c>
      <c r="E476">
        <f>IFERROR(MATCH(473,$B$4:$B$503,0),"")</f>
        <v/>
      </c>
      <c r="H476">
        <f>IF(AND(ISNUMBER('Drill log'!A476),ISNUMBER('Drill log'!N476),ISNUMBER('Drill schedule'!$D$4)),IF(YEAR('Drill log'!A476)='Drill schedule'!$D$4,'Drill log'!N476,""),"")</f>
        <v/>
      </c>
    </row>
    <row r="477">
      <c r="A477">
        <f>IF(AND(LEN('Inspections'!A477)&gt;0,ISNUMBER('Inspections'!H477)),'Inspections'!H477+474/100000,"")</f>
        <v/>
      </c>
      <c r="B477">
        <f>IF(AND(LEN('Inspections'!A477)&gt;0,ISNUMBER('Inspections'!H477)),MAX($B$3:B476)+1,"")</f>
        <v/>
      </c>
      <c r="E477">
        <f>IFERROR(MATCH(474,$B$4:$B$503,0),"")</f>
        <v/>
      </c>
      <c r="H477">
        <f>IF(AND(ISNUMBER('Drill log'!A477),ISNUMBER('Drill log'!N477),ISNUMBER('Drill schedule'!$D$4)),IF(YEAR('Drill log'!A477)='Drill schedule'!$D$4,'Drill log'!N477,""),"")</f>
        <v/>
      </c>
    </row>
    <row r="478">
      <c r="A478">
        <f>IF(AND(LEN('Inspections'!A478)&gt;0,ISNUMBER('Inspections'!H478)),'Inspections'!H478+475/100000,"")</f>
        <v/>
      </c>
      <c r="B478">
        <f>IF(AND(LEN('Inspections'!A478)&gt;0,ISNUMBER('Inspections'!H478)),MAX($B$3:B477)+1,"")</f>
        <v/>
      </c>
      <c r="E478">
        <f>IFERROR(MATCH(475,$B$4:$B$503,0),"")</f>
        <v/>
      </c>
      <c r="H478">
        <f>IF(AND(ISNUMBER('Drill log'!A478),ISNUMBER('Drill log'!N478),ISNUMBER('Drill schedule'!$D$4)),IF(YEAR('Drill log'!A478)='Drill schedule'!$D$4,'Drill log'!N478,""),"")</f>
        <v/>
      </c>
    </row>
    <row r="479">
      <c r="A479">
        <f>IF(AND(LEN('Inspections'!A479)&gt;0,ISNUMBER('Inspections'!H479)),'Inspections'!H479+476/100000,"")</f>
        <v/>
      </c>
      <c r="B479">
        <f>IF(AND(LEN('Inspections'!A479)&gt;0,ISNUMBER('Inspections'!H479)),MAX($B$3:B478)+1,"")</f>
        <v/>
      </c>
      <c r="E479">
        <f>IFERROR(MATCH(476,$B$4:$B$503,0),"")</f>
        <v/>
      </c>
      <c r="H479">
        <f>IF(AND(ISNUMBER('Drill log'!A479),ISNUMBER('Drill log'!N479),ISNUMBER('Drill schedule'!$D$4)),IF(YEAR('Drill log'!A479)='Drill schedule'!$D$4,'Drill log'!N479,""),"")</f>
        <v/>
      </c>
    </row>
    <row r="480">
      <c r="A480">
        <f>IF(AND(LEN('Inspections'!A480)&gt;0,ISNUMBER('Inspections'!H480)),'Inspections'!H480+477/100000,"")</f>
        <v/>
      </c>
      <c r="B480">
        <f>IF(AND(LEN('Inspections'!A480)&gt;0,ISNUMBER('Inspections'!H480)),MAX($B$3:B479)+1,"")</f>
        <v/>
      </c>
      <c r="E480">
        <f>IFERROR(MATCH(477,$B$4:$B$503,0),"")</f>
        <v/>
      </c>
      <c r="H480">
        <f>IF(AND(ISNUMBER('Drill log'!A480),ISNUMBER('Drill log'!N480),ISNUMBER('Drill schedule'!$D$4)),IF(YEAR('Drill log'!A480)='Drill schedule'!$D$4,'Drill log'!N480,""),"")</f>
        <v/>
      </c>
    </row>
    <row r="481">
      <c r="A481">
        <f>IF(AND(LEN('Inspections'!A481)&gt;0,ISNUMBER('Inspections'!H481)),'Inspections'!H481+478/100000,"")</f>
        <v/>
      </c>
      <c r="B481">
        <f>IF(AND(LEN('Inspections'!A481)&gt;0,ISNUMBER('Inspections'!H481)),MAX($B$3:B480)+1,"")</f>
        <v/>
      </c>
      <c r="E481">
        <f>IFERROR(MATCH(478,$B$4:$B$503,0),"")</f>
        <v/>
      </c>
      <c r="H481">
        <f>IF(AND(ISNUMBER('Drill log'!A481),ISNUMBER('Drill log'!N481),ISNUMBER('Drill schedule'!$D$4)),IF(YEAR('Drill log'!A481)='Drill schedule'!$D$4,'Drill log'!N481,""),"")</f>
        <v/>
      </c>
    </row>
    <row r="482">
      <c r="A482">
        <f>IF(AND(LEN('Inspections'!A482)&gt;0,ISNUMBER('Inspections'!H482)),'Inspections'!H482+479/100000,"")</f>
        <v/>
      </c>
      <c r="B482">
        <f>IF(AND(LEN('Inspections'!A482)&gt;0,ISNUMBER('Inspections'!H482)),MAX($B$3:B481)+1,"")</f>
        <v/>
      </c>
      <c r="E482">
        <f>IFERROR(MATCH(479,$B$4:$B$503,0),"")</f>
        <v/>
      </c>
      <c r="H482">
        <f>IF(AND(ISNUMBER('Drill log'!A482),ISNUMBER('Drill log'!N482),ISNUMBER('Drill schedule'!$D$4)),IF(YEAR('Drill log'!A482)='Drill schedule'!$D$4,'Drill log'!N482,""),"")</f>
        <v/>
      </c>
    </row>
    <row r="483">
      <c r="A483">
        <f>IF(AND(LEN('Inspections'!A483)&gt;0,ISNUMBER('Inspections'!H483)),'Inspections'!H483+480/100000,"")</f>
        <v/>
      </c>
      <c r="B483">
        <f>IF(AND(LEN('Inspections'!A483)&gt;0,ISNUMBER('Inspections'!H483)),MAX($B$3:B482)+1,"")</f>
        <v/>
      </c>
      <c r="E483">
        <f>IFERROR(MATCH(480,$B$4:$B$503,0),"")</f>
        <v/>
      </c>
      <c r="H483">
        <f>IF(AND(ISNUMBER('Drill log'!A483),ISNUMBER('Drill log'!N483),ISNUMBER('Drill schedule'!$D$4)),IF(YEAR('Drill log'!A483)='Drill schedule'!$D$4,'Drill log'!N483,""),"")</f>
        <v/>
      </c>
    </row>
    <row r="484">
      <c r="A484">
        <f>IF(AND(LEN('Inspections'!A484)&gt;0,ISNUMBER('Inspections'!H484)),'Inspections'!H484+481/100000,"")</f>
        <v/>
      </c>
      <c r="B484">
        <f>IF(AND(LEN('Inspections'!A484)&gt;0,ISNUMBER('Inspections'!H484)),MAX($B$3:B483)+1,"")</f>
        <v/>
      </c>
      <c r="E484">
        <f>IFERROR(MATCH(481,$B$4:$B$503,0),"")</f>
        <v/>
      </c>
      <c r="H484">
        <f>IF(AND(ISNUMBER('Drill log'!A484),ISNUMBER('Drill log'!N484),ISNUMBER('Drill schedule'!$D$4)),IF(YEAR('Drill log'!A484)='Drill schedule'!$D$4,'Drill log'!N484,""),"")</f>
        <v/>
      </c>
    </row>
    <row r="485">
      <c r="A485">
        <f>IF(AND(LEN('Inspections'!A485)&gt;0,ISNUMBER('Inspections'!H485)),'Inspections'!H485+482/100000,"")</f>
        <v/>
      </c>
      <c r="B485">
        <f>IF(AND(LEN('Inspections'!A485)&gt;0,ISNUMBER('Inspections'!H485)),MAX($B$3:B484)+1,"")</f>
        <v/>
      </c>
      <c r="E485">
        <f>IFERROR(MATCH(482,$B$4:$B$503,0),"")</f>
        <v/>
      </c>
      <c r="H485">
        <f>IF(AND(ISNUMBER('Drill log'!A485),ISNUMBER('Drill log'!N485),ISNUMBER('Drill schedule'!$D$4)),IF(YEAR('Drill log'!A485)='Drill schedule'!$D$4,'Drill log'!N485,""),"")</f>
        <v/>
      </c>
    </row>
    <row r="486">
      <c r="A486">
        <f>IF(AND(LEN('Inspections'!A486)&gt;0,ISNUMBER('Inspections'!H486)),'Inspections'!H486+483/100000,"")</f>
        <v/>
      </c>
      <c r="B486">
        <f>IF(AND(LEN('Inspections'!A486)&gt;0,ISNUMBER('Inspections'!H486)),MAX($B$3:B485)+1,"")</f>
        <v/>
      </c>
      <c r="E486">
        <f>IFERROR(MATCH(483,$B$4:$B$503,0),"")</f>
        <v/>
      </c>
      <c r="H486">
        <f>IF(AND(ISNUMBER('Drill log'!A486),ISNUMBER('Drill log'!N486),ISNUMBER('Drill schedule'!$D$4)),IF(YEAR('Drill log'!A486)='Drill schedule'!$D$4,'Drill log'!N486,""),"")</f>
        <v/>
      </c>
    </row>
    <row r="487">
      <c r="A487">
        <f>IF(AND(LEN('Inspections'!A487)&gt;0,ISNUMBER('Inspections'!H487)),'Inspections'!H487+484/100000,"")</f>
        <v/>
      </c>
      <c r="B487">
        <f>IF(AND(LEN('Inspections'!A487)&gt;0,ISNUMBER('Inspections'!H487)),MAX($B$3:B486)+1,"")</f>
        <v/>
      </c>
      <c r="E487">
        <f>IFERROR(MATCH(484,$B$4:$B$503,0),"")</f>
        <v/>
      </c>
      <c r="H487">
        <f>IF(AND(ISNUMBER('Drill log'!A487),ISNUMBER('Drill log'!N487),ISNUMBER('Drill schedule'!$D$4)),IF(YEAR('Drill log'!A487)='Drill schedule'!$D$4,'Drill log'!N487,""),"")</f>
        <v/>
      </c>
    </row>
    <row r="488">
      <c r="A488">
        <f>IF(AND(LEN('Inspections'!A488)&gt;0,ISNUMBER('Inspections'!H488)),'Inspections'!H488+485/100000,"")</f>
        <v/>
      </c>
      <c r="B488">
        <f>IF(AND(LEN('Inspections'!A488)&gt;0,ISNUMBER('Inspections'!H488)),MAX($B$3:B487)+1,"")</f>
        <v/>
      </c>
      <c r="E488">
        <f>IFERROR(MATCH(485,$B$4:$B$503,0),"")</f>
        <v/>
      </c>
      <c r="H488">
        <f>IF(AND(ISNUMBER('Drill log'!A488),ISNUMBER('Drill log'!N488),ISNUMBER('Drill schedule'!$D$4)),IF(YEAR('Drill log'!A488)='Drill schedule'!$D$4,'Drill log'!N488,""),"")</f>
        <v/>
      </c>
    </row>
    <row r="489">
      <c r="A489">
        <f>IF(AND(LEN('Inspections'!A489)&gt;0,ISNUMBER('Inspections'!H489)),'Inspections'!H489+486/100000,"")</f>
        <v/>
      </c>
      <c r="B489">
        <f>IF(AND(LEN('Inspections'!A489)&gt;0,ISNUMBER('Inspections'!H489)),MAX($B$3:B488)+1,"")</f>
        <v/>
      </c>
      <c r="E489">
        <f>IFERROR(MATCH(486,$B$4:$B$503,0),"")</f>
        <v/>
      </c>
      <c r="H489">
        <f>IF(AND(ISNUMBER('Drill log'!A489),ISNUMBER('Drill log'!N489),ISNUMBER('Drill schedule'!$D$4)),IF(YEAR('Drill log'!A489)='Drill schedule'!$D$4,'Drill log'!N489,""),"")</f>
        <v/>
      </c>
    </row>
    <row r="490">
      <c r="A490">
        <f>IF(AND(LEN('Inspections'!A490)&gt;0,ISNUMBER('Inspections'!H490)),'Inspections'!H490+487/100000,"")</f>
        <v/>
      </c>
      <c r="B490">
        <f>IF(AND(LEN('Inspections'!A490)&gt;0,ISNUMBER('Inspections'!H490)),MAX($B$3:B489)+1,"")</f>
        <v/>
      </c>
      <c r="E490">
        <f>IFERROR(MATCH(487,$B$4:$B$503,0),"")</f>
        <v/>
      </c>
      <c r="H490">
        <f>IF(AND(ISNUMBER('Drill log'!A490),ISNUMBER('Drill log'!N490),ISNUMBER('Drill schedule'!$D$4)),IF(YEAR('Drill log'!A490)='Drill schedule'!$D$4,'Drill log'!N490,""),"")</f>
        <v/>
      </c>
    </row>
    <row r="491">
      <c r="A491">
        <f>IF(AND(LEN('Inspections'!A491)&gt;0,ISNUMBER('Inspections'!H491)),'Inspections'!H491+488/100000,"")</f>
        <v/>
      </c>
      <c r="B491">
        <f>IF(AND(LEN('Inspections'!A491)&gt;0,ISNUMBER('Inspections'!H491)),MAX($B$3:B490)+1,"")</f>
        <v/>
      </c>
      <c r="E491">
        <f>IFERROR(MATCH(488,$B$4:$B$503,0),"")</f>
        <v/>
      </c>
      <c r="H491">
        <f>IF(AND(ISNUMBER('Drill log'!A491),ISNUMBER('Drill log'!N491),ISNUMBER('Drill schedule'!$D$4)),IF(YEAR('Drill log'!A491)='Drill schedule'!$D$4,'Drill log'!N491,""),"")</f>
        <v/>
      </c>
    </row>
    <row r="492">
      <c r="A492">
        <f>IF(AND(LEN('Inspections'!A492)&gt;0,ISNUMBER('Inspections'!H492)),'Inspections'!H492+489/100000,"")</f>
        <v/>
      </c>
      <c r="B492">
        <f>IF(AND(LEN('Inspections'!A492)&gt;0,ISNUMBER('Inspections'!H492)),MAX($B$3:B491)+1,"")</f>
        <v/>
      </c>
      <c r="E492">
        <f>IFERROR(MATCH(489,$B$4:$B$503,0),"")</f>
        <v/>
      </c>
      <c r="H492">
        <f>IF(AND(ISNUMBER('Drill log'!A492),ISNUMBER('Drill log'!N492),ISNUMBER('Drill schedule'!$D$4)),IF(YEAR('Drill log'!A492)='Drill schedule'!$D$4,'Drill log'!N492,""),"")</f>
        <v/>
      </c>
    </row>
    <row r="493">
      <c r="A493">
        <f>IF(AND(LEN('Inspections'!A493)&gt;0,ISNUMBER('Inspections'!H493)),'Inspections'!H493+490/100000,"")</f>
        <v/>
      </c>
      <c r="B493">
        <f>IF(AND(LEN('Inspections'!A493)&gt;0,ISNUMBER('Inspections'!H493)),MAX($B$3:B492)+1,"")</f>
        <v/>
      </c>
      <c r="E493">
        <f>IFERROR(MATCH(490,$B$4:$B$503,0),"")</f>
        <v/>
      </c>
      <c r="H493">
        <f>IF(AND(ISNUMBER('Drill log'!A493),ISNUMBER('Drill log'!N493),ISNUMBER('Drill schedule'!$D$4)),IF(YEAR('Drill log'!A493)='Drill schedule'!$D$4,'Drill log'!N493,""),"")</f>
        <v/>
      </c>
    </row>
    <row r="494">
      <c r="A494">
        <f>IF(AND(LEN('Inspections'!A494)&gt;0,ISNUMBER('Inspections'!H494)),'Inspections'!H494+491/100000,"")</f>
        <v/>
      </c>
      <c r="B494">
        <f>IF(AND(LEN('Inspections'!A494)&gt;0,ISNUMBER('Inspections'!H494)),MAX($B$3:B493)+1,"")</f>
        <v/>
      </c>
      <c r="E494">
        <f>IFERROR(MATCH(491,$B$4:$B$503,0),"")</f>
        <v/>
      </c>
      <c r="H494">
        <f>IF(AND(ISNUMBER('Drill log'!A494),ISNUMBER('Drill log'!N494),ISNUMBER('Drill schedule'!$D$4)),IF(YEAR('Drill log'!A494)='Drill schedule'!$D$4,'Drill log'!N494,""),"")</f>
        <v/>
      </c>
    </row>
    <row r="495">
      <c r="A495">
        <f>IF(AND(LEN('Inspections'!A495)&gt;0,ISNUMBER('Inspections'!H495)),'Inspections'!H495+492/100000,"")</f>
        <v/>
      </c>
      <c r="B495">
        <f>IF(AND(LEN('Inspections'!A495)&gt;0,ISNUMBER('Inspections'!H495)),MAX($B$3:B494)+1,"")</f>
        <v/>
      </c>
      <c r="E495">
        <f>IFERROR(MATCH(492,$B$4:$B$503,0),"")</f>
        <v/>
      </c>
      <c r="H495">
        <f>IF(AND(ISNUMBER('Drill log'!A495),ISNUMBER('Drill log'!N495),ISNUMBER('Drill schedule'!$D$4)),IF(YEAR('Drill log'!A495)='Drill schedule'!$D$4,'Drill log'!N495,""),"")</f>
        <v/>
      </c>
    </row>
    <row r="496">
      <c r="A496">
        <f>IF(AND(LEN('Inspections'!A496)&gt;0,ISNUMBER('Inspections'!H496)),'Inspections'!H496+493/100000,"")</f>
        <v/>
      </c>
      <c r="B496">
        <f>IF(AND(LEN('Inspections'!A496)&gt;0,ISNUMBER('Inspections'!H496)),MAX($B$3:B495)+1,"")</f>
        <v/>
      </c>
      <c r="E496">
        <f>IFERROR(MATCH(493,$B$4:$B$503,0),"")</f>
        <v/>
      </c>
      <c r="H496">
        <f>IF(AND(ISNUMBER('Drill log'!A496),ISNUMBER('Drill log'!N496),ISNUMBER('Drill schedule'!$D$4)),IF(YEAR('Drill log'!A496)='Drill schedule'!$D$4,'Drill log'!N496,""),"")</f>
        <v/>
      </c>
    </row>
    <row r="497">
      <c r="A497">
        <f>IF(AND(LEN('Inspections'!A497)&gt;0,ISNUMBER('Inspections'!H497)),'Inspections'!H497+494/100000,"")</f>
        <v/>
      </c>
      <c r="B497">
        <f>IF(AND(LEN('Inspections'!A497)&gt;0,ISNUMBER('Inspections'!H497)),MAX($B$3:B496)+1,"")</f>
        <v/>
      </c>
      <c r="E497">
        <f>IFERROR(MATCH(494,$B$4:$B$503,0),"")</f>
        <v/>
      </c>
      <c r="H497">
        <f>IF(AND(ISNUMBER('Drill log'!A497),ISNUMBER('Drill log'!N497),ISNUMBER('Drill schedule'!$D$4)),IF(YEAR('Drill log'!A497)='Drill schedule'!$D$4,'Drill log'!N497,""),"")</f>
        <v/>
      </c>
    </row>
    <row r="498">
      <c r="A498">
        <f>IF(AND(LEN('Inspections'!A498)&gt;0,ISNUMBER('Inspections'!H498)),'Inspections'!H498+495/100000,"")</f>
        <v/>
      </c>
      <c r="B498">
        <f>IF(AND(LEN('Inspections'!A498)&gt;0,ISNUMBER('Inspections'!H498)),MAX($B$3:B497)+1,"")</f>
        <v/>
      </c>
      <c r="E498">
        <f>IFERROR(MATCH(495,$B$4:$B$503,0),"")</f>
        <v/>
      </c>
      <c r="H498">
        <f>IF(AND(ISNUMBER('Drill log'!A498),ISNUMBER('Drill log'!N498),ISNUMBER('Drill schedule'!$D$4)),IF(YEAR('Drill log'!A498)='Drill schedule'!$D$4,'Drill log'!N498,""),"")</f>
        <v/>
      </c>
    </row>
    <row r="499">
      <c r="A499">
        <f>IF(AND(LEN('Inspections'!A499)&gt;0,ISNUMBER('Inspections'!H499)),'Inspections'!H499+496/100000,"")</f>
        <v/>
      </c>
      <c r="B499">
        <f>IF(AND(LEN('Inspections'!A499)&gt;0,ISNUMBER('Inspections'!H499)),MAX($B$3:B498)+1,"")</f>
        <v/>
      </c>
      <c r="E499">
        <f>IFERROR(MATCH(496,$B$4:$B$503,0),"")</f>
        <v/>
      </c>
      <c r="H499">
        <f>IF(AND(ISNUMBER('Drill log'!A499),ISNUMBER('Drill log'!N499),ISNUMBER('Drill schedule'!$D$4)),IF(YEAR('Drill log'!A499)='Drill schedule'!$D$4,'Drill log'!N499,""),"")</f>
        <v/>
      </c>
    </row>
    <row r="500">
      <c r="A500">
        <f>IF(AND(LEN('Inspections'!A500)&gt;0,ISNUMBER('Inspections'!H500)),'Inspections'!H500+497/100000,"")</f>
        <v/>
      </c>
      <c r="B500">
        <f>IF(AND(LEN('Inspections'!A500)&gt;0,ISNUMBER('Inspections'!H500)),MAX($B$3:B499)+1,"")</f>
        <v/>
      </c>
      <c r="E500">
        <f>IFERROR(MATCH(497,$B$4:$B$503,0),"")</f>
        <v/>
      </c>
      <c r="H500">
        <f>IF(AND(ISNUMBER('Drill log'!A500),ISNUMBER('Drill log'!N500),ISNUMBER('Drill schedule'!$D$4)),IF(YEAR('Drill log'!A500)='Drill schedule'!$D$4,'Drill log'!N500,""),"")</f>
        <v/>
      </c>
    </row>
    <row r="501">
      <c r="A501">
        <f>IF(AND(LEN('Inspections'!A501)&gt;0,ISNUMBER('Inspections'!H501)),'Inspections'!H501+498/100000,"")</f>
        <v/>
      </c>
      <c r="B501">
        <f>IF(AND(LEN('Inspections'!A501)&gt;0,ISNUMBER('Inspections'!H501)),MAX($B$3:B500)+1,"")</f>
        <v/>
      </c>
      <c r="E501">
        <f>IFERROR(MATCH(498,$B$4:$B$503,0),"")</f>
        <v/>
      </c>
      <c r="H501">
        <f>IF(AND(ISNUMBER('Drill log'!A501),ISNUMBER('Drill log'!N501),ISNUMBER('Drill schedule'!$D$4)),IF(YEAR('Drill log'!A501)='Drill schedule'!$D$4,'Drill log'!N501,""),"")</f>
        <v/>
      </c>
    </row>
    <row r="502">
      <c r="A502">
        <f>IF(AND(LEN('Inspections'!A502)&gt;0,ISNUMBER('Inspections'!H502)),'Inspections'!H502+499/100000,"")</f>
        <v/>
      </c>
      <c r="B502">
        <f>IF(AND(LEN('Inspections'!A502)&gt;0,ISNUMBER('Inspections'!H502)),MAX($B$3:B501)+1,"")</f>
        <v/>
      </c>
      <c r="E502">
        <f>IFERROR(MATCH(499,$B$4:$B$503,0),"")</f>
        <v/>
      </c>
      <c r="H502">
        <f>IF(AND(ISNUMBER('Drill log'!A502),ISNUMBER('Drill log'!N502),ISNUMBER('Drill schedule'!$D$4)),IF(YEAR('Drill log'!A502)='Drill schedule'!$D$4,'Drill log'!N502,""),"")</f>
        <v/>
      </c>
    </row>
    <row r="503">
      <c r="A503">
        <f>IF(AND(LEN('Inspections'!A503)&gt;0,ISNUMBER('Inspections'!H503)),'Inspections'!H503+500/100000,"")</f>
        <v/>
      </c>
      <c r="B503">
        <f>IF(AND(LEN('Inspections'!A503)&gt;0,ISNUMBER('Inspections'!H503)),MAX($B$3:B502)+1,"")</f>
        <v/>
      </c>
      <c r="E503">
        <f>IFERROR(MATCH(500,$B$4:$B$503,0),"")</f>
        <v/>
      </c>
      <c r="H503">
        <f>IF(AND(ISNUMBER('Drill log'!A503),ISNUMBER('Drill log'!N503),ISNUMBER('Drill schedule'!$D$4)),IF(YEAR('Drill log'!A503)='Drill schedule'!$D$4,'Drill log'!N503,""),"")</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Company>ExpiryEdge</Company>
</Properties>
</file>

<file path=docProps/core.xml><?xml version="1.0" encoding="utf-8"?>
<cp:coreProperties xmlns:cp="http://schemas.openxmlformats.org/package/2006/metadata/core-properties">
  <dc:creator xmlns:dc="http://purl.org/dc/elements/1.1/">ExpiryEdge</dc:creator>
  <dc:title xmlns:dc="http://purl.org/dc/elements/1.1/">Fire drill log &amp; schedule (assisted living) (free template)</dc:title>
  <dc:description xmlns:dc="http://purl.org/dc/elements/1.1/">Free template from expiryedge.com/templates/. October 2026 edition.</dc:description>
  <dc:subject xmlns:dc="http://purl.org/dc/elements/1.1/">Plan the year's fire drills across every shift, log each one with times and who needed help, and keep recurring fire-safety inspections on schedule.</dc:subject>
  <dcterms:created xmlns:dcterms="http://purl.org/dc/terms/" xmlns:xsi="http://www.w3.org/2001/XMLSchema-instance" xsi:type="dcterms:W3CDTF">2026-09-28T09:00:00Z</dcterms:created>
  <dcterms:modified xmlns:dcterms="http://purl.org/dc/terms/" xmlns:xsi="http://www.w3.org/2001/XMLSchema-instance" xsi:type="dcterms:W3CDTF">2026-09-28T09:00:00Z</dcterms:modified>
  <cp:lastModifiedBy>ExpiryEdge</cp:lastModifiedBy>
  <cp:keywords>fire drill log, fire drill schedule, assisted living, template, ExpiryEdge</cp:keywords>
</cp:coreProperties>
</file>