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ets" sheetId="2" state="visible" r:id="rId2"/>
    <sheet xmlns:r="http://schemas.openxmlformats.org/officeDocument/2006/relationships" name="History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here'!$A$1:$C$64</definedName>
    <definedName name="_xlnm.Print_Area" localSheetId="1">OFFSET('Assets'!$A$1,0,0,MAX(4,COUNTA('Assets'!$A$1:$A$503)),17)</definedName>
    <definedName name="_xlnm.Print_Titles" localSheetId="1">'Assets'!$3:$3</definedName>
    <definedName name="_xlnm.Print_Area" localSheetId="2">OFFSET('History'!$A$1,0,0,MAX(4,COUNTA('History'!$A$1:$A$503)),8)</definedName>
    <definedName name="_xlnm.Print_Titles" localSheetId="2">'History'!$3:$3</definedName>
    <definedName name="_xlnm.Print_Area" localSheetId="3">'Dashboard'!$A$1:$H$27</definedName>
    <definedName name="_xlnm.Print_Area" localSheetId="4">OFFSET('Import to ExpiryEdge'!$A$1,0,0,MAX(2,COUNTIF('Import to ExpiryEdge'!$A$1:$A$501,"?*")),11)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" fontId="2" fillId="0" borderId="2" applyAlignment="1" pivotButton="0" quotePrefix="0" xfId="0">
      <alignment horizontal="right"/>
    </xf>
    <xf numFmtId="165" fontId="2" fillId="0" borderId="2" applyAlignment="1" pivotButton="0" quotePrefix="0" xfId="0">
      <alignment horizontal="lef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1" fillId="2" borderId="0" applyAlignment="1" pivotButton="0" quotePrefix="0" xfId="0">
      <alignment vertical="center" wrapText="1"/>
    </xf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What the equipment is. (Required for import.)</t>
      </text>
    </comment>
    <comment ref="B3" authorId="0" shapeId="0">
      <text>
        <t>Your tag or serial number.</t>
      </text>
    </comment>
    <comment ref="C3" authorId="0" shapeId="0">
      <text>
        <t>Where it lives.</t>
      </text>
    </comment>
    <comment ref="D3" authorId="0" shapeId="0">
      <text>
        <t>What is being done. Edit the list on the Lists sheet.</t>
      </text>
    </comment>
    <comment ref="E3" authorId="0" shapeId="0">
      <text>
        <t>How often, in months. Use the interval the law, the manufacturer or your competent person sets for this item. (Required for import.)</t>
      </text>
    </comment>
    <comment ref="F3" authorId="0" shapeId="0">
      <text>
        <t>Date of the last inspection or service. (Required for import.)</t>
      </text>
    </comment>
    <comment ref="G3" authorId="0" shapeId="0">
      <text>
        <t>Calculated. Last inspected plus the interval.</t>
      </text>
    </comment>
    <comment ref="H3" authorId="0" shapeId="0">
      <text>
        <t>How many days before the date you want to start acting. Leave blank for 30.</t>
      </text>
    </comment>
    <comment ref="I3" authorId="0" shapeId="0">
      <text>
        <t>Calculated. Next due minus lead time.</t>
      </text>
    </comment>
    <comment ref="J3" authorId="0" shapeId="0">
      <text>
        <t>Calculated. Days until the date; negative once it has passed.</t>
      </text>
    </comment>
    <comment ref="K3" authorId="0" shapeId="0">
      <text>
        <t>Calculated. Expired, Due ≤30 days, Due ≤90 days or OK.</t>
      </text>
    </comment>
    <comment ref="L3" authorId="0" shapeId="0">
      <text>
        <t>Who did the last one.</t>
      </text>
    </comment>
    <comment ref="M3" authorId="0" shapeId="0">
      <text>
        <t>Outcome of the last inspection.</t>
      </text>
    </comment>
    <comment ref="N3" authorId="0" shapeId="0">
      <text>
        <t>Who should be reminded. Becomes notification_email on import.</t>
      </text>
    </comment>
    <comment ref="O3" authorId="0" shapeId="0">
      <text>
        <t>Low, Medium or High. Matches the ExpiryEdge priority field.</t>
      </text>
    </comment>
    <comment ref="P3" authorId="0" shapeId="0">
      <text>
        <t>Link to the last report.</t>
      </text>
    </comment>
    <comment ref="Q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3" authorId="0" shapeId="0">
      <text>
        <t>Date of the visit.</t>
      </text>
    </comment>
    <comment ref="B3" authorId="0" shapeId="0">
      <text>
        <t>Same ID as on the Assets sheet.</t>
      </text>
    </comment>
    <comment ref="C3" authorId="0" shapeId="0">
      <text>
        <t>What was done.</t>
      </text>
    </comment>
    <comment ref="D3" authorId="0" shapeId="0">
      <text>
        <t>Who did it.</t>
      </text>
    </comment>
    <comment ref="E3" authorId="0" shapeId="0">
      <text>
        <t>Outcome.</t>
      </text>
    </comment>
    <comment ref="F3" authorId="0" shapeId="0">
      <text>
        <t>Defects or actions, and who owns them.</t>
      </text>
    </comment>
    <comment ref="G3" authorId="0" shapeId="0">
      <text>
        <t>When the actions were completed.</t>
      </text>
    </comment>
    <comment ref="H3" authorId="0" shapeId="0">
      <text>
        <t>Link to the report.</t>
      </text>
    </comment>
  </commentList>
</comments>
</file>

<file path=xl/comments/comment3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Assets" displayName="tblAssets" ref="A3:Q503" headerRowCount="1">
  <autoFilter ref="A3:Q503"/>
  <tableColumns count="17">
    <tableColumn id="1" name="Asset"/>
    <tableColumn id="2" name="Asset ID"/>
    <tableColumn id="3" name="Location"/>
    <tableColumn id="4" name="Inspection / service"/>
    <tableColumn id="5" name="Interval (months)"/>
    <tableColumn id="6" name="Last inspected"/>
    <tableColumn id="7" name="Next due"/>
    <tableColumn id="8" name="Lead time (days)"/>
    <tableColumn id="9" name="Book-by date"/>
    <tableColumn id="10" name="Days left"/>
    <tableColumn id="11" name="Status"/>
    <tableColumn id="12" name="Inspector / contractor"/>
    <tableColumn id="13" name="Last result"/>
    <tableColumn id="14" name="Owner email"/>
    <tableColumn id="15" name="Priority"/>
    <tableColumn id="16" name="Report link"/>
    <tableColumn id="17" name="Not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History" displayName="tblHistory" ref="A3:H503" headerRowCount="1">
  <autoFilter ref="A3:H503"/>
  <tableColumns count="8">
    <tableColumn id="1" name="Date"/>
    <tableColumn id="2" name="Asset ID"/>
    <tableColumn id="3" name="Inspection / service"/>
    <tableColumn id="4" name="Inspector / contractor"/>
    <tableColumn id="5" name="Result"/>
    <tableColumn id="6" name="Actions raised"/>
    <tableColumn id="7" name="Actions closed on"/>
    <tableColumn id="8" name="Report link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equipment-inspection-log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6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Equipment inspection &amp; maintenance log</t>
        </is>
      </c>
    </row>
    <row r="3">
      <c r="B3" s="2" t="inlineStr">
        <is>
          <t>Every asset with its inspection interval, the next due date calculated for you, and a history log.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18" customHeight="1">
      <c r="B7" s="5" t="inlineStr">
        <is>
          <t>1. Clear the examples</t>
        </is>
      </c>
      <c r="C7" s="6" t="inlineStr">
        <is>
          <t>Rows on the "Assets"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"Assets"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Asset *</t>
        </is>
      </c>
      <c r="C21" s="15" t="inlineStr">
        <is>
          <t>What the equipment is.</t>
        </is>
      </c>
    </row>
    <row r="22" ht="18" customHeight="1">
      <c r="B22" s="14" t="inlineStr">
        <is>
          <t>Asset ID</t>
        </is>
      </c>
      <c r="C22" s="15" t="inlineStr">
        <is>
          <t>Your tag or serial number.</t>
        </is>
      </c>
    </row>
    <row r="23" ht="18" customHeight="1">
      <c r="B23" s="14" t="inlineStr">
        <is>
          <t>Location</t>
        </is>
      </c>
      <c r="C23" s="15" t="inlineStr">
        <is>
          <t>Where it lives.</t>
        </is>
      </c>
    </row>
    <row r="24" ht="18" customHeight="1">
      <c r="B24" s="14" t="inlineStr">
        <is>
          <t>Inspection / service</t>
        </is>
      </c>
      <c r="C24" s="15" t="inlineStr">
        <is>
          <t>What is being done. Edit the list on the Lists sheet.</t>
        </is>
      </c>
    </row>
    <row r="25" ht="33" customHeight="1">
      <c r="B25" s="14" t="inlineStr">
        <is>
          <t>Interval (months) *</t>
        </is>
      </c>
      <c r="C25" s="15" t="inlineStr">
        <is>
          <t>How often, in months. Use the interval the law, the manufacturer or your competent person sets for this item.</t>
        </is>
      </c>
    </row>
    <row r="26" ht="18" customHeight="1">
      <c r="B26" s="14" t="inlineStr">
        <is>
          <t>Last inspected *</t>
        </is>
      </c>
      <c r="C26" s="15" t="inlineStr">
        <is>
          <t>Date of the last inspection or service.</t>
        </is>
      </c>
    </row>
    <row r="27" ht="18" customHeight="1">
      <c r="B27" s="16" t="inlineStr">
        <is>
          <t>Next due</t>
        </is>
      </c>
      <c r="C27" s="15" t="inlineStr">
        <is>
          <t>Calculated. Last inspected plus the interval.</t>
        </is>
      </c>
    </row>
    <row r="28" ht="18" customHeight="1">
      <c r="B28" s="14" t="inlineStr">
        <is>
          <t>Lead time (days)</t>
        </is>
      </c>
      <c r="C28" s="15" t="inlineStr">
        <is>
          <t>How many days before the date you want to start acting. Leave blank for 30.</t>
        </is>
      </c>
    </row>
    <row r="29" ht="18" customHeight="1">
      <c r="B29" s="16" t="inlineStr">
        <is>
          <t>Book-by date</t>
        </is>
      </c>
      <c r="C29" s="15" t="inlineStr">
        <is>
          <t>Calculated. Next due minus lead time.</t>
        </is>
      </c>
    </row>
    <row r="30" ht="18" customHeight="1">
      <c r="B30" s="16" t="inlineStr">
        <is>
          <t>Days left</t>
        </is>
      </c>
      <c r="C30" s="15" t="inlineStr">
        <is>
          <t>Calculated. Days until the date; negative once it has passed.</t>
        </is>
      </c>
    </row>
    <row r="31" ht="18" customHeight="1">
      <c r="B31" s="16" t="inlineStr">
        <is>
          <t>Status</t>
        </is>
      </c>
      <c r="C31" s="15" t="inlineStr">
        <is>
          <t>Calculated. Expired, Due ≤30 days, Due ≤90 days or OK.</t>
        </is>
      </c>
    </row>
    <row r="32" ht="18" customHeight="1">
      <c r="B32" s="14" t="inlineStr">
        <is>
          <t>Inspector / contractor</t>
        </is>
      </c>
      <c r="C32" s="15" t="inlineStr">
        <is>
          <t>Who did the last one.</t>
        </is>
      </c>
    </row>
    <row r="33" ht="18" customHeight="1">
      <c r="B33" s="14" t="inlineStr">
        <is>
          <t>Last result</t>
        </is>
      </c>
      <c r="C33" s="15" t="inlineStr">
        <is>
          <t>Outcome of the last inspection.</t>
        </is>
      </c>
    </row>
    <row r="34" ht="18" customHeight="1">
      <c r="B34" s="14" t="inlineStr">
        <is>
          <t>Owner email</t>
        </is>
      </c>
      <c r="C34" s="15" t="inlineStr">
        <is>
          <t>Who should be reminded. Becomes notification_email on import.</t>
        </is>
      </c>
    </row>
    <row r="35" ht="18" customHeight="1">
      <c r="B35" s="14" t="inlineStr">
        <is>
          <t>Priority</t>
        </is>
      </c>
      <c r="C35" s="15" t="inlineStr">
        <is>
          <t>Low, Medium or High. Matches the ExpiryEdge priority field.</t>
        </is>
      </c>
    </row>
    <row r="36" ht="18" customHeight="1">
      <c r="B36" s="14" t="inlineStr">
        <is>
          <t>Report link</t>
        </is>
      </c>
      <c r="C36" s="15" t="inlineStr">
        <is>
          <t>Link to the last report.</t>
        </is>
      </c>
    </row>
    <row r="37" ht="18" customHeight="1">
      <c r="B37" s="14" t="inlineStr">
        <is>
          <t>Notes</t>
        </is>
      </c>
      <c r="C37" s="15" t="inlineStr">
        <is>
          <t>Anything the next person needs to know.</t>
        </is>
      </c>
    </row>
    <row r="38">
      <c r="B38" s="3" t="inlineStr">
        <is>
          <t>* needed for the import sheet.</t>
        </is>
      </c>
    </row>
    <row r="40">
      <c r="B40" s="4" t="inlineStr">
        <is>
          <t>Columns on "History"</t>
        </is>
      </c>
    </row>
    <row r="41">
      <c r="B41" s="13" t="inlineStr">
        <is>
          <t>Column</t>
        </is>
      </c>
      <c r="C41" s="13" t="inlineStr">
        <is>
          <t>What to enter</t>
        </is>
      </c>
    </row>
    <row r="42" ht="18" customHeight="1">
      <c r="B42" s="14" t="inlineStr">
        <is>
          <t>Date</t>
        </is>
      </c>
      <c r="C42" s="15" t="inlineStr">
        <is>
          <t>Date of the visit.</t>
        </is>
      </c>
    </row>
    <row r="43" ht="18" customHeight="1">
      <c r="B43" s="14" t="inlineStr">
        <is>
          <t>Asset ID</t>
        </is>
      </c>
      <c r="C43" s="15" t="inlineStr">
        <is>
          <t>Same ID as on the Assets sheet.</t>
        </is>
      </c>
    </row>
    <row r="44" ht="18" customHeight="1">
      <c r="B44" s="14" t="inlineStr">
        <is>
          <t>Inspection / service</t>
        </is>
      </c>
      <c r="C44" s="15" t="inlineStr">
        <is>
          <t>What was done.</t>
        </is>
      </c>
    </row>
    <row r="45" ht="18" customHeight="1">
      <c r="B45" s="14" t="inlineStr">
        <is>
          <t>Inspector / contractor</t>
        </is>
      </c>
      <c r="C45" s="15" t="inlineStr">
        <is>
          <t>Who did it.</t>
        </is>
      </c>
    </row>
    <row r="46" ht="18" customHeight="1">
      <c r="B46" s="14" t="inlineStr">
        <is>
          <t>Result</t>
        </is>
      </c>
      <c r="C46" s="15" t="inlineStr">
        <is>
          <t>Outcome.</t>
        </is>
      </c>
    </row>
    <row r="47" ht="18" customHeight="1">
      <c r="B47" s="14" t="inlineStr">
        <is>
          <t>Actions raised</t>
        </is>
      </c>
      <c r="C47" s="15" t="inlineStr">
        <is>
          <t>Defects or actions, and who owns them.</t>
        </is>
      </c>
    </row>
    <row r="48" ht="18" customHeight="1">
      <c r="B48" s="14" t="inlineStr">
        <is>
          <t>Actions closed on</t>
        </is>
      </c>
      <c r="C48" s="15" t="inlineStr">
        <is>
          <t>When the actions were completed.</t>
        </is>
      </c>
    </row>
    <row r="49" ht="18" customHeight="1">
      <c r="B49" s="14" t="inlineStr">
        <is>
          <t>Report link</t>
        </is>
      </c>
      <c r="C49" s="15" t="inlineStr">
        <is>
          <t>Link to the report.</t>
        </is>
      </c>
    </row>
    <row r="50">
      <c r="B50" s="3" t="inlineStr">
        <is>
          <t>* needed for the import sheet.</t>
        </is>
      </c>
    </row>
    <row r="52">
      <c r="B52" s="4" t="inlineStr">
        <is>
          <t>Other sheets</t>
        </is>
      </c>
    </row>
    <row r="53" ht="18" customHeight="1">
      <c r="B53" s="5" t="inlineStr">
        <is>
          <t>History</t>
        </is>
      </c>
      <c r="C53" s="6" t="inlineStr">
        <is>
          <t>A running log of every inspection or service visit, for evidence.</t>
        </is>
      </c>
    </row>
    <row r="54" ht="18" customHeight="1">
      <c r="B54" s="5" t="inlineStr">
        <is>
          <t>Dashboard</t>
        </is>
      </c>
      <c r="C54" s="6" t="inlineStr">
        <is>
          <t>Counts by status and the next 10 dates, always as of today.</t>
        </is>
      </c>
    </row>
    <row r="55" ht="48" customHeight="1">
      <c r="B55" s="5" t="inlineStr">
        <is>
          <t>Import to ExpiryEdge</t>
        </is>
      </c>
      <c r="C55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56" ht="18" customHeight="1">
      <c r="B56" s="5" t="inlineStr">
        <is>
          <t>Lists</t>
        </is>
      </c>
      <c r="C56" s="6" t="inlineStr">
        <is>
          <t>The options behind the dropdowns. Add your own there.</t>
        </is>
      </c>
    </row>
    <row r="58">
      <c r="B58" s="4" t="inlineStr">
        <is>
          <t>Good to know</t>
        </is>
      </c>
    </row>
    <row r="59">
      <c r="B59" s="8" t="inlineStr">
        <is>
          <t>·  Formulas are filled down for 500 rows. Need more? Copy the last row down.</t>
        </is>
      </c>
    </row>
    <row r="60">
      <c r="B60" s="8" t="inlineStr">
        <is>
          <t>·  Dates must be real dates, not text. If a status says "Check date", retype that date.</t>
        </is>
      </c>
    </row>
    <row r="61">
      <c r="B61" s="8" t="inlineStr">
        <is>
          <t>·  The file only changes when someone opens it. It cannot send reminders on its own.</t>
        </is>
      </c>
    </row>
    <row r="62">
      <c r="B62" s="8" t="inlineStr">
        <is>
          <t>·  This is a free template, not legal advice. Check dates and requirements against the official source for your situation.</t>
        </is>
      </c>
    </row>
    <row r="64">
      <c r="B64" s="17" t="inlineStr">
        <is>
          <t>Made by ExpiryEdge · expiryedge.com</t>
        </is>
      </c>
    </row>
  </sheetData>
  <hyperlinks>
    <hyperlink xmlns:r="http://schemas.openxmlformats.org/officeDocument/2006/relationships" ref="B64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Q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24" customWidth="1" min="4" max="4"/>
    <col width="11" customWidth="1" min="5" max="5"/>
    <col width="13" customWidth="1" min="6" max="6"/>
    <col width="13" customWidth="1" min="7" max="7"/>
    <col width="11" customWidth="1" min="8" max="8"/>
    <col width="13" customWidth="1" min="9" max="9"/>
    <col width="10" customWidth="1" min="10" max="10"/>
    <col width="14" customWidth="1" min="11" max="11"/>
    <col width="22" customWidth="1" min="12" max="12"/>
    <col width="16" customWidth="1" min="13" max="13"/>
    <col width="26" customWidth="1" min="14" max="14"/>
    <col width="10" customWidth="1" min="15" max="15"/>
    <col width="26" customWidth="1" min="16" max="16"/>
    <col width="36" customWidth="1" min="17" max="17"/>
  </cols>
  <sheetData>
    <row r="1" ht="24" customHeight="1">
      <c r="A1" s="18" t="inlineStr">
        <is>
          <t>Equipment inspection schedule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Asset</t>
        </is>
      </c>
      <c r="B3" s="19" t="inlineStr">
        <is>
          <t>Asset ID</t>
        </is>
      </c>
      <c r="C3" s="19" t="inlineStr">
        <is>
          <t>Location</t>
        </is>
      </c>
      <c r="D3" s="19" t="inlineStr">
        <is>
          <t>Inspection / service</t>
        </is>
      </c>
      <c r="E3" s="19" t="inlineStr">
        <is>
          <t>Interval (months)</t>
        </is>
      </c>
      <c r="F3" s="19" t="inlineStr">
        <is>
          <t>Last inspected</t>
        </is>
      </c>
      <c r="G3" s="20" t="inlineStr">
        <is>
          <t>Next due</t>
        </is>
      </c>
      <c r="H3" s="19" t="inlineStr">
        <is>
          <t>Lead time (days)</t>
        </is>
      </c>
      <c r="I3" s="20" t="inlineStr">
        <is>
          <t>Book-by date</t>
        </is>
      </c>
      <c r="J3" s="20" t="inlineStr">
        <is>
          <t>Days left</t>
        </is>
      </c>
      <c r="K3" s="20" t="inlineStr">
        <is>
          <t>Status</t>
        </is>
      </c>
      <c r="L3" s="19" t="inlineStr">
        <is>
          <t>Inspector / contractor</t>
        </is>
      </c>
      <c r="M3" s="19" t="inlineStr">
        <is>
          <t>Last result</t>
        </is>
      </c>
      <c r="N3" s="19" t="inlineStr">
        <is>
          <t>Owner email</t>
        </is>
      </c>
      <c r="O3" s="19" t="inlineStr">
        <is>
          <t>Priority</t>
        </is>
      </c>
      <c r="P3" s="19" t="inlineStr">
        <is>
          <t>Report link</t>
        </is>
      </c>
      <c r="Q3" s="19" t="inlineStr">
        <is>
          <t>Notes</t>
        </is>
      </c>
    </row>
    <row r="4">
      <c r="A4" s="21" t="inlineStr">
        <is>
          <t>Example – Forklift truck 1</t>
        </is>
      </c>
      <c r="B4" s="21" t="inlineStr">
        <is>
          <t>FLT-01</t>
        </is>
      </c>
      <c r="C4" s="21" t="inlineStr">
        <is>
          <t>Warehouse</t>
        </is>
      </c>
      <c r="D4" s="21" t="inlineStr">
        <is>
          <t>Thorough examination</t>
        </is>
      </c>
      <c r="E4" s="22" t="n">
        <v>12</v>
      </c>
      <c r="F4" s="23" t="n">
        <v>45944</v>
      </c>
      <c r="G4" s="24">
        <f>IF(AND(ISNUMBER(F4),ISNUMBER(E4)),EDATE(F4,E4),"")</f>
        <v/>
      </c>
      <c r="H4" s="22" t="n">
        <v>30</v>
      </c>
      <c r="I4" s="24">
        <f>IF(ISNUMBER(G4),G4-IF(ISNUMBER(H4),H4,30),"")</f>
        <v/>
      </c>
      <c r="J4" s="25">
        <f>IF(G4="","",IF(ISNUMBER(G4),G4-TODAY(),"Check date"))</f>
        <v/>
      </c>
      <c r="K4" s="26">
        <f>IF(J4="","",IF(ISNUMBER(J4),IF(J4&lt;0,"Expired",IF(J4&lt;=30,"Due ≤30 days",IF(J4&lt;=90,"Due ≤90 days","OK"))),"Check date"))</f>
        <v/>
      </c>
      <c r="L4" s="21" t="inlineStr">
        <is>
          <t>Example Inspection Ltd</t>
        </is>
      </c>
      <c r="M4" s="21" t="inlineStr">
        <is>
          <t>Pass</t>
        </is>
      </c>
      <c r="N4" s="21" t="inlineStr">
        <is>
          <t>alex@example.com</t>
        </is>
      </c>
      <c r="O4" s="21" t="inlineStr">
        <is>
          <t>High</t>
        </is>
      </c>
      <c r="P4" s="21" t="n"/>
      <c r="Q4" s="21" t="n"/>
    </row>
    <row r="5">
      <c r="A5" s="21" t="inlineStr">
        <is>
          <t>Example – Passenger lift</t>
        </is>
      </c>
      <c r="B5" s="21" t="inlineStr">
        <is>
          <t>LIFT-01</t>
        </is>
      </c>
      <c r="C5" s="21" t="inlineStr">
        <is>
          <t>Main building</t>
        </is>
      </c>
      <c r="D5" s="21" t="inlineStr">
        <is>
          <t>Thorough examination</t>
        </is>
      </c>
      <c r="E5" s="22" t="n">
        <v>6</v>
      </c>
      <c r="F5" s="23" t="n">
        <v>46114</v>
      </c>
      <c r="G5" s="24">
        <f>IF(AND(ISNUMBER(F5),ISNUMBER(E5)),EDATE(F5,E5),"")</f>
        <v/>
      </c>
      <c r="H5" s="22" t="n">
        <v>30</v>
      </c>
      <c r="I5" s="24">
        <f>IF(ISNUMBER(G5),G5-IF(ISNUMBER(H5),H5,30),"")</f>
        <v/>
      </c>
      <c r="J5" s="25">
        <f>IF(G5="","",IF(ISNUMBER(G5),G5-TODAY(),"Check date"))</f>
        <v/>
      </c>
      <c r="K5" s="26">
        <f>IF(J5="","",IF(ISNUMBER(J5),IF(J5&lt;0,"Expired",IF(J5&lt;=30,"Due ≤30 days",IF(J5&lt;=90,"Due ≤90 days","OK"))),"Check date"))</f>
        <v/>
      </c>
      <c r="L5" s="21" t="inlineStr">
        <is>
          <t>Example Inspection Ltd</t>
        </is>
      </c>
      <c r="M5" s="21" t="inlineStr">
        <is>
          <t>Pass with actions</t>
        </is>
      </c>
      <c r="N5" s="21" t="inlineStr">
        <is>
          <t>alex@example.com</t>
        </is>
      </c>
      <c r="O5" s="21" t="inlineStr">
        <is>
          <t>High</t>
        </is>
      </c>
      <c r="P5" s="21" t="n"/>
      <c r="Q5" s="21" t="n"/>
    </row>
    <row r="6">
      <c r="A6" s="21" t="inlineStr">
        <is>
          <t>Example – Air compressor</t>
        </is>
      </c>
      <c r="B6" s="21" t="inlineStr">
        <is>
          <t>COMP-02</t>
        </is>
      </c>
      <c r="C6" s="21" t="inlineStr">
        <is>
          <t>Workshop</t>
        </is>
      </c>
      <c r="D6" s="21" t="inlineStr">
        <is>
          <t>Written scheme examination</t>
        </is>
      </c>
      <c r="E6" s="22" t="n">
        <v>24</v>
      </c>
      <c r="F6" s="23" t="n">
        <v>45636</v>
      </c>
      <c r="G6" s="24">
        <f>IF(AND(ISNUMBER(F6),ISNUMBER(E6)),EDATE(F6,E6),"")</f>
        <v/>
      </c>
      <c r="H6" s="22" t="n">
        <v>45</v>
      </c>
      <c r="I6" s="24">
        <f>IF(ISNUMBER(G6),G6-IF(ISNUMBER(H6),H6,30),"")</f>
        <v/>
      </c>
      <c r="J6" s="25">
        <f>IF(G6="","",IF(ISNUMBER(G6),G6-TODAY(),"Check date"))</f>
        <v/>
      </c>
      <c r="K6" s="26">
        <f>IF(J6="","",IF(ISNUMBER(J6),IF(J6&lt;0,"Expired",IF(J6&lt;=30,"Due ≤30 days",IF(J6&lt;=90,"Due ≤90 days","OK"))),"Check date"))</f>
        <v/>
      </c>
      <c r="L6" s="21" t="inlineStr">
        <is>
          <t>Example Engineering</t>
        </is>
      </c>
      <c r="M6" s="21" t="inlineStr">
        <is>
          <t>Pass</t>
        </is>
      </c>
      <c r="N6" s="21" t="inlineStr">
        <is>
          <t>jo@example.com</t>
        </is>
      </c>
      <c r="O6" s="21" t="inlineStr">
        <is>
          <t>Medium</t>
        </is>
      </c>
      <c r="P6" s="21" t="n"/>
      <c r="Q6" s="21" t="n"/>
    </row>
    <row r="7">
      <c r="A7" s="21" t="inlineStr">
        <is>
          <t>Example – Fire extinguishers (12)</t>
        </is>
      </c>
      <c r="B7" s="21" t="inlineStr">
        <is>
          <t>FE-SET</t>
        </is>
      </c>
      <c r="C7" s="21" t="inlineStr">
        <is>
          <t>All floors</t>
        </is>
      </c>
      <c r="D7" s="21" t="inlineStr">
        <is>
          <t>Service</t>
        </is>
      </c>
      <c r="E7" s="22" t="n">
        <v>12</v>
      </c>
      <c r="F7" s="23" t="n">
        <v>45920</v>
      </c>
      <c r="G7" s="24">
        <f>IF(AND(ISNUMBER(F7),ISNUMBER(E7)),EDATE(F7,E7),"")</f>
        <v/>
      </c>
      <c r="H7" s="22" t="n">
        <v>14</v>
      </c>
      <c r="I7" s="24">
        <f>IF(ISNUMBER(G7),G7-IF(ISNUMBER(H7),H7,30),"")</f>
        <v/>
      </c>
      <c r="J7" s="25">
        <f>IF(G7="","",IF(ISNUMBER(G7),G7-TODAY(),"Check date"))</f>
        <v/>
      </c>
      <c r="K7" s="26">
        <f>IF(J7="","",IF(ISNUMBER(J7),IF(J7&lt;0,"Expired",IF(J7&lt;=30,"Due ≤30 days",IF(J7&lt;=90,"Due ≤90 days","OK"))),"Check date"))</f>
        <v/>
      </c>
      <c r="L7" s="21" t="inlineStr">
        <is>
          <t>Example Fire Co</t>
        </is>
      </c>
      <c r="M7" s="21" t="inlineStr">
        <is>
          <t>Pass</t>
        </is>
      </c>
      <c r="N7" s="21" t="inlineStr">
        <is>
          <t>chris@example.com</t>
        </is>
      </c>
      <c r="O7" s="21" t="inlineStr">
        <is>
          <t>High</t>
        </is>
      </c>
      <c r="P7" s="21" t="n"/>
      <c r="Q7" s="21" t="n"/>
    </row>
    <row r="8">
      <c r="A8" s="21" t="inlineStr">
        <is>
          <t>Example – Emergency lighting</t>
        </is>
      </c>
      <c r="B8" s="21" t="inlineStr">
        <is>
          <t>EL-SYS</t>
        </is>
      </c>
      <c r="C8" s="21" t="inlineStr">
        <is>
          <t>All floors</t>
        </is>
      </c>
      <c r="D8" s="21" t="inlineStr">
        <is>
          <t>Test / inspection</t>
        </is>
      </c>
      <c r="E8" s="22" t="n">
        <v>12</v>
      </c>
      <c r="F8" s="23" t="n">
        <v>45991</v>
      </c>
      <c r="G8" s="24">
        <f>IF(AND(ISNUMBER(F8),ISNUMBER(E8)),EDATE(F8,E8),"")</f>
        <v/>
      </c>
      <c r="H8" s="22" t="n">
        <v>30</v>
      </c>
      <c r="I8" s="24">
        <f>IF(ISNUMBER(G8),G8-IF(ISNUMBER(H8),H8,30),"")</f>
        <v/>
      </c>
      <c r="J8" s="25">
        <f>IF(G8="","",IF(ISNUMBER(G8),G8-TODAY(),"Check date"))</f>
        <v/>
      </c>
      <c r="K8" s="26">
        <f>IF(J8="","",IF(ISNUMBER(J8),IF(J8&lt;0,"Expired",IF(J8&lt;=30,"Due ≤30 days",IF(J8&lt;=90,"Due ≤90 days","OK"))),"Check date"))</f>
        <v/>
      </c>
      <c r="L8" s="21" t="inlineStr">
        <is>
          <t>Example Electrical</t>
        </is>
      </c>
      <c r="M8" s="21" t="inlineStr">
        <is>
          <t>Pass</t>
        </is>
      </c>
      <c r="N8" s="21" t="inlineStr">
        <is>
          <t>chris@example.com</t>
        </is>
      </c>
      <c r="O8" s="21" t="inlineStr">
        <is>
          <t>Medium</t>
        </is>
      </c>
      <c r="P8" s="21" t="n"/>
      <c r="Q8" s="21" t="n"/>
    </row>
    <row r="9">
      <c r="A9" s="21" t="inlineStr">
        <is>
          <t>Example – Ladders and steps</t>
        </is>
      </c>
      <c r="B9" s="21" t="inlineStr">
        <is>
          <t>LAD-SET</t>
        </is>
      </c>
      <c r="C9" s="21" t="inlineStr">
        <is>
          <t>Stores</t>
        </is>
      </c>
      <c r="D9" s="21" t="inlineStr">
        <is>
          <t>Visual inspection</t>
        </is>
      </c>
      <c r="E9" s="22" t="n">
        <v>3</v>
      </c>
      <c r="F9" s="23" t="n">
        <v>46235</v>
      </c>
      <c r="G9" s="24">
        <f>IF(AND(ISNUMBER(F9),ISNUMBER(E9)),EDATE(F9,E9),"")</f>
        <v/>
      </c>
      <c r="H9" s="22" t="n">
        <v>7</v>
      </c>
      <c r="I9" s="24">
        <f>IF(ISNUMBER(G9),G9-IF(ISNUMBER(H9),H9,30),"")</f>
        <v/>
      </c>
      <c r="J9" s="25">
        <f>IF(G9="","",IF(ISNUMBER(G9),G9-TODAY(),"Check date"))</f>
        <v/>
      </c>
      <c r="K9" s="26">
        <f>IF(J9="","",IF(ISNUMBER(J9),IF(J9&lt;0,"Expired",IF(J9&lt;=30,"Due ≤30 days",IF(J9&lt;=90,"Due ≤90 days","OK"))),"Check date"))</f>
        <v/>
      </c>
      <c r="L9" s="21" t="inlineStr">
        <is>
          <t>In-house</t>
        </is>
      </c>
      <c r="M9" s="21" t="inlineStr">
        <is>
          <t>Pass</t>
        </is>
      </c>
      <c r="N9" s="21" t="inlineStr">
        <is>
          <t>jo@example.com</t>
        </is>
      </c>
      <c r="O9" s="21" t="inlineStr">
        <is>
          <t>Low</t>
        </is>
      </c>
      <c r="P9" s="21" t="n"/>
      <c r="Q9" s="21" t="n"/>
    </row>
    <row r="10">
      <c r="A10" s="21" t="n"/>
      <c r="B10" s="21" t="n"/>
      <c r="C10" s="21" t="n"/>
      <c r="D10" s="21" t="n"/>
      <c r="E10" s="22" t="n"/>
      <c r="F10" s="23" t="n"/>
      <c r="G10" s="24">
        <f>IF(AND(ISNUMBER(F10),ISNUMBER(E10)),EDATE(F10,E10),"")</f>
        <v/>
      </c>
      <c r="H10" s="22" t="n"/>
      <c r="I10" s="24">
        <f>IF(ISNUMBER(G10),G10-IF(ISNUMBER(H10),H10,30),"")</f>
        <v/>
      </c>
      <c r="J10" s="25">
        <f>IF(G10="","",IF(ISNUMBER(G10),G10-TODAY(),"Check date"))</f>
        <v/>
      </c>
      <c r="K10" s="26">
        <f>IF(J10="","",IF(ISNUMBER(J10),IF(J10&lt;0,"Expired",IF(J10&lt;=30,"Due ≤30 days",IF(J10&lt;=90,"Due ≤90 days","OK"))),"Check date"))</f>
        <v/>
      </c>
      <c r="L10" s="21" t="n"/>
      <c r="M10" s="21" t="n"/>
      <c r="N10" s="21" t="n"/>
      <c r="O10" s="21" t="n"/>
      <c r="P10" s="21" t="n"/>
      <c r="Q10" s="21" t="n"/>
    </row>
    <row r="11">
      <c r="A11" s="21" t="n"/>
      <c r="B11" s="21" t="n"/>
      <c r="C11" s="21" t="n"/>
      <c r="D11" s="21" t="n"/>
      <c r="E11" s="22" t="n"/>
      <c r="F11" s="23" t="n"/>
      <c r="G11" s="24">
        <f>IF(AND(ISNUMBER(F11),ISNUMBER(E11)),EDATE(F11,E11),"")</f>
        <v/>
      </c>
      <c r="H11" s="22" t="n"/>
      <c r="I11" s="24">
        <f>IF(ISNUMBER(G11),G11-IF(ISNUMBER(H11),H11,30),"")</f>
        <v/>
      </c>
      <c r="J11" s="25">
        <f>IF(G11="","",IF(ISNUMBER(G11),G11-TODAY(),"Check date"))</f>
        <v/>
      </c>
      <c r="K11" s="26">
        <f>IF(J11="","",IF(ISNUMBER(J11),IF(J11&lt;0,"Expired",IF(J11&lt;=30,"Due ≤30 days",IF(J11&lt;=90,"Due ≤90 days","OK"))),"Check date"))</f>
        <v/>
      </c>
      <c r="L11" s="21" t="n"/>
      <c r="M11" s="21" t="n"/>
      <c r="N11" s="21" t="n"/>
      <c r="O11" s="21" t="n"/>
      <c r="P11" s="21" t="n"/>
      <c r="Q11" s="21" t="n"/>
    </row>
    <row r="12">
      <c r="A12" s="21" t="n"/>
      <c r="B12" s="21" t="n"/>
      <c r="C12" s="21" t="n"/>
      <c r="D12" s="21" t="n"/>
      <c r="E12" s="22" t="n"/>
      <c r="F12" s="23" t="n"/>
      <c r="G12" s="24">
        <f>IF(AND(ISNUMBER(F12),ISNUMBER(E12)),EDATE(F12,E12),"")</f>
        <v/>
      </c>
      <c r="H12" s="22" t="n"/>
      <c r="I12" s="24">
        <f>IF(ISNUMBER(G12),G12-IF(ISNUMBER(H12),H12,30),"")</f>
        <v/>
      </c>
      <c r="J12" s="25">
        <f>IF(G12="","",IF(ISNUMBER(G12),G12-TODAY(),"Check date"))</f>
        <v/>
      </c>
      <c r="K12" s="26">
        <f>IF(J12="","",IF(ISNUMBER(J12),IF(J12&lt;0,"Expired",IF(J12&lt;=30,"Due ≤30 days",IF(J12&lt;=90,"Due ≤90 days","OK"))),"Check date"))</f>
        <v/>
      </c>
      <c r="L12" s="21" t="n"/>
      <c r="M12" s="21" t="n"/>
      <c r="N12" s="21" t="n"/>
      <c r="O12" s="21" t="n"/>
      <c r="P12" s="21" t="n"/>
      <c r="Q12" s="21" t="n"/>
    </row>
    <row r="13">
      <c r="A13" s="21" t="n"/>
      <c r="B13" s="21" t="n"/>
      <c r="C13" s="21" t="n"/>
      <c r="D13" s="21" t="n"/>
      <c r="E13" s="22" t="n"/>
      <c r="F13" s="23" t="n"/>
      <c r="G13" s="24">
        <f>IF(AND(ISNUMBER(F13),ISNUMBER(E13)),EDATE(F13,E13),"")</f>
        <v/>
      </c>
      <c r="H13" s="22" t="n"/>
      <c r="I13" s="24">
        <f>IF(ISNUMBER(G13),G13-IF(ISNUMBER(H13),H13,30),"")</f>
        <v/>
      </c>
      <c r="J13" s="25">
        <f>IF(G13="","",IF(ISNUMBER(G13),G13-TODAY(),"Check date"))</f>
        <v/>
      </c>
      <c r="K13" s="26">
        <f>IF(J13="","",IF(ISNUMBER(J13),IF(J13&lt;0,"Expired",IF(J13&lt;=30,"Due ≤30 days",IF(J13&lt;=90,"Due ≤90 days","OK"))),"Check date"))</f>
        <v/>
      </c>
      <c r="L13" s="21" t="n"/>
      <c r="M13" s="21" t="n"/>
      <c r="N13" s="21" t="n"/>
      <c r="O13" s="21" t="n"/>
      <c r="P13" s="21" t="n"/>
      <c r="Q13" s="21" t="n"/>
    </row>
    <row r="14">
      <c r="A14" s="21" t="n"/>
      <c r="B14" s="21" t="n"/>
      <c r="C14" s="21" t="n"/>
      <c r="D14" s="21" t="n"/>
      <c r="E14" s="22" t="n"/>
      <c r="F14" s="23" t="n"/>
      <c r="G14" s="24">
        <f>IF(AND(ISNUMBER(F14),ISNUMBER(E14)),EDATE(F14,E14),"")</f>
        <v/>
      </c>
      <c r="H14" s="22" t="n"/>
      <c r="I14" s="24">
        <f>IF(ISNUMBER(G14),G14-IF(ISNUMBER(H14),H14,30),"")</f>
        <v/>
      </c>
      <c r="J14" s="25">
        <f>IF(G14="","",IF(ISNUMBER(G14),G14-TODAY(),"Check date"))</f>
        <v/>
      </c>
      <c r="K14" s="26">
        <f>IF(J14="","",IF(ISNUMBER(J14),IF(J14&lt;0,"Expired",IF(J14&lt;=30,"Due ≤30 days",IF(J14&lt;=90,"Due ≤90 days","OK"))),"Check date"))</f>
        <v/>
      </c>
      <c r="L14" s="21" t="n"/>
      <c r="M14" s="21" t="n"/>
      <c r="N14" s="21" t="n"/>
      <c r="O14" s="21" t="n"/>
      <c r="P14" s="21" t="n"/>
      <c r="Q14" s="21" t="n"/>
    </row>
    <row r="15">
      <c r="A15" s="21" t="n"/>
      <c r="B15" s="21" t="n"/>
      <c r="C15" s="21" t="n"/>
      <c r="D15" s="21" t="n"/>
      <c r="E15" s="22" t="n"/>
      <c r="F15" s="23" t="n"/>
      <c r="G15" s="24">
        <f>IF(AND(ISNUMBER(F15),ISNUMBER(E15)),EDATE(F15,E15),"")</f>
        <v/>
      </c>
      <c r="H15" s="22" t="n"/>
      <c r="I15" s="24">
        <f>IF(ISNUMBER(G15),G15-IF(ISNUMBER(H15),H15,30),"")</f>
        <v/>
      </c>
      <c r="J15" s="25">
        <f>IF(G15="","",IF(ISNUMBER(G15),G15-TODAY(),"Check date"))</f>
        <v/>
      </c>
      <c r="K15" s="26">
        <f>IF(J15="","",IF(ISNUMBER(J15),IF(J15&lt;0,"Expired",IF(J15&lt;=30,"Due ≤30 days",IF(J15&lt;=90,"Due ≤90 days","OK"))),"Check date"))</f>
        <v/>
      </c>
      <c r="L15" s="21" t="n"/>
      <c r="M15" s="21" t="n"/>
      <c r="N15" s="21" t="n"/>
      <c r="O15" s="21" t="n"/>
      <c r="P15" s="21" t="n"/>
      <c r="Q15" s="21" t="n"/>
    </row>
    <row r="16">
      <c r="A16" s="21" t="n"/>
      <c r="B16" s="21" t="n"/>
      <c r="C16" s="21" t="n"/>
      <c r="D16" s="21" t="n"/>
      <c r="E16" s="22" t="n"/>
      <c r="F16" s="23" t="n"/>
      <c r="G16" s="24">
        <f>IF(AND(ISNUMBER(F16),ISNUMBER(E16)),EDATE(F16,E16),"")</f>
        <v/>
      </c>
      <c r="H16" s="22" t="n"/>
      <c r="I16" s="24">
        <f>IF(ISNUMBER(G16),G16-IF(ISNUMBER(H16),H16,30),"")</f>
        <v/>
      </c>
      <c r="J16" s="25">
        <f>IF(G16="","",IF(ISNUMBER(G16),G16-TODAY(),"Check date"))</f>
        <v/>
      </c>
      <c r="K16" s="26">
        <f>IF(J16="","",IF(ISNUMBER(J16),IF(J16&lt;0,"Expired",IF(J16&lt;=30,"Due ≤30 days",IF(J16&lt;=90,"Due ≤90 days","OK"))),"Check date"))</f>
        <v/>
      </c>
      <c r="L16" s="21" t="n"/>
      <c r="M16" s="21" t="n"/>
      <c r="N16" s="21" t="n"/>
      <c r="O16" s="21" t="n"/>
      <c r="P16" s="21" t="n"/>
      <c r="Q16" s="21" t="n"/>
    </row>
    <row r="17">
      <c r="A17" s="21" t="n"/>
      <c r="B17" s="21" t="n"/>
      <c r="C17" s="21" t="n"/>
      <c r="D17" s="21" t="n"/>
      <c r="E17" s="22" t="n"/>
      <c r="F17" s="23" t="n"/>
      <c r="G17" s="24">
        <f>IF(AND(ISNUMBER(F17),ISNUMBER(E17)),EDATE(F17,E17),"")</f>
        <v/>
      </c>
      <c r="H17" s="22" t="n"/>
      <c r="I17" s="24">
        <f>IF(ISNUMBER(G17),G17-IF(ISNUMBER(H17),H17,30),"")</f>
        <v/>
      </c>
      <c r="J17" s="25">
        <f>IF(G17="","",IF(ISNUMBER(G17),G17-TODAY(),"Check date"))</f>
        <v/>
      </c>
      <c r="K17" s="26">
        <f>IF(J17="","",IF(ISNUMBER(J17),IF(J17&lt;0,"Expired",IF(J17&lt;=30,"Due ≤30 days",IF(J17&lt;=90,"Due ≤90 days","OK"))),"Check date"))</f>
        <v/>
      </c>
      <c r="L17" s="21" t="n"/>
      <c r="M17" s="21" t="n"/>
      <c r="N17" s="21" t="n"/>
      <c r="O17" s="21" t="n"/>
      <c r="P17" s="21" t="n"/>
      <c r="Q17" s="21" t="n"/>
    </row>
    <row r="18">
      <c r="A18" s="21" t="n"/>
      <c r="B18" s="21" t="n"/>
      <c r="C18" s="21" t="n"/>
      <c r="D18" s="21" t="n"/>
      <c r="E18" s="22" t="n"/>
      <c r="F18" s="23" t="n"/>
      <c r="G18" s="24">
        <f>IF(AND(ISNUMBER(F18),ISNUMBER(E18)),EDATE(F18,E18),"")</f>
        <v/>
      </c>
      <c r="H18" s="22" t="n"/>
      <c r="I18" s="24">
        <f>IF(ISNUMBER(G18),G18-IF(ISNUMBER(H18),H18,30),"")</f>
        <v/>
      </c>
      <c r="J18" s="25">
        <f>IF(G18="","",IF(ISNUMBER(G18),G18-TODAY(),"Check date"))</f>
        <v/>
      </c>
      <c r="K18" s="26">
        <f>IF(J18="","",IF(ISNUMBER(J18),IF(J18&lt;0,"Expired",IF(J18&lt;=30,"Due ≤30 days",IF(J18&lt;=90,"Due ≤90 days","OK"))),"Check date"))</f>
        <v/>
      </c>
      <c r="L18" s="21" t="n"/>
      <c r="M18" s="21" t="n"/>
      <c r="N18" s="21" t="n"/>
      <c r="O18" s="21" t="n"/>
      <c r="P18" s="21" t="n"/>
      <c r="Q18" s="21" t="n"/>
    </row>
    <row r="19">
      <c r="A19" s="21" t="n"/>
      <c r="B19" s="21" t="n"/>
      <c r="C19" s="21" t="n"/>
      <c r="D19" s="21" t="n"/>
      <c r="E19" s="22" t="n"/>
      <c r="F19" s="23" t="n"/>
      <c r="G19" s="24">
        <f>IF(AND(ISNUMBER(F19),ISNUMBER(E19)),EDATE(F19,E19),"")</f>
        <v/>
      </c>
      <c r="H19" s="22" t="n"/>
      <c r="I19" s="24">
        <f>IF(ISNUMBER(G19),G19-IF(ISNUMBER(H19),H19,30),"")</f>
        <v/>
      </c>
      <c r="J19" s="25">
        <f>IF(G19="","",IF(ISNUMBER(G19),G19-TODAY(),"Check date"))</f>
        <v/>
      </c>
      <c r="K19" s="26">
        <f>IF(J19="","",IF(ISNUMBER(J19),IF(J19&lt;0,"Expired",IF(J19&lt;=30,"Due ≤30 days",IF(J19&lt;=90,"Due ≤90 days","OK"))),"Check date"))</f>
        <v/>
      </c>
      <c r="L19" s="21" t="n"/>
      <c r="M19" s="21" t="n"/>
      <c r="N19" s="21" t="n"/>
      <c r="O19" s="21" t="n"/>
      <c r="P19" s="21" t="n"/>
      <c r="Q19" s="21" t="n"/>
    </row>
    <row r="20">
      <c r="A20" s="21" t="n"/>
      <c r="B20" s="21" t="n"/>
      <c r="C20" s="21" t="n"/>
      <c r="D20" s="21" t="n"/>
      <c r="E20" s="22" t="n"/>
      <c r="F20" s="23" t="n"/>
      <c r="G20" s="24">
        <f>IF(AND(ISNUMBER(F20),ISNUMBER(E20)),EDATE(F20,E20),"")</f>
        <v/>
      </c>
      <c r="H20" s="22" t="n"/>
      <c r="I20" s="24">
        <f>IF(ISNUMBER(G20),G20-IF(ISNUMBER(H20),H20,30),"")</f>
        <v/>
      </c>
      <c r="J20" s="25">
        <f>IF(G20="","",IF(ISNUMBER(G20),G20-TODAY(),"Check date"))</f>
        <v/>
      </c>
      <c r="K20" s="26">
        <f>IF(J20="","",IF(ISNUMBER(J20),IF(J20&lt;0,"Expired",IF(J20&lt;=30,"Due ≤30 days",IF(J20&lt;=90,"Due ≤90 days","OK"))),"Check date"))</f>
        <v/>
      </c>
      <c r="L20" s="21" t="n"/>
      <c r="M20" s="21" t="n"/>
      <c r="N20" s="21" t="n"/>
      <c r="O20" s="21" t="n"/>
      <c r="P20" s="21" t="n"/>
      <c r="Q20" s="21" t="n"/>
    </row>
    <row r="21">
      <c r="A21" s="21" t="n"/>
      <c r="B21" s="21" t="n"/>
      <c r="C21" s="21" t="n"/>
      <c r="D21" s="21" t="n"/>
      <c r="E21" s="22" t="n"/>
      <c r="F21" s="23" t="n"/>
      <c r="G21" s="24">
        <f>IF(AND(ISNUMBER(F21),ISNUMBER(E21)),EDATE(F21,E21),"")</f>
        <v/>
      </c>
      <c r="H21" s="22" t="n"/>
      <c r="I21" s="24">
        <f>IF(ISNUMBER(G21),G21-IF(ISNUMBER(H21),H21,30),"")</f>
        <v/>
      </c>
      <c r="J21" s="25">
        <f>IF(G21="","",IF(ISNUMBER(G21),G21-TODAY(),"Check date"))</f>
        <v/>
      </c>
      <c r="K21" s="26">
        <f>IF(J21="","",IF(ISNUMBER(J21),IF(J21&lt;0,"Expired",IF(J21&lt;=30,"Due ≤30 days",IF(J21&lt;=90,"Due ≤90 days","OK"))),"Check date"))</f>
        <v/>
      </c>
      <c r="L21" s="21" t="n"/>
      <c r="M21" s="21" t="n"/>
      <c r="N21" s="21" t="n"/>
      <c r="O21" s="21" t="n"/>
      <c r="P21" s="21" t="n"/>
      <c r="Q21" s="21" t="n"/>
    </row>
    <row r="22">
      <c r="A22" s="21" t="n"/>
      <c r="B22" s="21" t="n"/>
      <c r="C22" s="21" t="n"/>
      <c r="D22" s="21" t="n"/>
      <c r="E22" s="22" t="n"/>
      <c r="F22" s="23" t="n"/>
      <c r="G22" s="24">
        <f>IF(AND(ISNUMBER(F22),ISNUMBER(E22)),EDATE(F22,E22),"")</f>
        <v/>
      </c>
      <c r="H22" s="22" t="n"/>
      <c r="I22" s="24">
        <f>IF(ISNUMBER(G22),G22-IF(ISNUMBER(H22),H22,30),"")</f>
        <v/>
      </c>
      <c r="J22" s="25">
        <f>IF(G22="","",IF(ISNUMBER(G22),G22-TODAY(),"Check date"))</f>
        <v/>
      </c>
      <c r="K22" s="26">
        <f>IF(J22="","",IF(ISNUMBER(J22),IF(J22&lt;0,"Expired",IF(J22&lt;=30,"Due ≤30 days",IF(J22&lt;=90,"Due ≤90 days","OK"))),"Check date"))</f>
        <v/>
      </c>
      <c r="L22" s="21" t="n"/>
      <c r="M22" s="21" t="n"/>
      <c r="N22" s="21" t="n"/>
      <c r="O22" s="21" t="n"/>
      <c r="P22" s="21" t="n"/>
      <c r="Q22" s="21" t="n"/>
    </row>
    <row r="23">
      <c r="A23" s="21" t="n"/>
      <c r="B23" s="21" t="n"/>
      <c r="C23" s="21" t="n"/>
      <c r="D23" s="21" t="n"/>
      <c r="E23" s="22" t="n"/>
      <c r="F23" s="23" t="n"/>
      <c r="G23" s="24">
        <f>IF(AND(ISNUMBER(F23),ISNUMBER(E23)),EDATE(F23,E23),"")</f>
        <v/>
      </c>
      <c r="H23" s="22" t="n"/>
      <c r="I23" s="24">
        <f>IF(ISNUMBER(G23),G23-IF(ISNUMBER(H23),H23,30),"")</f>
        <v/>
      </c>
      <c r="J23" s="25">
        <f>IF(G23="","",IF(ISNUMBER(G23),G23-TODAY(),"Check date"))</f>
        <v/>
      </c>
      <c r="K23" s="26">
        <f>IF(J23="","",IF(ISNUMBER(J23),IF(J23&lt;0,"Expired",IF(J23&lt;=30,"Due ≤30 days",IF(J23&lt;=90,"Due ≤90 days","OK"))),"Check date"))</f>
        <v/>
      </c>
      <c r="L23" s="21" t="n"/>
      <c r="M23" s="21" t="n"/>
      <c r="N23" s="21" t="n"/>
      <c r="O23" s="21" t="n"/>
      <c r="P23" s="21" t="n"/>
      <c r="Q23" s="21" t="n"/>
    </row>
    <row r="24">
      <c r="A24" s="21" t="n"/>
      <c r="B24" s="21" t="n"/>
      <c r="C24" s="21" t="n"/>
      <c r="D24" s="21" t="n"/>
      <c r="E24" s="22" t="n"/>
      <c r="F24" s="23" t="n"/>
      <c r="G24" s="24">
        <f>IF(AND(ISNUMBER(F24),ISNUMBER(E24)),EDATE(F24,E24),"")</f>
        <v/>
      </c>
      <c r="H24" s="22" t="n"/>
      <c r="I24" s="24">
        <f>IF(ISNUMBER(G24),G24-IF(ISNUMBER(H24),H24,30),"")</f>
        <v/>
      </c>
      <c r="J24" s="25">
        <f>IF(G24="","",IF(ISNUMBER(G24),G24-TODAY(),"Check date"))</f>
        <v/>
      </c>
      <c r="K24" s="26">
        <f>IF(J24="","",IF(ISNUMBER(J24),IF(J24&lt;0,"Expired",IF(J24&lt;=30,"Due ≤30 days",IF(J24&lt;=90,"Due ≤90 days","OK"))),"Check date"))</f>
        <v/>
      </c>
      <c r="L24" s="21" t="n"/>
      <c r="M24" s="21" t="n"/>
      <c r="N24" s="21" t="n"/>
      <c r="O24" s="21" t="n"/>
      <c r="P24" s="21" t="n"/>
      <c r="Q24" s="21" t="n"/>
    </row>
    <row r="25">
      <c r="A25" s="21" t="n"/>
      <c r="B25" s="21" t="n"/>
      <c r="C25" s="21" t="n"/>
      <c r="D25" s="21" t="n"/>
      <c r="E25" s="22" t="n"/>
      <c r="F25" s="23" t="n"/>
      <c r="G25" s="24">
        <f>IF(AND(ISNUMBER(F25),ISNUMBER(E25)),EDATE(F25,E25),"")</f>
        <v/>
      </c>
      <c r="H25" s="22" t="n"/>
      <c r="I25" s="24">
        <f>IF(ISNUMBER(G25),G25-IF(ISNUMBER(H25),H25,30),"")</f>
        <v/>
      </c>
      <c r="J25" s="25">
        <f>IF(G25="","",IF(ISNUMBER(G25),G25-TODAY(),"Check date"))</f>
        <v/>
      </c>
      <c r="K25" s="26">
        <f>IF(J25="","",IF(ISNUMBER(J25),IF(J25&lt;0,"Expired",IF(J25&lt;=30,"Due ≤30 days",IF(J25&lt;=90,"Due ≤90 days","OK"))),"Check date"))</f>
        <v/>
      </c>
      <c r="L25" s="21" t="n"/>
      <c r="M25" s="21" t="n"/>
      <c r="N25" s="21" t="n"/>
      <c r="O25" s="21" t="n"/>
      <c r="P25" s="21" t="n"/>
      <c r="Q25" s="21" t="n"/>
    </row>
    <row r="26">
      <c r="A26" s="21" t="n"/>
      <c r="B26" s="21" t="n"/>
      <c r="C26" s="21" t="n"/>
      <c r="D26" s="21" t="n"/>
      <c r="E26" s="22" t="n"/>
      <c r="F26" s="23" t="n"/>
      <c r="G26" s="24">
        <f>IF(AND(ISNUMBER(F26),ISNUMBER(E26)),EDATE(F26,E26),"")</f>
        <v/>
      </c>
      <c r="H26" s="22" t="n"/>
      <c r="I26" s="24">
        <f>IF(ISNUMBER(G26),G26-IF(ISNUMBER(H26),H26,30),"")</f>
        <v/>
      </c>
      <c r="J26" s="25">
        <f>IF(G26="","",IF(ISNUMBER(G26),G26-TODAY(),"Check date"))</f>
        <v/>
      </c>
      <c r="K26" s="26">
        <f>IF(J26="","",IF(ISNUMBER(J26),IF(J26&lt;0,"Expired",IF(J26&lt;=30,"Due ≤30 days",IF(J26&lt;=90,"Due ≤90 days","OK"))),"Check date"))</f>
        <v/>
      </c>
      <c r="L26" s="21" t="n"/>
      <c r="M26" s="21" t="n"/>
      <c r="N26" s="21" t="n"/>
      <c r="O26" s="21" t="n"/>
      <c r="P26" s="21" t="n"/>
      <c r="Q26" s="21" t="n"/>
    </row>
    <row r="27">
      <c r="A27" s="21" t="n"/>
      <c r="B27" s="21" t="n"/>
      <c r="C27" s="21" t="n"/>
      <c r="D27" s="21" t="n"/>
      <c r="E27" s="22" t="n"/>
      <c r="F27" s="23" t="n"/>
      <c r="G27" s="24">
        <f>IF(AND(ISNUMBER(F27),ISNUMBER(E27)),EDATE(F27,E27),"")</f>
        <v/>
      </c>
      <c r="H27" s="22" t="n"/>
      <c r="I27" s="24">
        <f>IF(ISNUMBER(G27),G27-IF(ISNUMBER(H27),H27,30),"")</f>
        <v/>
      </c>
      <c r="J27" s="25">
        <f>IF(G27="","",IF(ISNUMBER(G27),G27-TODAY(),"Check date"))</f>
        <v/>
      </c>
      <c r="K27" s="26">
        <f>IF(J27="","",IF(ISNUMBER(J27),IF(J27&lt;0,"Expired",IF(J27&lt;=30,"Due ≤30 days",IF(J27&lt;=90,"Due ≤90 days","OK"))),"Check date"))</f>
        <v/>
      </c>
      <c r="L27" s="21" t="n"/>
      <c r="M27" s="21" t="n"/>
      <c r="N27" s="21" t="n"/>
      <c r="O27" s="21" t="n"/>
      <c r="P27" s="21" t="n"/>
      <c r="Q27" s="21" t="n"/>
    </row>
    <row r="28">
      <c r="A28" s="21" t="n"/>
      <c r="B28" s="21" t="n"/>
      <c r="C28" s="21" t="n"/>
      <c r="D28" s="21" t="n"/>
      <c r="E28" s="22" t="n"/>
      <c r="F28" s="23" t="n"/>
      <c r="G28" s="24">
        <f>IF(AND(ISNUMBER(F28),ISNUMBER(E28)),EDATE(F28,E28),"")</f>
        <v/>
      </c>
      <c r="H28" s="22" t="n"/>
      <c r="I28" s="24">
        <f>IF(ISNUMBER(G28),G28-IF(ISNUMBER(H28),H28,30),"")</f>
        <v/>
      </c>
      <c r="J28" s="25">
        <f>IF(G28="","",IF(ISNUMBER(G28),G28-TODAY(),"Check date"))</f>
        <v/>
      </c>
      <c r="K28" s="26">
        <f>IF(J28="","",IF(ISNUMBER(J28),IF(J28&lt;0,"Expired",IF(J28&lt;=30,"Due ≤30 days",IF(J28&lt;=90,"Due ≤90 days","OK"))),"Check date"))</f>
        <v/>
      </c>
      <c r="L28" s="21" t="n"/>
      <c r="M28" s="21" t="n"/>
      <c r="N28" s="21" t="n"/>
      <c r="O28" s="21" t="n"/>
      <c r="P28" s="21" t="n"/>
      <c r="Q28" s="21" t="n"/>
    </row>
    <row r="29">
      <c r="A29" s="21" t="n"/>
      <c r="B29" s="21" t="n"/>
      <c r="C29" s="21" t="n"/>
      <c r="D29" s="21" t="n"/>
      <c r="E29" s="22" t="n"/>
      <c r="F29" s="23" t="n"/>
      <c r="G29" s="24">
        <f>IF(AND(ISNUMBER(F29),ISNUMBER(E29)),EDATE(F29,E29),"")</f>
        <v/>
      </c>
      <c r="H29" s="22" t="n"/>
      <c r="I29" s="24">
        <f>IF(ISNUMBER(G29),G29-IF(ISNUMBER(H29),H29,30),"")</f>
        <v/>
      </c>
      <c r="J29" s="25">
        <f>IF(G29="","",IF(ISNUMBER(G29),G29-TODAY(),"Check date"))</f>
        <v/>
      </c>
      <c r="K29" s="26">
        <f>IF(J29="","",IF(ISNUMBER(J29),IF(J29&lt;0,"Expired",IF(J29&lt;=30,"Due ≤30 days",IF(J29&lt;=90,"Due ≤90 days","OK"))),"Check date"))</f>
        <v/>
      </c>
      <c r="L29" s="21" t="n"/>
      <c r="M29" s="21" t="n"/>
      <c r="N29" s="21" t="n"/>
      <c r="O29" s="21" t="n"/>
      <c r="P29" s="21" t="n"/>
      <c r="Q29" s="21" t="n"/>
    </row>
    <row r="30">
      <c r="A30" s="21" t="n"/>
      <c r="B30" s="21" t="n"/>
      <c r="C30" s="21" t="n"/>
      <c r="D30" s="21" t="n"/>
      <c r="E30" s="22" t="n"/>
      <c r="F30" s="23" t="n"/>
      <c r="G30" s="24">
        <f>IF(AND(ISNUMBER(F30),ISNUMBER(E30)),EDATE(F30,E30),"")</f>
        <v/>
      </c>
      <c r="H30" s="22" t="n"/>
      <c r="I30" s="24">
        <f>IF(ISNUMBER(G30),G30-IF(ISNUMBER(H30),H30,30),"")</f>
        <v/>
      </c>
      <c r="J30" s="25">
        <f>IF(G30="","",IF(ISNUMBER(G30),G30-TODAY(),"Check date"))</f>
        <v/>
      </c>
      <c r="K30" s="26">
        <f>IF(J30="","",IF(ISNUMBER(J30),IF(J30&lt;0,"Expired",IF(J30&lt;=30,"Due ≤30 days",IF(J30&lt;=90,"Due ≤90 days","OK"))),"Check date"))</f>
        <v/>
      </c>
      <c r="L30" s="21" t="n"/>
      <c r="M30" s="21" t="n"/>
      <c r="N30" s="21" t="n"/>
      <c r="O30" s="21" t="n"/>
      <c r="P30" s="21" t="n"/>
      <c r="Q30" s="21" t="n"/>
    </row>
    <row r="31">
      <c r="A31" s="21" t="n"/>
      <c r="B31" s="21" t="n"/>
      <c r="C31" s="21" t="n"/>
      <c r="D31" s="21" t="n"/>
      <c r="E31" s="22" t="n"/>
      <c r="F31" s="23" t="n"/>
      <c r="G31" s="24">
        <f>IF(AND(ISNUMBER(F31),ISNUMBER(E31)),EDATE(F31,E31),"")</f>
        <v/>
      </c>
      <c r="H31" s="22" t="n"/>
      <c r="I31" s="24">
        <f>IF(ISNUMBER(G31),G31-IF(ISNUMBER(H31),H31,30),"")</f>
        <v/>
      </c>
      <c r="J31" s="25">
        <f>IF(G31="","",IF(ISNUMBER(G31),G31-TODAY(),"Check date"))</f>
        <v/>
      </c>
      <c r="K31" s="26">
        <f>IF(J31="","",IF(ISNUMBER(J31),IF(J31&lt;0,"Expired",IF(J31&lt;=30,"Due ≤30 days",IF(J31&lt;=90,"Due ≤90 days","OK"))),"Check date"))</f>
        <v/>
      </c>
      <c r="L31" s="21" t="n"/>
      <c r="M31" s="21" t="n"/>
      <c r="N31" s="21" t="n"/>
      <c r="O31" s="21" t="n"/>
      <c r="P31" s="21" t="n"/>
      <c r="Q31" s="21" t="n"/>
    </row>
    <row r="32">
      <c r="A32" s="21" t="n"/>
      <c r="B32" s="21" t="n"/>
      <c r="C32" s="21" t="n"/>
      <c r="D32" s="21" t="n"/>
      <c r="E32" s="22" t="n"/>
      <c r="F32" s="23" t="n"/>
      <c r="G32" s="24">
        <f>IF(AND(ISNUMBER(F32),ISNUMBER(E32)),EDATE(F32,E32),"")</f>
        <v/>
      </c>
      <c r="H32" s="22" t="n"/>
      <c r="I32" s="24">
        <f>IF(ISNUMBER(G32),G32-IF(ISNUMBER(H32),H32,30),"")</f>
        <v/>
      </c>
      <c r="J32" s="25">
        <f>IF(G32="","",IF(ISNUMBER(G32),G32-TODAY(),"Check date"))</f>
        <v/>
      </c>
      <c r="K32" s="26">
        <f>IF(J32="","",IF(ISNUMBER(J32),IF(J32&lt;0,"Expired",IF(J32&lt;=30,"Due ≤30 days",IF(J32&lt;=90,"Due ≤90 days","OK"))),"Check date"))</f>
        <v/>
      </c>
      <c r="L32" s="21" t="n"/>
      <c r="M32" s="21" t="n"/>
      <c r="N32" s="21" t="n"/>
      <c r="O32" s="21" t="n"/>
      <c r="P32" s="21" t="n"/>
      <c r="Q32" s="21" t="n"/>
    </row>
    <row r="33">
      <c r="A33" s="21" t="n"/>
      <c r="B33" s="21" t="n"/>
      <c r="C33" s="21" t="n"/>
      <c r="D33" s="21" t="n"/>
      <c r="E33" s="22" t="n"/>
      <c r="F33" s="23" t="n"/>
      <c r="G33" s="24">
        <f>IF(AND(ISNUMBER(F33),ISNUMBER(E33)),EDATE(F33,E33),"")</f>
        <v/>
      </c>
      <c r="H33" s="22" t="n"/>
      <c r="I33" s="24">
        <f>IF(ISNUMBER(G33),G33-IF(ISNUMBER(H33),H33,30),"")</f>
        <v/>
      </c>
      <c r="J33" s="25">
        <f>IF(G33="","",IF(ISNUMBER(G33),G33-TODAY(),"Check date"))</f>
        <v/>
      </c>
      <c r="K33" s="26">
        <f>IF(J33="","",IF(ISNUMBER(J33),IF(J33&lt;0,"Expired",IF(J33&lt;=30,"Due ≤30 days",IF(J33&lt;=90,"Due ≤90 days","OK"))),"Check date"))</f>
        <v/>
      </c>
      <c r="L33" s="21" t="n"/>
      <c r="M33" s="21" t="n"/>
      <c r="N33" s="21" t="n"/>
      <c r="O33" s="21" t="n"/>
      <c r="P33" s="21" t="n"/>
      <c r="Q33" s="21" t="n"/>
    </row>
    <row r="34">
      <c r="A34" s="21" t="n"/>
      <c r="B34" s="21" t="n"/>
      <c r="C34" s="21" t="n"/>
      <c r="D34" s="21" t="n"/>
      <c r="E34" s="22" t="n"/>
      <c r="F34" s="23" t="n"/>
      <c r="G34" s="24">
        <f>IF(AND(ISNUMBER(F34),ISNUMBER(E34)),EDATE(F34,E34),"")</f>
        <v/>
      </c>
      <c r="H34" s="22" t="n"/>
      <c r="I34" s="24">
        <f>IF(ISNUMBER(G34),G34-IF(ISNUMBER(H34),H34,30),"")</f>
        <v/>
      </c>
      <c r="J34" s="25">
        <f>IF(G34="","",IF(ISNUMBER(G34),G34-TODAY(),"Check date"))</f>
        <v/>
      </c>
      <c r="K34" s="26">
        <f>IF(J34="","",IF(ISNUMBER(J34),IF(J34&lt;0,"Expired",IF(J34&lt;=30,"Due ≤30 days",IF(J34&lt;=90,"Due ≤90 days","OK"))),"Check date"))</f>
        <v/>
      </c>
      <c r="L34" s="21" t="n"/>
      <c r="M34" s="21" t="n"/>
      <c r="N34" s="21" t="n"/>
      <c r="O34" s="21" t="n"/>
      <c r="P34" s="21" t="n"/>
      <c r="Q34" s="21" t="n"/>
    </row>
    <row r="35">
      <c r="A35" s="21" t="n"/>
      <c r="B35" s="21" t="n"/>
      <c r="C35" s="21" t="n"/>
      <c r="D35" s="21" t="n"/>
      <c r="E35" s="22" t="n"/>
      <c r="F35" s="23" t="n"/>
      <c r="G35" s="24">
        <f>IF(AND(ISNUMBER(F35),ISNUMBER(E35)),EDATE(F35,E35),"")</f>
        <v/>
      </c>
      <c r="H35" s="22" t="n"/>
      <c r="I35" s="24">
        <f>IF(ISNUMBER(G35),G35-IF(ISNUMBER(H35),H35,30),"")</f>
        <v/>
      </c>
      <c r="J35" s="25">
        <f>IF(G35="","",IF(ISNUMBER(G35),G35-TODAY(),"Check date"))</f>
        <v/>
      </c>
      <c r="K35" s="26">
        <f>IF(J35="","",IF(ISNUMBER(J35),IF(J35&lt;0,"Expired",IF(J35&lt;=30,"Due ≤30 days",IF(J35&lt;=90,"Due ≤90 days","OK"))),"Check date"))</f>
        <v/>
      </c>
      <c r="L35" s="21" t="n"/>
      <c r="M35" s="21" t="n"/>
      <c r="N35" s="21" t="n"/>
      <c r="O35" s="21" t="n"/>
      <c r="P35" s="21" t="n"/>
      <c r="Q35" s="21" t="n"/>
    </row>
    <row r="36">
      <c r="A36" s="21" t="n"/>
      <c r="B36" s="21" t="n"/>
      <c r="C36" s="21" t="n"/>
      <c r="D36" s="21" t="n"/>
      <c r="E36" s="22" t="n"/>
      <c r="F36" s="23" t="n"/>
      <c r="G36" s="24">
        <f>IF(AND(ISNUMBER(F36),ISNUMBER(E36)),EDATE(F36,E36),"")</f>
        <v/>
      </c>
      <c r="H36" s="22" t="n"/>
      <c r="I36" s="24">
        <f>IF(ISNUMBER(G36),G36-IF(ISNUMBER(H36),H36,30),"")</f>
        <v/>
      </c>
      <c r="J36" s="25">
        <f>IF(G36="","",IF(ISNUMBER(G36),G36-TODAY(),"Check date"))</f>
        <v/>
      </c>
      <c r="K36" s="26">
        <f>IF(J36="","",IF(ISNUMBER(J36),IF(J36&lt;0,"Expired",IF(J36&lt;=30,"Due ≤30 days",IF(J36&lt;=90,"Due ≤90 days","OK"))),"Check date"))</f>
        <v/>
      </c>
      <c r="L36" s="21" t="n"/>
      <c r="M36" s="21" t="n"/>
      <c r="N36" s="21" t="n"/>
      <c r="O36" s="21" t="n"/>
      <c r="P36" s="21" t="n"/>
      <c r="Q36" s="21" t="n"/>
    </row>
    <row r="37">
      <c r="A37" s="21" t="n"/>
      <c r="B37" s="21" t="n"/>
      <c r="C37" s="21" t="n"/>
      <c r="D37" s="21" t="n"/>
      <c r="E37" s="22" t="n"/>
      <c r="F37" s="23" t="n"/>
      <c r="G37" s="24">
        <f>IF(AND(ISNUMBER(F37),ISNUMBER(E37)),EDATE(F37,E37),"")</f>
        <v/>
      </c>
      <c r="H37" s="22" t="n"/>
      <c r="I37" s="24">
        <f>IF(ISNUMBER(G37),G37-IF(ISNUMBER(H37),H37,30),"")</f>
        <v/>
      </c>
      <c r="J37" s="25">
        <f>IF(G37="","",IF(ISNUMBER(G37),G37-TODAY(),"Check date"))</f>
        <v/>
      </c>
      <c r="K37" s="26">
        <f>IF(J37="","",IF(ISNUMBER(J37),IF(J37&lt;0,"Expired",IF(J37&lt;=30,"Due ≤30 days",IF(J37&lt;=90,"Due ≤90 days","OK"))),"Check date"))</f>
        <v/>
      </c>
      <c r="L37" s="21" t="n"/>
      <c r="M37" s="21" t="n"/>
      <c r="N37" s="21" t="n"/>
      <c r="O37" s="21" t="n"/>
      <c r="P37" s="21" t="n"/>
      <c r="Q37" s="21" t="n"/>
    </row>
    <row r="38">
      <c r="A38" s="21" t="n"/>
      <c r="B38" s="21" t="n"/>
      <c r="C38" s="21" t="n"/>
      <c r="D38" s="21" t="n"/>
      <c r="E38" s="22" t="n"/>
      <c r="F38" s="23" t="n"/>
      <c r="G38" s="24">
        <f>IF(AND(ISNUMBER(F38),ISNUMBER(E38)),EDATE(F38,E38),"")</f>
        <v/>
      </c>
      <c r="H38" s="22" t="n"/>
      <c r="I38" s="24">
        <f>IF(ISNUMBER(G38),G38-IF(ISNUMBER(H38),H38,30),"")</f>
        <v/>
      </c>
      <c r="J38" s="25">
        <f>IF(G38="","",IF(ISNUMBER(G38),G38-TODAY(),"Check date"))</f>
        <v/>
      </c>
      <c r="K38" s="26">
        <f>IF(J38="","",IF(ISNUMBER(J38),IF(J38&lt;0,"Expired",IF(J38&lt;=30,"Due ≤30 days",IF(J38&lt;=90,"Due ≤90 days","OK"))),"Check date"))</f>
        <v/>
      </c>
      <c r="L38" s="21" t="n"/>
      <c r="M38" s="21" t="n"/>
      <c r="N38" s="21" t="n"/>
      <c r="O38" s="21" t="n"/>
      <c r="P38" s="21" t="n"/>
      <c r="Q38" s="21" t="n"/>
    </row>
    <row r="39">
      <c r="A39" s="21" t="n"/>
      <c r="B39" s="21" t="n"/>
      <c r="C39" s="21" t="n"/>
      <c r="D39" s="21" t="n"/>
      <c r="E39" s="22" t="n"/>
      <c r="F39" s="23" t="n"/>
      <c r="G39" s="24">
        <f>IF(AND(ISNUMBER(F39),ISNUMBER(E39)),EDATE(F39,E39),"")</f>
        <v/>
      </c>
      <c r="H39" s="22" t="n"/>
      <c r="I39" s="24">
        <f>IF(ISNUMBER(G39),G39-IF(ISNUMBER(H39),H39,30),"")</f>
        <v/>
      </c>
      <c r="J39" s="25">
        <f>IF(G39="","",IF(ISNUMBER(G39),G39-TODAY(),"Check date"))</f>
        <v/>
      </c>
      <c r="K39" s="26">
        <f>IF(J39="","",IF(ISNUMBER(J39),IF(J39&lt;0,"Expired",IF(J39&lt;=30,"Due ≤30 days",IF(J39&lt;=90,"Due ≤90 days","OK"))),"Check date"))</f>
        <v/>
      </c>
      <c r="L39" s="21" t="n"/>
      <c r="M39" s="21" t="n"/>
      <c r="N39" s="21" t="n"/>
      <c r="O39" s="21" t="n"/>
      <c r="P39" s="21" t="n"/>
      <c r="Q39" s="21" t="n"/>
    </row>
    <row r="40">
      <c r="A40" s="21" t="n"/>
      <c r="B40" s="21" t="n"/>
      <c r="C40" s="21" t="n"/>
      <c r="D40" s="21" t="n"/>
      <c r="E40" s="22" t="n"/>
      <c r="F40" s="23" t="n"/>
      <c r="G40" s="24">
        <f>IF(AND(ISNUMBER(F40),ISNUMBER(E40)),EDATE(F40,E40),"")</f>
        <v/>
      </c>
      <c r="H40" s="22" t="n"/>
      <c r="I40" s="24">
        <f>IF(ISNUMBER(G40),G40-IF(ISNUMBER(H40),H40,30),"")</f>
        <v/>
      </c>
      <c r="J40" s="25">
        <f>IF(G40="","",IF(ISNUMBER(G40),G40-TODAY(),"Check date"))</f>
        <v/>
      </c>
      <c r="K40" s="26">
        <f>IF(J40="","",IF(ISNUMBER(J40),IF(J40&lt;0,"Expired",IF(J40&lt;=30,"Due ≤30 days",IF(J40&lt;=90,"Due ≤90 days","OK"))),"Check date"))</f>
        <v/>
      </c>
      <c r="L40" s="21" t="n"/>
      <c r="M40" s="21" t="n"/>
      <c r="N40" s="21" t="n"/>
      <c r="O40" s="21" t="n"/>
      <c r="P40" s="21" t="n"/>
      <c r="Q40" s="21" t="n"/>
    </row>
    <row r="41">
      <c r="A41" s="21" t="n"/>
      <c r="B41" s="21" t="n"/>
      <c r="C41" s="21" t="n"/>
      <c r="D41" s="21" t="n"/>
      <c r="E41" s="22" t="n"/>
      <c r="F41" s="23" t="n"/>
      <c r="G41" s="24">
        <f>IF(AND(ISNUMBER(F41),ISNUMBER(E41)),EDATE(F41,E41),"")</f>
        <v/>
      </c>
      <c r="H41" s="22" t="n"/>
      <c r="I41" s="24">
        <f>IF(ISNUMBER(G41),G41-IF(ISNUMBER(H41),H41,30),"")</f>
        <v/>
      </c>
      <c r="J41" s="25">
        <f>IF(G41="","",IF(ISNUMBER(G41),G41-TODAY(),"Check date"))</f>
        <v/>
      </c>
      <c r="K41" s="26">
        <f>IF(J41="","",IF(ISNUMBER(J41),IF(J41&lt;0,"Expired",IF(J41&lt;=30,"Due ≤30 days",IF(J41&lt;=90,"Due ≤90 days","OK"))),"Check date"))</f>
        <v/>
      </c>
      <c r="L41" s="21" t="n"/>
      <c r="M41" s="21" t="n"/>
      <c r="N41" s="21" t="n"/>
      <c r="O41" s="21" t="n"/>
      <c r="P41" s="21" t="n"/>
      <c r="Q41" s="21" t="n"/>
    </row>
    <row r="42">
      <c r="A42" s="21" t="n"/>
      <c r="B42" s="21" t="n"/>
      <c r="C42" s="21" t="n"/>
      <c r="D42" s="21" t="n"/>
      <c r="E42" s="22" t="n"/>
      <c r="F42" s="23" t="n"/>
      <c r="G42" s="24">
        <f>IF(AND(ISNUMBER(F42),ISNUMBER(E42)),EDATE(F42,E42),"")</f>
        <v/>
      </c>
      <c r="H42" s="22" t="n"/>
      <c r="I42" s="24">
        <f>IF(ISNUMBER(G42),G42-IF(ISNUMBER(H42),H42,30),"")</f>
        <v/>
      </c>
      <c r="J42" s="25">
        <f>IF(G42="","",IF(ISNUMBER(G42),G42-TODAY(),"Check date"))</f>
        <v/>
      </c>
      <c r="K42" s="26">
        <f>IF(J42="","",IF(ISNUMBER(J42),IF(J42&lt;0,"Expired",IF(J42&lt;=30,"Due ≤30 days",IF(J42&lt;=90,"Due ≤90 days","OK"))),"Check date"))</f>
        <v/>
      </c>
      <c r="L42" s="21" t="n"/>
      <c r="M42" s="21" t="n"/>
      <c r="N42" s="21" t="n"/>
      <c r="O42" s="21" t="n"/>
      <c r="P42" s="21" t="n"/>
      <c r="Q42" s="21" t="n"/>
    </row>
    <row r="43">
      <c r="A43" s="21" t="n"/>
      <c r="B43" s="21" t="n"/>
      <c r="C43" s="21" t="n"/>
      <c r="D43" s="21" t="n"/>
      <c r="E43" s="22" t="n"/>
      <c r="F43" s="23" t="n"/>
      <c r="G43" s="24">
        <f>IF(AND(ISNUMBER(F43),ISNUMBER(E43)),EDATE(F43,E43),"")</f>
        <v/>
      </c>
      <c r="H43" s="22" t="n"/>
      <c r="I43" s="24">
        <f>IF(ISNUMBER(G43),G43-IF(ISNUMBER(H43),H43,30),"")</f>
        <v/>
      </c>
      <c r="J43" s="25">
        <f>IF(G43="","",IF(ISNUMBER(G43),G43-TODAY(),"Check date"))</f>
        <v/>
      </c>
      <c r="K43" s="26">
        <f>IF(J43="","",IF(ISNUMBER(J43),IF(J43&lt;0,"Expired",IF(J43&lt;=30,"Due ≤30 days",IF(J43&lt;=90,"Due ≤90 days","OK"))),"Check date"))</f>
        <v/>
      </c>
      <c r="L43" s="21" t="n"/>
      <c r="M43" s="21" t="n"/>
      <c r="N43" s="21" t="n"/>
      <c r="O43" s="21" t="n"/>
      <c r="P43" s="21" t="n"/>
      <c r="Q43" s="21" t="n"/>
    </row>
    <row r="44">
      <c r="A44" s="21" t="n"/>
      <c r="B44" s="21" t="n"/>
      <c r="C44" s="21" t="n"/>
      <c r="D44" s="21" t="n"/>
      <c r="E44" s="22" t="n"/>
      <c r="F44" s="23" t="n"/>
      <c r="G44" s="24">
        <f>IF(AND(ISNUMBER(F44),ISNUMBER(E44)),EDATE(F44,E44),"")</f>
        <v/>
      </c>
      <c r="H44" s="22" t="n"/>
      <c r="I44" s="24">
        <f>IF(ISNUMBER(G44),G44-IF(ISNUMBER(H44),H44,30),"")</f>
        <v/>
      </c>
      <c r="J44" s="25">
        <f>IF(G44="","",IF(ISNUMBER(G44),G44-TODAY(),"Check date"))</f>
        <v/>
      </c>
      <c r="K44" s="26">
        <f>IF(J44="","",IF(ISNUMBER(J44),IF(J44&lt;0,"Expired",IF(J44&lt;=30,"Due ≤30 days",IF(J44&lt;=90,"Due ≤90 days","OK"))),"Check date"))</f>
        <v/>
      </c>
      <c r="L44" s="21" t="n"/>
      <c r="M44" s="21" t="n"/>
      <c r="N44" s="21" t="n"/>
      <c r="O44" s="21" t="n"/>
      <c r="P44" s="21" t="n"/>
      <c r="Q44" s="21" t="n"/>
    </row>
    <row r="45">
      <c r="A45" s="21" t="n"/>
      <c r="B45" s="21" t="n"/>
      <c r="C45" s="21" t="n"/>
      <c r="D45" s="21" t="n"/>
      <c r="E45" s="22" t="n"/>
      <c r="F45" s="23" t="n"/>
      <c r="G45" s="24">
        <f>IF(AND(ISNUMBER(F45),ISNUMBER(E45)),EDATE(F45,E45),"")</f>
        <v/>
      </c>
      <c r="H45" s="22" t="n"/>
      <c r="I45" s="24">
        <f>IF(ISNUMBER(G45),G45-IF(ISNUMBER(H45),H45,30),"")</f>
        <v/>
      </c>
      <c r="J45" s="25">
        <f>IF(G45="","",IF(ISNUMBER(G45),G45-TODAY(),"Check date"))</f>
        <v/>
      </c>
      <c r="K45" s="26">
        <f>IF(J45="","",IF(ISNUMBER(J45),IF(J45&lt;0,"Expired",IF(J45&lt;=30,"Due ≤30 days",IF(J45&lt;=90,"Due ≤90 days","OK"))),"Check date"))</f>
        <v/>
      </c>
      <c r="L45" s="21" t="n"/>
      <c r="M45" s="21" t="n"/>
      <c r="N45" s="21" t="n"/>
      <c r="O45" s="21" t="n"/>
      <c r="P45" s="21" t="n"/>
      <c r="Q45" s="21" t="n"/>
    </row>
    <row r="46">
      <c r="A46" s="21" t="n"/>
      <c r="B46" s="21" t="n"/>
      <c r="C46" s="21" t="n"/>
      <c r="D46" s="21" t="n"/>
      <c r="E46" s="22" t="n"/>
      <c r="F46" s="23" t="n"/>
      <c r="G46" s="24">
        <f>IF(AND(ISNUMBER(F46),ISNUMBER(E46)),EDATE(F46,E46),"")</f>
        <v/>
      </c>
      <c r="H46" s="22" t="n"/>
      <c r="I46" s="24">
        <f>IF(ISNUMBER(G46),G46-IF(ISNUMBER(H46),H46,30),"")</f>
        <v/>
      </c>
      <c r="J46" s="25">
        <f>IF(G46="","",IF(ISNUMBER(G46),G46-TODAY(),"Check date"))</f>
        <v/>
      </c>
      <c r="K46" s="26">
        <f>IF(J46="","",IF(ISNUMBER(J46),IF(J46&lt;0,"Expired",IF(J46&lt;=30,"Due ≤30 days",IF(J46&lt;=90,"Due ≤90 days","OK"))),"Check date"))</f>
        <v/>
      </c>
      <c r="L46" s="21" t="n"/>
      <c r="M46" s="21" t="n"/>
      <c r="N46" s="21" t="n"/>
      <c r="O46" s="21" t="n"/>
      <c r="P46" s="21" t="n"/>
      <c r="Q46" s="21" t="n"/>
    </row>
    <row r="47">
      <c r="A47" s="21" t="n"/>
      <c r="B47" s="21" t="n"/>
      <c r="C47" s="21" t="n"/>
      <c r="D47" s="21" t="n"/>
      <c r="E47" s="22" t="n"/>
      <c r="F47" s="23" t="n"/>
      <c r="G47" s="24">
        <f>IF(AND(ISNUMBER(F47),ISNUMBER(E47)),EDATE(F47,E47),"")</f>
        <v/>
      </c>
      <c r="H47" s="22" t="n"/>
      <c r="I47" s="24">
        <f>IF(ISNUMBER(G47),G47-IF(ISNUMBER(H47),H47,30),"")</f>
        <v/>
      </c>
      <c r="J47" s="25">
        <f>IF(G47="","",IF(ISNUMBER(G47),G47-TODAY(),"Check date"))</f>
        <v/>
      </c>
      <c r="K47" s="26">
        <f>IF(J47="","",IF(ISNUMBER(J47),IF(J47&lt;0,"Expired",IF(J47&lt;=30,"Due ≤30 days",IF(J47&lt;=90,"Due ≤90 days","OK"))),"Check date"))</f>
        <v/>
      </c>
      <c r="L47" s="21" t="n"/>
      <c r="M47" s="21" t="n"/>
      <c r="N47" s="21" t="n"/>
      <c r="O47" s="21" t="n"/>
      <c r="P47" s="21" t="n"/>
      <c r="Q47" s="21" t="n"/>
    </row>
    <row r="48">
      <c r="A48" s="21" t="n"/>
      <c r="B48" s="21" t="n"/>
      <c r="C48" s="21" t="n"/>
      <c r="D48" s="21" t="n"/>
      <c r="E48" s="22" t="n"/>
      <c r="F48" s="23" t="n"/>
      <c r="G48" s="24">
        <f>IF(AND(ISNUMBER(F48),ISNUMBER(E48)),EDATE(F48,E48),"")</f>
        <v/>
      </c>
      <c r="H48" s="22" t="n"/>
      <c r="I48" s="24">
        <f>IF(ISNUMBER(G48),G48-IF(ISNUMBER(H48),H48,30),"")</f>
        <v/>
      </c>
      <c r="J48" s="25">
        <f>IF(G48="","",IF(ISNUMBER(G48),G48-TODAY(),"Check date"))</f>
        <v/>
      </c>
      <c r="K48" s="26">
        <f>IF(J48="","",IF(ISNUMBER(J48),IF(J48&lt;0,"Expired",IF(J48&lt;=30,"Due ≤30 days",IF(J48&lt;=90,"Due ≤90 days","OK"))),"Check date"))</f>
        <v/>
      </c>
      <c r="L48" s="21" t="n"/>
      <c r="M48" s="21" t="n"/>
      <c r="N48" s="21" t="n"/>
      <c r="O48" s="21" t="n"/>
      <c r="P48" s="21" t="n"/>
      <c r="Q48" s="21" t="n"/>
    </row>
    <row r="49">
      <c r="A49" s="21" t="n"/>
      <c r="B49" s="21" t="n"/>
      <c r="C49" s="21" t="n"/>
      <c r="D49" s="21" t="n"/>
      <c r="E49" s="22" t="n"/>
      <c r="F49" s="23" t="n"/>
      <c r="G49" s="24">
        <f>IF(AND(ISNUMBER(F49),ISNUMBER(E49)),EDATE(F49,E49),"")</f>
        <v/>
      </c>
      <c r="H49" s="22" t="n"/>
      <c r="I49" s="24">
        <f>IF(ISNUMBER(G49),G49-IF(ISNUMBER(H49),H49,30),"")</f>
        <v/>
      </c>
      <c r="J49" s="25">
        <f>IF(G49="","",IF(ISNUMBER(G49),G49-TODAY(),"Check date"))</f>
        <v/>
      </c>
      <c r="K49" s="26">
        <f>IF(J49="","",IF(ISNUMBER(J49),IF(J49&lt;0,"Expired",IF(J49&lt;=30,"Due ≤30 days",IF(J49&lt;=90,"Due ≤90 days","OK"))),"Check date"))</f>
        <v/>
      </c>
      <c r="L49" s="21" t="n"/>
      <c r="M49" s="21" t="n"/>
      <c r="N49" s="21" t="n"/>
      <c r="O49" s="21" t="n"/>
      <c r="P49" s="21" t="n"/>
      <c r="Q49" s="21" t="n"/>
    </row>
    <row r="50">
      <c r="A50" s="21" t="n"/>
      <c r="B50" s="21" t="n"/>
      <c r="C50" s="21" t="n"/>
      <c r="D50" s="21" t="n"/>
      <c r="E50" s="22" t="n"/>
      <c r="F50" s="23" t="n"/>
      <c r="G50" s="24">
        <f>IF(AND(ISNUMBER(F50),ISNUMBER(E50)),EDATE(F50,E50),"")</f>
        <v/>
      </c>
      <c r="H50" s="22" t="n"/>
      <c r="I50" s="24">
        <f>IF(ISNUMBER(G50),G50-IF(ISNUMBER(H50),H50,30),"")</f>
        <v/>
      </c>
      <c r="J50" s="25">
        <f>IF(G50="","",IF(ISNUMBER(G50),G50-TODAY(),"Check date"))</f>
        <v/>
      </c>
      <c r="K50" s="26">
        <f>IF(J50="","",IF(ISNUMBER(J50),IF(J50&lt;0,"Expired",IF(J50&lt;=30,"Due ≤30 days",IF(J50&lt;=90,"Due ≤90 days","OK"))),"Check date"))</f>
        <v/>
      </c>
      <c r="L50" s="21" t="n"/>
      <c r="M50" s="21" t="n"/>
      <c r="N50" s="21" t="n"/>
      <c r="O50" s="21" t="n"/>
      <c r="P50" s="21" t="n"/>
      <c r="Q50" s="21" t="n"/>
    </row>
    <row r="51">
      <c r="A51" s="21" t="n"/>
      <c r="B51" s="21" t="n"/>
      <c r="C51" s="21" t="n"/>
      <c r="D51" s="21" t="n"/>
      <c r="E51" s="22" t="n"/>
      <c r="F51" s="23" t="n"/>
      <c r="G51" s="24">
        <f>IF(AND(ISNUMBER(F51),ISNUMBER(E51)),EDATE(F51,E51),"")</f>
        <v/>
      </c>
      <c r="H51" s="22" t="n"/>
      <c r="I51" s="24">
        <f>IF(ISNUMBER(G51),G51-IF(ISNUMBER(H51),H51,30),"")</f>
        <v/>
      </c>
      <c r="J51" s="25">
        <f>IF(G51="","",IF(ISNUMBER(G51),G51-TODAY(),"Check date"))</f>
        <v/>
      </c>
      <c r="K51" s="26">
        <f>IF(J51="","",IF(ISNUMBER(J51),IF(J51&lt;0,"Expired",IF(J51&lt;=30,"Due ≤30 days",IF(J51&lt;=90,"Due ≤90 days","OK"))),"Check date"))</f>
        <v/>
      </c>
      <c r="L51" s="21" t="n"/>
      <c r="M51" s="21" t="n"/>
      <c r="N51" s="21" t="n"/>
      <c r="O51" s="21" t="n"/>
      <c r="P51" s="21" t="n"/>
      <c r="Q51" s="21" t="n"/>
    </row>
    <row r="52">
      <c r="A52" s="21" t="n"/>
      <c r="B52" s="21" t="n"/>
      <c r="C52" s="21" t="n"/>
      <c r="D52" s="21" t="n"/>
      <c r="E52" s="22" t="n"/>
      <c r="F52" s="23" t="n"/>
      <c r="G52" s="24">
        <f>IF(AND(ISNUMBER(F52),ISNUMBER(E52)),EDATE(F52,E52),"")</f>
        <v/>
      </c>
      <c r="H52" s="22" t="n"/>
      <c r="I52" s="24">
        <f>IF(ISNUMBER(G52),G52-IF(ISNUMBER(H52),H52,30),"")</f>
        <v/>
      </c>
      <c r="J52" s="25">
        <f>IF(G52="","",IF(ISNUMBER(G52),G52-TODAY(),"Check date"))</f>
        <v/>
      </c>
      <c r="K52" s="26">
        <f>IF(J52="","",IF(ISNUMBER(J52),IF(J52&lt;0,"Expired",IF(J52&lt;=30,"Due ≤30 days",IF(J52&lt;=90,"Due ≤90 days","OK"))),"Check date"))</f>
        <v/>
      </c>
      <c r="L52" s="21" t="n"/>
      <c r="M52" s="21" t="n"/>
      <c r="N52" s="21" t="n"/>
      <c r="O52" s="21" t="n"/>
      <c r="P52" s="21" t="n"/>
      <c r="Q52" s="21" t="n"/>
    </row>
    <row r="53">
      <c r="A53" s="21" t="n"/>
      <c r="B53" s="21" t="n"/>
      <c r="C53" s="21" t="n"/>
      <c r="D53" s="21" t="n"/>
      <c r="E53" s="22" t="n"/>
      <c r="F53" s="23" t="n"/>
      <c r="G53" s="24">
        <f>IF(AND(ISNUMBER(F53),ISNUMBER(E53)),EDATE(F53,E53),"")</f>
        <v/>
      </c>
      <c r="H53" s="22" t="n"/>
      <c r="I53" s="24">
        <f>IF(ISNUMBER(G53),G53-IF(ISNUMBER(H53),H53,30),"")</f>
        <v/>
      </c>
      <c r="J53" s="25">
        <f>IF(G53="","",IF(ISNUMBER(G53),G53-TODAY(),"Check date"))</f>
        <v/>
      </c>
      <c r="K53" s="26">
        <f>IF(J53="","",IF(ISNUMBER(J53),IF(J53&lt;0,"Expired",IF(J53&lt;=30,"Due ≤30 days",IF(J53&lt;=90,"Due ≤90 days","OK"))),"Check date"))</f>
        <v/>
      </c>
      <c r="L53" s="21" t="n"/>
      <c r="M53" s="21" t="n"/>
      <c r="N53" s="21" t="n"/>
      <c r="O53" s="21" t="n"/>
      <c r="P53" s="21" t="n"/>
      <c r="Q53" s="21" t="n"/>
    </row>
    <row r="54">
      <c r="A54" s="21" t="n"/>
      <c r="B54" s="21" t="n"/>
      <c r="C54" s="21" t="n"/>
      <c r="D54" s="21" t="n"/>
      <c r="E54" s="22" t="n"/>
      <c r="F54" s="23" t="n"/>
      <c r="G54" s="24">
        <f>IF(AND(ISNUMBER(F54),ISNUMBER(E54)),EDATE(F54,E54),"")</f>
        <v/>
      </c>
      <c r="H54" s="22" t="n"/>
      <c r="I54" s="24">
        <f>IF(ISNUMBER(G54),G54-IF(ISNUMBER(H54),H54,30),"")</f>
        <v/>
      </c>
      <c r="J54" s="25">
        <f>IF(G54="","",IF(ISNUMBER(G54),G54-TODAY(),"Check date"))</f>
        <v/>
      </c>
      <c r="K54" s="26">
        <f>IF(J54="","",IF(ISNUMBER(J54),IF(J54&lt;0,"Expired",IF(J54&lt;=30,"Due ≤30 days",IF(J54&lt;=90,"Due ≤90 days","OK"))),"Check date"))</f>
        <v/>
      </c>
      <c r="L54" s="21" t="n"/>
      <c r="M54" s="21" t="n"/>
      <c r="N54" s="21" t="n"/>
      <c r="O54" s="21" t="n"/>
      <c r="P54" s="21" t="n"/>
      <c r="Q54" s="21" t="n"/>
    </row>
    <row r="55">
      <c r="A55" s="21" t="n"/>
      <c r="B55" s="21" t="n"/>
      <c r="C55" s="21" t="n"/>
      <c r="D55" s="21" t="n"/>
      <c r="E55" s="22" t="n"/>
      <c r="F55" s="23" t="n"/>
      <c r="G55" s="24">
        <f>IF(AND(ISNUMBER(F55),ISNUMBER(E55)),EDATE(F55,E55),"")</f>
        <v/>
      </c>
      <c r="H55" s="22" t="n"/>
      <c r="I55" s="24">
        <f>IF(ISNUMBER(G55),G55-IF(ISNUMBER(H55),H55,30),"")</f>
        <v/>
      </c>
      <c r="J55" s="25">
        <f>IF(G55="","",IF(ISNUMBER(G55),G55-TODAY(),"Check date"))</f>
        <v/>
      </c>
      <c r="K55" s="26">
        <f>IF(J55="","",IF(ISNUMBER(J55),IF(J55&lt;0,"Expired",IF(J55&lt;=30,"Due ≤30 days",IF(J55&lt;=90,"Due ≤90 days","OK"))),"Check date"))</f>
        <v/>
      </c>
      <c r="L55" s="21" t="n"/>
      <c r="M55" s="21" t="n"/>
      <c r="N55" s="21" t="n"/>
      <c r="O55" s="21" t="n"/>
      <c r="P55" s="21" t="n"/>
      <c r="Q55" s="21" t="n"/>
    </row>
    <row r="56">
      <c r="A56" s="21" t="n"/>
      <c r="B56" s="21" t="n"/>
      <c r="C56" s="21" t="n"/>
      <c r="D56" s="21" t="n"/>
      <c r="E56" s="22" t="n"/>
      <c r="F56" s="23" t="n"/>
      <c r="G56" s="24">
        <f>IF(AND(ISNUMBER(F56),ISNUMBER(E56)),EDATE(F56,E56),"")</f>
        <v/>
      </c>
      <c r="H56" s="22" t="n"/>
      <c r="I56" s="24">
        <f>IF(ISNUMBER(G56),G56-IF(ISNUMBER(H56),H56,30),"")</f>
        <v/>
      </c>
      <c r="J56" s="25">
        <f>IF(G56="","",IF(ISNUMBER(G56),G56-TODAY(),"Check date"))</f>
        <v/>
      </c>
      <c r="K56" s="26">
        <f>IF(J56="","",IF(ISNUMBER(J56),IF(J56&lt;0,"Expired",IF(J56&lt;=30,"Due ≤30 days",IF(J56&lt;=90,"Due ≤90 days","OK"))),"Check date"))</f>
        <v/>
      </c>
      <c r="L56" s="21" t="n"/>
      <c r="M56" s="21" t="n"/>
      <c r="N56" s="21" t="n"/>
      <c r="O56" s="21" t="n"/>
      <c r="P56" s="21" t="n"/>
      <c r="Q56" s="21" t="n"/>
    </row>
    <row r="57">
      <c r="A57" s="21" t="n"/>
      <c r="B57" s="21" t="n"/>
      <c r="C57" s="21" t="n"/>
      <c r="D57" s="21" t="n"/>
      <c r="E57" s="22" t="n"/>
      <c r="F57" s="23" t="n"/>
      <c r="G57" s="24">
        <f>IF(AND(ISNUMBER(F57),ISNUMBER(E57)),EDATE(F57,E57),"")</f>
        <v/>
      </c>
      <c r="H57" s="22" t="n"/>
      <c r="I57" s="24">
        <f>IF(ISNUMBER(G57),G57-IF(ISNUMBER(H57),H57,30),"")</f>
        <v/>
      </c>
      <c r="J57" s="25">
        <f>IF(G57="","",IF(ISNUMBER(G57),G57-TODAY(),"Check date"))</f>
        <v/>
      </c>
      <c r="K57" s="26">
        <f>IF(J57="","",IF(ISNUMBER(J57),IF(J57&lt;0,"Expired",IF(J57&lt;=30,"Due ≤30 days",IF(J57&lt;=90,"Due ≤90 days","OK"))),"Check date"))</f>
        <v/>
      </c>
      <c r="L57" s="21" t="n"/>
      <c r="M57" s="21" t="n"/>
      <c r="N57" s="21" t="n"/>
      <c r="O57" s="21" t="n"/>
      <c r="P57" s="21" t="n"/>
      <c r="Q57" s="21" t="n"/>
    </row>
    <row r="58">
      <c r="A58" s="21" t="n"/>
      <c r="B58" s="21" t="n"/>
      <c r="C58" s="21" t="n"/>
      <c r="D58" s="21" t="n"/>
      <c r="E58" s="22" t="n"/>
      <c r="F58" s="23" t="n"/>
      <c r="G58" s="24">
        <f>IF(AND(ISNUMBER(F58),ISNUMBER(E58)),EDATE(F58,E58),"")</f>
        <v/>
      </c>
      <c r="H58" s="22" t="n"/>
      <c r="I58" s="24">
        <f>IF(ISNUMBER(G58),G58-IF(ISNUMBER(H58),H58,30),"")</f>
        <v/>
      </c>
      <c r="J58" s="25">
        <f>IF(G58="","",IF(ISNUMBER(G58),G58-TODAY(),"Check date"))</f>
        <v/>
      </c>
      <c r="K58" s="26">
        <f>IF(J58="","",IF(ISNUMBER(J58),IF(J58&lt;0,"Expired",IF(J58&lt;=30,"Due ≤30 days",IF(J58&lt;=90,"Due ≤90 days","OK"))),"Check date"))</f>
        <v/>
      </c>
      <c r="L58" s="21" t="n"/>
      <c r="M58" s="21" t="n"/>
      <c r="N58" s="21" t="n"/>
      <c r="O58" s="21" t="n"/>
      <c r="P58" s="21" t="n"/>
      <c r="Q58" s="21" t="n"/>
    </row>
    <row r="59">
      <c r="A59" s="21" t="n"/>
      <c r="B59" s="21" t="n"/>
      <c r="C59" s="21" t="n"/>
      <c r="D59" s="21" t="n"/>
      <c r="E59" s="22" t="n"/>
      <c r="F59" s="23" t="n"/>
      <c r="G59" s="24">
        <f>IF(AND(ISNUMBER(F59),ISNUMBER(E59)),EDATE(F59,E59),"")</f>
        <v/>
      </c>
      <c r="H59" s="22" t="n"/>
      <c r="I59" s="24">
        <f>IF(ISNUMBER(G59),G59-IF(ISNUMBER(H59),H59,30),"")</f>
        <v/>
      </c>
      <c r="J59" s="25">
        <f>IF(G59="","",IF(ISNUMBER(G59),G59-TODAY(),"Check date"))</f>
        <v/>
      </c>
      <c r="K59" s="26">
        <f>IF(J59="","",IF(ISNUMBER(J59),IF(J59&lt;0,"Expired",IF(J59&lt;=30,"Due ≤30 days",IF(J59&lt;=90,"Due ≤90 days","OK"))),"Check date"))</f>
        <v/>
      </c>
      <c r="L59" s="21" t="n"/>
      <c r="M59" s="21" t="n"/>
      <c r="N59" s="21" t="n"/>
      <c r="O59" s="21" t="n"/>
      <c r="P59" s="21" t="n"/>
      <c r="Q59" s="21" t="n"/>
    </row>
    <row r="60">
      <c r="A60" s="21" t="n"/>
      <c r="B60" s="21" t="n"/>
      <c r="C60" s="21" t="n"/>
      <c r="D60" s="21" t="n"/>
      <c r="E60" s="22" t="n"/>
      <c r="F60" s="23" t="n"/>
      <c r="G60" s="24">
        <f>IF(AND(ISNUMBER(F60),ISNUMBER(E60)),EDATE(F60,E60),"")</f>
        <v/>
      </c>
      <c r="H60" s="22" t="n"/>
      <c r="I60" s="24">
        <f>IF(ISNUMBER(G60),G60-IF(ISNUMBER(H60),H60,30),"")</f>
        <v/>
      </c>
      <c r="J60" s="25">
        <f>IF(G60="","",IF(ISNUMBER(G60),G60-TODAY(),"Check date"))</f>
        <v/>
      </c>
      <c r="K60" s="26">
        <f>IF(J60="","",IF(ISNUMBER(J60),IF(J60&lt;0,"Expired",IF(J60&lt;=30,"Due ≤30 days",IF(J60&lt;=90,"Due ≤90 days","OK"))),"Check date"))</f>
        <v/>
      </c>
      <c r="L60" s="21" t="n"/>
      <c r="M60" s="21" t="n"/>
      <c r="N60" s="21" t="n"/>
      <c r="O60" s="21" t="n"/>
      <c r="P60" s="21" t="n"/>
      <c r="Q60" s="21" t="n"/>
    </row>
    <row r="61">
      <c r="A61" s="21" t="n"/>
      <c r="B61" s="21" t="n"/>
      <c r="C61" s="21" t="n"/>
      <c r="D61" s="21" t="n"/>
      <c r="E61" s="22" t="n"/>
      <c r="F61" s="23" t="n"/>
      <c r="G61" s="24">
        <f>IF(AND(ISNUMBER(F61),ISNUMBER(E61)),EDATE(F61,E61),"")</f>
        <v/>
      </c>
      <c r="H61" s="22" t="n"/>
      <c r="I61" s="24">
        <f>IF(ISNUMBER(G61),G61-IF(ISNUMBER(H61),H61,30),"")</f>
        <v/>
      </c>
      <c r="J61" s="25">
        <f>IF(G61="","",IF(ISNUMBER(G61),G61-TODAY(),"Check date"))</f>
        <v/>
      </c>
      <c r="K61" s="26">
        <f>IF(J61="","",IF(ISNUMBER(J61),IF(J61&lt;0,"Expired",IF(J61&lt;=30,"Due ≤30 days",IF(J61&lt;=90,"Due ≤90 days","OK"))),"Check date"))</f>
        <v/>
      </c>
      <c r="L61" s="21" t="n"/>
      <c r="M61" s="21" t="n"/>
      <c r="N61" s="21" t="n"/>
      <c r="O61" s="21" t="n"/>
      <c r="P61" s="21" t="n"/>
      <c r="Q61" s="21" t="n"/>
    </row>
    <row r="62">
      <c r="A62" s="21" t="n"/>
      <c r="B62" s="21" t="n"/>
      <c r="C62" s="21" t="n"/>
      <c r="D62" s="21" t="n"/>
      <c r="E62" s="22" t="n"/>
      <c r="F62" s="23" t="n"/>
      <c r="G62" s="24">
        <f>IF(AND(ISNUMBER(F62),ISNUMBER(E62)),EDATE(F62,E62),"")</f>
        <v/>
      </c>
      <c r="H62" s="22" t="n"/>
      <c r="I62" s="24">
        <f>IF(ISNUMBER(G62),G62-IF(ISNUMBER(H62),H62,30),"")</f>
        <v/>
      </c>
      <c r="J62" s="25">
        <f>IF(G62="","",IF(ISNUMBER(G62),G62-TODAY(),"Check date"))</f>
        <v/>
      </c>
      <c r="K62" s="26">
        <f>IF(J62="","",IF(ISNUMBER(J62),IF(J62&lt;0,"Expired",IF(J62&lt;=30,"Due ≤30 days",IF(J62&lt;=90,"Due ≤90 days","OK"))),"Check date"))</f>
        <v/>
      </c>
      <c r="L62" s="21" t="n"/>
      <c r="M62" s="21" t="n"/>
      <c r="N62" s="21" t="n"/>
      <c r="O62" s="21" t="n"/>
      <c r="P62" s="21" t="n"/>
      <c r="Q62" s="21" t="n"/>
    </row>
    <row r="63">
      <c r="A63" s="21" t="n"/>
      <c r="B63" s="21" t="n"/>
      <c r="C63" s="21" t="n"/>
      <c r="D63" s="21" t="n"/>
      <c r="E63" s="22" t="n"/>
      <c r="F63" s="23" t="n"/>
      <c r="G63" s="24">
        <f>IF(AND(ISNUMBER(F63),ISNUMBER(E63)),EDATE(F63,E63),"")</f>
        <v/>
      </c>
      <c r="H63" s="22" t="n"/>
      <c r="I63" s="24">
        <f>IF(ISNUMBER(G63),G63-IF(ISNUMBER(H63),H63,30),"")</f>
        <v/>
      </c>
      <c r="J63" s="25">
        <f>IF(G63="","",IF(ISNUMBER(G63),G63-TODAY(),"Check date"))</f>
        <v/>
      </c>
      <c r="K63" s="26">
        <f>IF(J63="","",IF(ISNUMBER(J63),IF(J63&lt;0,"Expired",IF(J63&lt;=30,"Due ≤30 days",IF(J63&lt;=90,"Due ≤90 days","OK"))),"Check date"))</f>
        <v/>
      </c>
      <c r="L63" s="21" t="n"/>
      <c r="M63" s="21" t="n"/>
      <c r="N63" s="21" t="n"/>
      <c r="O63" s="21" t="n"/>
      <c r="P63" s="21" t="n"/>
      <c r="Q63" s="21" t="n"/>
    </row>
    <row r="64">
      <c r="A64" s="21" t="n"/>
      <c r="B64" s="21" t="n"/>
      <c r="C64" s="21" t="n"/>
      <c r="D64" s="21" t="n"/>
      <c r="E64" s="22" t="n"/>
      <c r="F64" s="23" t="n"/>
      <c r="G64" s="24">
        <f>IF(AND(ISNUMBER(F64),ISNUMBER(E64)),EDATE(F64,E64),"")</f>
        <v/>
      </c>
      <c r="H64" s="22" t="n"/>
      <c r="I64" s="24">
        <f>IF(ISNUMBER(G64),G64-IF(ISNUMBER(H64),H64,30),"")</f>
        <v/>
      </c>
      <c r="J64" s="25">
        <f>IF(G64="","",IF(ISNUMBER(G64),G64-TODAY(),"Check date"))</f>
        <v/>
      </c>
      <c r="K64" s="26">
        <f>IF(J64="","",IF(ISNUMBER(J64),IF(J64&lt;0,"Expired",IF(J64&lt;=30,"Due ≤30 days",IF(J64&lt;=90,"Due ≤90 days","OK"))),"Check date"))</f>
        <v/>
      </c>
      <c r="L64" s="21" t="n"/>
      <c r="M64" s="21" t="n"/>
      <c r="N64" s="21" t="n"/>
      <c r="O64" s="21" t="n"/>
      <c r="P64" s="21" t="n"/>
      <c r="Q64" s="21" t="n"/>
    </row>
    <row r="65">
      <c r="A65" s="21" t="n"/>
      <c r="B65" s="21" t="n"/>
      <c r="C65" s="21" t="n"/>
      <c r="D65" s="21" t="n"/>
      <c r="E65" s="22" t="n"/>
      <c r="F65" s="23" t="n"/>
      <c r="G65" s="24">
        <f>IF(AND(ISNUMBER(F65),ISNUMBER(E65)),EDATE(F65,E65),"")</f>
        <v/>
      </c>
      <c r="H65" s="22" t="n"/>
      <c r="I65" s="24">
        <f>IF(ISNUMBER(G65),G65-IF(ISNUMBER(H65),H65,30),"")</f>
        <v/>
      </c>
      <c r="J65" s="25">
        <f>IF(G65="","",IF(ISNUMBER(G65),G65-TODAY(),"Check date"))</f>
        <v/>
      </c>
      <c r="K65" s="26">
        <f>IF(J65="","",IF(ISNUMBER(J65),IF(J65&lt;0,"Expired",IF(J65&lt;=30,"Due ≤30 days",IF(J65&lt;=90,"Due ≤90 days","OK"))),"Check date"))</f>
        <v/>
      </c>
      <c r="L65" s="21" t="n"/>
      <c r="M65" s="21" t="n"/>
      <c r="N65" s="21" t="n"/>
      <c r="O65" s="21" t="n"/>
      <c r="P65" s="21" t="n"/>
      <c r="Q65" s="21" t="n"/>
    </row>
    <row r="66">
      <c r="A66" s="21" t="n"/>
      <c r="B66" s="21" t="n"/>
      <c r="C66" s="21" t="n"/>
      <c r="D66" s="21" t="n"/>
      <c r="E66" s="22" t="n"/>
      <c r="F66" s="23" t="n"/>
      <c r="G66" s="24">
        <f>IF(AND(ISNUMBER(F66),ISNUMBER(E66)),EDATE(F66,E66),"")</f>
        <v/>
      </c>
      <c r="H66" s="22" t="n"/>
      <c r="I66" s="24">
        <f>IF(ISNUMBER(G66),G66-IF(ISNUMBER(H66),H66,30),"")</f>
        <v/>
      </c>
      <c r="J66" s="25">
        <f>IF(G66="","",IF(ISNUMBER(G66),G66-TODAY(),"Check date"))</f>
        <v/>
      </c>
      <c r="K66" s="26">
        <f>IF(J66="","",IF(ISNUMBER(J66),IF(J66&lt;0,"Expired",IF(J66&lt;=30,"Due ≤30 days",IF(J66&lt;=90,"Due ≤90 days","OK"))),"Check date"))</f>
        <v/>
      </c>
      <c r="L66" s="21" t="n"/>
      <c r="M66" s="21" t="n"/>
      <c r="N66" s="21" t="n"/>
      <c r="O66" s="21" t="n"/>
      <c r="P66" s="21" t="n"/>
      <c r="Q66" s="21" t="n"/>
    </row>
    <row r="67">
      <c r="A67" s="21" t="n"/>
      <c r="B67" s="21" t="n"/>
      <c r="C67" s="21" t="n"/>
      <c r="D67" s="21" t="n"/>
      <c r="E67" s="22" t="n"/>
      <c r="F67" s="23" t="n"/>
      <c r="G67" s="24">
        <f>IF(AND(ISNUMBER(F67),ISNUMBER(E67)),EDATE(F67,E67),"")</f>
        <v/>
      </c>
      <c r="H67" s="22" t="n"/>
      <c r="I67" s="24">
        <f>IF(ISNUMBER(G67),G67-IF(ISNUMBER(H67),H67,30),"")</f>
        <v/>
      </c>
      <c r="J67" s="25">
        <f>IF(G67="","",IF(ISNUMBER(G67),G67-TODAY(),"Check date"))</f>
        <v/>
      </c>
      <c r="K67" s="26">
        <f>IF(J67="","",IF(ISNUMBER(J67),IF(J67&lt;0,"Expired",IF(J67&lt;=30,"Due ≤30 days",IF(J67&lt;=90,"Due ≤90 days","OK"))),"Check date"))</f>
        <v/>
      </c>
      <c r="L67" s="21" t="n"/>
      <c r="M67" s="21" t="n"/>
      <c r="N67" s="21" t="n"/>
      <c r="O67" s="21" t="n"/>
      <c r="P67" s="21" t="n"/>
      <c r="Q67" s="21" t="n"/>
    </row>
    <row r="68">
      <c r="A68" s="21" t="n"/>
      <c r="B68" s="21" t="n"/>
      <c r="C68" s="21" t="n"/>
      <c r="D68" s="21" t="n"/>
      <c r="E68" s="22" t="n"/>
      <c r="F68" s="23" t="n"/>
      <c r="G68" s="24">
        <f>IF(AND(ISNUMBER(F68),ISNUMBER(E68)),EDATE(F68,E68),"")</f>
        <v/>
      </c>
      <c r="H68" s="22" t="n"/>
      <c r="I68" s="24">
        <f>IF(ISNUMBER(G68),G68-IF(ISNUMBER(H68),H68,30),"")</f>
        <v/>
      </c>
      <c r="J68" s="25">
        <f>IF(G68="","",IF(ISNUMBER(G68),G68-TODAY(),"Check date"))</f>
        <v/>
      </c>
      <c r="K68" s="26">
        <f>IF(J68="","",IF(ISNUMBER(J68),IF(J68&lt;0,"Expired",IF(J68&lt;=30,"Due ≤30 days",IF(J68&lt;=90,"Due ≤90 days","OK"))),"Check date"))</f>
        <v/>
      </c>
      <c r="L68" s="21" t="n"/>
      <c r="M68" s="21" t="n"/>
      <c r="N68" s="21" t="n"/>
      <c r="O68" s="21" t="n"/>
      <c r="P68" s="21" t="n"/>
      <c r="Q68" s="21" t="n"/>
    </row>
    <row r="69">
      <c r="A69" s="21" t="n"/>
      <c r="B69" s="21" t="n"/>
      <c r="C69" s="21" t="n"/>
      <c r="D69" s="21" t="n"/>
      <c r="E69" s="22" t="n"/>
      <c r="F69" s="23" t="n"/>
      <c r="G69" s="24">
        <f>IF(AND(ISNUMBER(F69),ISNUMBER(E69)),EDATE(F69,E69),"")</f>
        <v/>
      </c>
      <c r="H69" s="22" t="n"/>
      <c r="I69" s="24">
        <f>IF(ISNUMBER(G69),G69-IF(ISNUMBER(H69),H69,30),"")</f>
        <v/>
      </c>
      <c r="J69" s="25">
        <f>IF(G69="","",IF(ISNUMBER(G69),G69-TODAY(),"Check date"))</f>
        <v/>
      </c>
      <c r="K69" s="26">
        <f>IF(J69="","",IF(ISNUMBER(J69),IF(J69&lt;0,"Expired",IF(J69&lt;=30,"Due ≤30 days",IF(J69&lt;=90,"Due ≤90 days","OK"))),"Check date"))</f>
        <v/>
      </c>
      <c r="L69" s="21" t="n"/>
      <c r="M69" s="21" t="n"/>
      <c r="N69" s="21" t="n"/>
      <c r="O69" s="21" t="n"/>
      <c r="P69" s="21" t="n"/>
      <c r="Q69" s="21" t="n"/>
    </row>
    <row r="70">
      <c r="A70" s="21" t="n"/>
      <c r="B70" s="21" t="n"/>
      <c r="C70" s="21" t="n"/>
      <c r="D70" s="21" t="n"/>
      <c r="E70" s="22" t="n"/>
      <c r="F70" s="23" t="n"/>
      <c r="G70" s="24">
        <f>IF(AND(ISNUMBER(F70),ISNUMBER(E70)),EDATE(F70,E70),"")</f>
        <v/>
      </c>
      <c r="H70" s="22" t="n"/>
      <c r="I70" s="24">
        <f>IF(ISNUMBER(G70),G70-IF(ISNUMBER(H70),H70,30),"")</f>
        <v/>
      </c>
      <c r="J70" s="25">
        <f>IF(G70="","",IF(ISNUMBER(G70),G70-TODAY(),"Check date"))</f>
        <v/>
      </c>
      <c r="K70" s="26">
        <f>IF(J70="","",IF(ISNUMBER(J70),IF(J70&lt;0,"Expired",IF(J70&lt;=30,"Due ≤30 days",IF(J70&lt;=90,"Due ≤90 days","OK"))),"Check date"))</f>
        <v/>
      </c>
      <c r="L70" s="21" t="n"/>
      <c r="M70" s="21" t="n"/>
      <c r="N70" s="21" t="n"/>
      <c r="O70" s="21" t="n"/>
      <c r="P70" s="21" t="n"/>
      <c r="Q70" s="21" t="n"/>
    </row>
    <row r="71">
      <c r="A71" s="21" t="n"/>
      <c r="B71" s="21" t="n"/>
      <c r="C71" s="21" t="n"/>
      <c r="D71" s="21" t="n"/>
      <c r="E71" s="22" t="n"/>
      <c r="F71" s="23" t="n"/>
      <c r="G71" s="24">
        <f>IF(AND(ISNUMBER(F71),ISNUMBER(E71)),EDATE(F71,E71),"")</f>
        <v/>
      </c>
      <c r="H71" s="22" t="n"/>
      <c r="I71" s="24">
        <f>IF(ISNUMBER(G71),G71-IF(ISNUMBER(H71),H71,30),"")</f>
        <v/>
      </c>
      <c r="J71" s="25">
        <f>IF(G71="","",IF(ISNUMBER(G71),G71-TODAY(),"Check date"))</f>
        <v/>
      </c>
      <c r="K71" s="26">
        <f>IF(J71="","",IF(ISNUMBER(J71),IF(J71&lt;0,"Expired",IF(J71&lt;=30,"Due ≤30 days",IF(J71&lt;=90,"Due ≤90 days","OK"))),"Check date"))</f>
        <v/>
      </c>
      <c r="L71" s="21" t="n"/>
      <c r="M71" s="21" t="n"/>
      <c r="N71" s="21" t="n"/>
      <c r="O71" s="21" t="n"/>
      <c r="P71" s="21" t="n"/>
      <c r="Q71" s="21" t="n"/>
    </row>
    <row r="72">
      <c r="A72" s="21" t="n"/>
      <c r="B72" s="21" t="n"/>
      <c r="C72" s="21" t="n"/>
      <c r="D72" s="21" t="n"/>
      <c r="E72" s="22" t="n"/>
      <c r="F72" s="23" t="n"/>
      <c r="G72" s="24">
        <f>IF(AND(ISNUMBER(F72),ISNUMBER(E72)),EDATE(F72,E72),"")</f>
        <v/>
      </c>
      <c r="H72" s="22" t="n"/>
      <c r="I72" s="24">
        <f>IF(ISNUMBER(G72),G72-IF(ISNUMBER(H72),H72,30),"")</f>
        <v/>
      </c>
      <c r="J72" s="25">
        <f>IF(G72="","",IF(ISNUMBER(G72),G72-TODAY(),"Check date"))</f>
        <v/>
      </c>
      <c r="K72" s="26">
        <f>IF(J72="","",IF(ISNUMBER(J72),IF(J72&lt;0,"Expired",IF(J72&lt;=30,"Due ≤30 days",IF(J72&lt;=90,"Due ≤90 days","OK"))),"Check date"))</f>
        <v/>
      </c>
      <c r="L72" s="21" t="n"/>
      <c r="M72" s="21" t="n"/>
      <c r="N72" s="21" t="n"/>
      <c r="O72" s="21" t="n"/>
      <c r="P72" s="21" t="n"/>
      <c r="Q72" s="21" t="n"/>
    </row>
    <row r="73">
      <c r="A73" s="21" t="n"/>
      <c r="B73" s="21" t="n"/>
      <c r="C73" s="21" t="n"/>
      <c r="D73" s="21" t="n"/>
      <c r="E73" s="22" t="n"/>
      <c r="F73" s="23" t="n"/>
      <c r="G73" s="24">
        <f>IF(AND(ISNUMBER(F73),ISNUMBER(E73)),EDATE(F73,E73),"")</f>
        <v/>
      </c>
      <c r="H73" s="22" t="n"/>
      <c r="I73" s="24">
        <f>IF(ISNUMBER(G73),G73-IF(ISNUMBER(H73),H73,30),"")</f>
        <v/>
      </c>
      <c r="J73" s="25">
        <f>IF(G73="","",IF(ISNUMBER(G73),G73-TODAY(),"Check date"))</f>
        <v/>
      </c>
      <c r="K73" s="26">
        <f>IF(J73="","",IF(ISNUMBER(J73),IF(J73&lt;0,"Expired",IF(J73&lt;=30,"Due ≤30 days",IF(J73&lt;=90,"Due ≤90 days","OK"))),"Check date"))</f>
        <v/>
      </c>
      <c r="L73" s="21" t="n"/>
      <c r="M73" s="21" t="n"/>
      <c r="N73" s="21" t="n"/>
      <c r="O73" s="21" t="n"/>
      <c r="P73" s="21" t="n"/>
      <c r="Q73" s="21" t="n"/>
    </row>
    <row r="74">
      <c r="A74" s="21" t="n"/>
      <c r="B74" s="21" t="n"/>
      <c r="C74" s="21" t="n"/>
      <c r="D74" s="21" t="n"/>
      <c r="E74" s="22" t="n"/>
      <c r="F74" s="23" t="n"/>
      <c r="G74" s="24">
        <f>IF(AND(ISNUMBER(F74),ISNUMBER(E74)),EDATE(F74,E74),"")</f>
        <v/>
      </c>
      <c r="H74" s="22" t="n"/>
      <c r="I74" s="24">
        <f>IF(ISNUMBER(G74),G74-IF(ISNUMBER(H74),H74,30),"")</f>
        <v/>
      </c>
      <c r="J74" s="25">
        <f>IF(G74="","",IF(ISNUMBER(G74),G74-TODAY(),"Check date"))</f>
        <v/>
      </c>
      <c r="K74" s="26">
        <f>IF(J74="","",IF(ISNUMBER(J74),IF(J74&lt;0,"Expired",IF(J74&lt;=30,"Due ≤30 days",IF(J74&lt;=90,"Due ≤90 days","OK"))),"Check date"))</f>
        <v/>
      </c>
      <c r="L74" s="21" t="n"/>
      <c r="M74" s="21" t="n"/>
      <c r="N74" s="21" t="n"/>
      <c r="O74" s="21" t="n"/>
      <c r="P74" s="21" t="n"/>
      <c r="Q74" s="21" t="n"/>
    </row>
    <row r="75">
      <c r="A75" s="21" t="n"/>
      <c r="B75" s="21" t="n"/>
      <c r="C75" s="21" t="n"/>
      <c r="D75" s="21" t="n"/>
      <c r="E75" s="22" t="n"/>
      <c r="F75" s="23" t="n"/>
      <c r="G75" s="24">
        <f>IF(AND(ISNUMBER(F75),ISNUMBER(E75)),EDATE(F75,E75),"")</f>
        <v/>
      </c>
      <c r="H75" s="22" t="n"/>
      <c r="I75" s="24">
        <f>IF(ISNUMBER(G75),G75-IF(ISNUMBER(H75),H75,30),"")</f>
        <v/>
      </c>
      <c r="J75" s="25">
        <f>IF(G75="","",IF(ISNUMBER(G75),G75-TODAY(),"Check date"))</f>
        <v/>
      </c>
      <c r="K75" s="26">
        <f>IF(J75="","",IF(ISNUMBER(J75),IF(J75&lt;0,"Expired",IF(J75&lt;=30,"Due ≤30 days",IF(J75&lt;=90,"Due ≤90 days","OK"))),"Check date"))</f>
        <v/>
      </c>
      <c r="L75" s="21" t="n"/>
      <c r="M75" s="21" t="n"/>
      <c r="N75" s="21" t="n"/>
      <c r="O75" s="21" t="n"/>
      <c r="P75" s="21" t="n"/>
      <c r="Q75" s="21" t="n"/>
    </row>
    <row r="76">
      <c r="A76" s="21" t="n"/>
      <c r="B76" s="21" t="n"/>
      <c r="C76" s="21" t="n"/>
      <c r="D76" s="21" t="n"/>
      <c r="E76" s="22" t="n"/>
      <c r="F76" s="23" t="n"/>
      <c r="G76" s="24">
        <f>IF(AND(ISNUMBER(F76),ISNUMBER(E76)),EDATE(F76,E76),"")</f>
        <v/>
      </c>
      <c r="H76" s="22" t="n"/>
      <c r="I76" s="24">
        <f>IF(ISNUMBER(G76),G76-IF(ISNUMBER(H76),H76,30),"")</f>
        <v/>
      </c>
      <c r="J76" s="25">
        <f>IF(G76="","",IF(ISNUMBER(G76),G76-TODAY(),"Check date"))</f>
        <v/>
      </c>
      <c r="K76" s="26">
        <f>IF(J76="","",IF(ISNUMBER(J76),IF(J76&lt;0,"Expired",IF(J76&lt;=30,"Due ≤30 days",IF(J76&lt;=90,"Due ≤90 days","OK"))),"Check date"))</f>
        <v/>
      </c>
      <c r="L76" s="21" t="n"/>
      <c r="M76" s="21" t="n"/>
      <c r="N76" s="21" t="n"/>
      <c r="O76" s="21" t="n"/>
      <c r="P76" s="21" t="n"/>
      <c r="Q76" s="21" t="n"/>
    </row>
    <row r="77">
      <c r="A77" s="21" t="n"/>
      <c r="B77" s="21" t="n"/>
      <c r="C77" s="21" t="n"/>
      <c r="D77" s="21" t="n"/>
      <c r="E77" s="22" t="n"/>
      <c r="F77" s="23" t="n"/>
      <c r="G77" s="24">
        <f>IF(AND(ISNUMBER(F77),ISNUMBER(E77)),EDATE(F77,E77),"")</f>
        <v/>
      </c>
      <c r="H77" s="22" t="n"/>
      <c r="I77" s="24">
        <f>IF(ISNUMBER(G77),G77-IF(ISNUMBER(H77),H77,30),"")</f>
        <v/>
      </c>
      <c r="J77" s="25">
        <f>IF(G77="","",IF(ISNUMBER(G77),G77-TODAY(),"Check date"))</f>
        <v/>
      </c>
      <c r="K77" s="26">
        <f>IF(J77="","",IF(ISNUMBER(J77),IF(J77&lt;0,"Expired",IF(J77&lt;=30,"Due ≤30 days",IF(J77&lt;=90,"Due ≤90 days","OK"))),"Check date"))</f>
        <v/>
      </c>
      <c r="L77" s="21" t="n"/>
      <c r="M77" s="21" t="n"/>
      <c r="N77" s="21" t="n"/>
      <c r="O77" s="21" t="n"/>
      <c r="P77" s="21" t="n"/>
      <c r="Q77" s="21" t="n"/>
    </row>
    <row r="78">
      <c r="A78" s="21" t="n"/>
      <c r="B78" s="21" t="n"/>
      <c r="C78" s="21" t="n"/>
      <c r="D78" s="21" t="n"/>
      <c r="E78" s="22" t="n"/>
      <c r="F78" s="23" t="n"/>
      <c r="G78" s="24">
        <f>IF(AND(ISNUMBER(F78),ISNUMBER(E78)),EDATE(F78,E78),"")</f>
        <v/>
      </c>
      <c r="H78" s="22" t="n"/>
      <c r="I78" s="24">
        <f>IF(ISNUMBER(G78),G78-IF(ISNUMBER(H78),H78,30),"")</f>
        <v/>
      </c>
      <c r="J78" s="25">
        <f>IF(G78="","",IF(ISNUMBER(G78),G78-TODAY(),"Check date"))</f>
        <v/>
      </c>
      <c r="K78" s="26">
        <f>IF(J78="","",IF(ISNUMBER(J78),IF(J78&lt;0,"Expired",IF(J78&lt;=30,"Due ≤30 days",IF(J78&lt;=90,"Due ≤90 days","OK"))),"Check date"))</f>
        <v/>
      </c>
      <c r="L78" s="21" t="n"/>
      <c r="M78" s="21" t="n"/>
      <c r="N78" s="21" t="n"/>
      <c r="O78" s="21" t="n"/>
      <c r="P78" s="21" t="n"/>
      <c r="Q78" s="21" t="n"/>
    </row>
    <row r="79">
      <c r="A79" s="21" t="n"/>
      <c r="B79" s="21" t="n"/>
      <c r="C79" s="21" t="n"/>
      <c r="D79" s="21" t="n"/>
      <c r="E79" s="22" t="n"/>
      <c r="F79" s="23" t="n"/>
      <c r="G79" s="24">
        <f>IF(AND(ISNUMBER(F79),ISNUMBER(E79)),EDATE(F79,E79),"")</f>
        <v/>
      </c>
      <c r="H79" s="22" t="n"/>
      <c r="I79" s="24">
        <f>IF(ISNUMBER(G79),G79-IF(ISNUMBER(H79),H79,30),"")</f>
        <v/>
      </c>
      <c r="J79" s="25">
        <f>IF(G79="","",IF(ISNUMBER(G79),G79-TODAY(),"Check date"))</f>
        <v/>
      </c>
      <c r="K79" s="26">
        <f>IF(J79="","",IF(ISNUMBER(J79),IF(J79&lt;0,"Expired",IF(J79&lt;=30,"Due ≤30 days",IF(J79&lt;=90,"Due ≤90 days","OK"))),"Check date"))</f>
        <v/>
      </c>
      <c r="L79" s="21" t="n"/>
      <c r="M79" s="21" t="n"/>
      <c r="N79" s="21" t="n"/>
      <c r="O79" s="21" t="n"/>
      <c r="P79" s="21" t="n"/>
      <c r="Q79" s="21" t="n"/>
    </row>
    <row r="80">
      <c r="A80" s="21" t="n"/>
      <c r="B80" s="21" t="n"/>
      <c r="C80" s="21" t="n"/>
      <c r="D80" s="21" t="n"/>
      <c r="E80" s="22" t="n"/>
      <c r="F80" s="23" t="n"/>
      <c r="G80" s="24">
        <f>IF(AND(ISNUMBER(F80),ISNUMBER(E80)),EDATE(F80,E80),"")</f>
        <v/>
      </c>
      <c r="H80" s="22" t="n"/>
      <c r="I80" s="24">
        <f>IF(ISNUMBER(G80),G80-IF(ISNUMBER(H80),H80,30),"")</f>
        <v/>
      </c>
      <c r="J80" s="25">
        <f>IF(G80="","",IF(ISNUMBER(G80),G80-TODAY(),"Check date"))</f>
        <v/>
      </c>
      <c r="K80" s="26">
        <f>IF(J80="","",IF(ISNUMBER(J80),IF(J80&lt;0,"Expired",IF(J80&lt;=30,"Due ≤30 days",IF(J80&lt;=90,"Due ≤90 days","OK"))),"Check date"))</f>
        <v/>
      </c>
      <c r="L80" s="21" t="n"/>
      <c r="M80" s="21" t="n"/>
      <c r="N80" s="21" t="n"/>
      <c r="O80" s="21" t="n"/>
      <c r="P80" s="21" t="n"/>
      <c r="Q80" s="21" t="n"/>
    </row>
    <row r="81">
      <c r="A81" s="21" t="n"/>
      <c r="B81" s="21" t="n"/>
      <c r="C81" s="21" t="n"/>
      <c r="D81" s="21" t="n"/>
      <c r="E81" s="22" t="n"/>
      <c r="F81" s="23" t="n"/>
      <c r="G81" s="24">
        <f>IF(AND(ISNUMBER(F81),ISNUMBER(E81)),EDATE(F81,E81),"")</f>
        <v/>
      </c>
      <c r="H81" s="22" t="n"/>
      <c r="I81" s="24">
        <f>IF(ISNUMBER(G81),G81-IF(ISNUMBER(H81),H81,30),"")</f>
        <v/>
      </c>
      <c r="J81" s="25">
        <f>IF(G81="","",IF(ISNUMBER(G81),G81-TODAY(),"Check date"))</f>
        <v/>
      </c>
      <c r="K81" s="26">
        <f>IF(J81="","",IF(ISNUMBER(J81),IF(J81&lt;0,"Expired",IF(J81&lt;=30,"Due ≤30 days",IF(J81&lt;=90,"Due ≤90 days","OK"))),"Check date"))</f>
        <v/>
      </c>
      <c r="L81" s="21" t="n"/>
      <c r="M81" s="21" t="n"/>
      <c r="N81" s="21" t="n"/>
      <c r="O81" s="21" t="n"/>
      <c r="P81" s="21" t="n"/>
      <c r="Q81" s="21" t="n"/>
    </row>
    <row r="82">
      <c r="A82" s="21" t="n"/>
      <c r="B82" s="21" t="n"/>
      <c r="C82" s="21" t="n"/>
      <c r="D82" s="21" t="n"/>
      <c r="E82" s="22" t="n"/>
      <c r="F82" s="23" t="n"/>
      <c r="G82" s="24">
        <f>IF(AND(ISNUMBER(F82),ISNUMBER(E82)),EDATE(F82,E82),"")</f>
        <v/>
      </c>
      <c r="H82" s="22" t="n"/>
      <c r="I82" s="24">
        <f>IF(ISNUMBER(G82),G82-IF(ISNUMBER(H82),H82,30),"")</f>
        <v/>
      </c>
      <c r="J82" s="25">
        <f>IF(G82="","",IF(ISNUMBER(G82),G82-TODAY(),"Check date"))</f>
        <v/>
      </c>
      <c r="K82" s="26">
        <f>IF(J82="","",IF(ISNUMBER(J82),IF(J82&lt;0,"Expired",IF(J82&lt;=30,"Due ≤30 days",IF(J82&lt;=90,"Due ≤90 days","OK"))),"Check date"))</f>
        <v/>
      </c>
      <c r="L82" s="21" t="n"/>
      <c r="M82" s="21" t="n"/>
      <c r="N82" s="21" t="n"/>
      <c r="O82" s="21" t="n"/>
      <c r="P82" s="21" t="n"/>
      <c r="Q82" s="21" t="n"/>
    </row>
    <row r="83">
      <c r="A83" s="21" t="n"/>
      <c r="B83" s="21" t="n"/>
      <c r="C83" s="21" t="n"/>
      <c r="D83" s="21" t="n"/>
      <c r="E83" s="22" t="n"/>
      <c r="F83" s="23" t="n"/>
      <c r="G83" s="24">
        <f>IF(AND(ISNUMBER(F83),ISNUMBER(E83)),EDATE(F83,E83),"")</f>
        <v/>
      </c>
      <c r="H83" s="22" t="n"/>
      <c r="I83" s="24">
        <f>IF(ISNUMBER(G83),G83-IF(ISNUMBER(H83),H83,30),"")</f>
        <v/>
      </c>
      <c r="J83" s="25">
        <f>IF(G83="","",IF(ISNUMBER(G83),G83-TODAY(),"Check date"))</f>
        <v/>
      </c>
      <c r="K83" s="26">
        <f>IF(J83="","",IF(ISNUMBER(J83),IF(J83&lt;0,"Expired",IF(J83&lt;=30,"Due ≤30 days",IF(J83&lt;=90,"Due ≤90 days","OK"))),"Check date"))</f>
        <v/>
      </c>
      <c r="L83" s="21" t="n"/>
      <c r="M83" s="21" t="n"/>
      <c r="N83" s="21" t="n"/>
      <c r="O83" s="21" t="n"/>
      <c r="P83" s="21" t="n"/>
      <c r="Q83" s="21" t="n"/>
    </row>
    <row r="84">
      <c r="A84" s="21" t="n"/>
      <c r="B84" s="21" t="n"/>
      <c r="C84" s="21" t="n"/>
      <c r="D84" s="21" t="n"/>
      <c r="E84" s="22" t="n"/>
      <c r="F84" s="23" t="n"/>
      <c r="G84" s="24">
        <f>IF(AND(ISNUMBER(F84),ISNUMBER(E84)),EDATE(F84,E84),"")</f>
        <v/>
      </c>
      <c r="H84" s="22" t="n"/>
      <c r="I84" s="24">
        <f>IF(ISNUMBER(G84),G84-IF(ISNUMBER(H84),H84,30),"")</f>
        <v/>
      </c>
      <c r="J84" s="25">
        <f>IF(G84="","",IF(ISNUMBER(G84),G84-TODAY(),"Check date"))</f>
        <v/>
      </c>
      <c r="K84" s="26">
        <f>IF(J84="","",IF(ISNUMBER(J84),IF(J84&lt;0,"Expired",IF(J84&lt;=30,"Due ≤30 days",IF(J84&lt;=90,"Due ≤90 days","OK"))),"Check date"))</f>
        <v/>
      </c>
      <c r="L84" s="21" t="n"/>
      <c r="M84" s="21" t="n"/>
      <c r="N84" s="21" t="n"/>
      <c r="O84" s="21" t="n"/>
      <c r="P84" s="21" t="n"/>
      <c r="Q84" s="21" t="n"/>
    </row>
    <row r="85">
      <c r="A85" s="21" t="n"/>
      <c r="B85" s="21" t="n"/>
      <c r="C85" s="21" t="n"/>
      <c r="D85" s="21" t="n"/>
      <c r="E85" s="22" t="n"/>
      <c r="F85" s="23" t="n"/>
      <c r="G85" s="24">
        <f>IF(AND(ISNUMBER(F85),ISNUMBER(E85)),EDATE(F85,E85),"")</f>
        <v/>
      </c>
      <c r="H85" s="22" t="n"/>
      <c r="I85" s="24">
        <f>IF(ISNUMBER(G85),G85-IF(ISNUMBER(H85),H85,30),"")</f>
        <v/>
      </c>
      <c r="J85" s="25">
        <f>IF(G85="","",IF(ISNUMBER(G85),G85-TODAY(),"Check date"))</f>
        <v/>
      </c>
      <c r="K85" s="26">
        <f>IF(J85="","",IF(ISNUMBER(J85),IF(J85&lt;0,"Expired",IF(J85&lt;=30,"Due ≤30 days",IF(J85&lt;=90,"Due ≤90 days","OK"))),"Check date"))</f>
        <v/>
      </c>
      <c r="L85" s="21" t="n"/>
      <c r="M85" s="21" t="n"/>
      <c r="N85" s="21" t="n"/>
      <c r="O85" s="21" t="n"/>
      <c r="P85" s="21" t="n"/>
      <c r="Q85" s="21" t="n"/>
    </row>
    <row r="86">
      <c r="A86" s="21" t="n"/>
      <c r="B86" s="21" t="n"/>
      <c r="C86" s="21" t="n"/>
      <c r="D86" s="21" t="n"/>
      <c r="E86" s="22" t="n"/>
      <c r="F86" s="23" t="n"/>
      <c r="G86" s="24">
        <f>IF(AND(ISNUMBER(F86),ISNUMBER(E86)),EDATE(F86,E86),"")</f>
        <v/>
      </c>
      <c r="H86" s="22" t="n"/>
      <c r="I86" s="24">
        <f>IF(ISNUMBER(G86),G86-IF(ISNUMBER(H86),H86,30),"")</f>
        <v/>
      </c>
      <c r="J86" s="25">
        <f>IF(G86="","",IF(ISNUMBER(G86),G86-TODAY(),"Check date"))</f>
        <v/>
      </c>
      <c r="K86" s="26">
        <f>IF(J86="","",IF(ISNUMBER(J86),IF(J86&lt;0,"Expired",IF(J86&lt;=30,"Due ≤30 days",IF(J86&lt;=90,"Due ≤90 days","OK"))),"Check date"))</f>
        <v/>
      </c>
      <c r="L86" s="21" t="n"/>
      <c r="M86" s="21" t="n"/>
      <c r="N86" s="21" t="n"/>
      <c r="O86" s="21" t="n"/>
      <c r="P86" s="21" t="n"/>
      <c r="Q86" s="21" t="n"/>
    </row>
    <row r="87">
      <c r="A87" s="21" t="n"/>
      <c r="B87" s="21" t="n"/>
      <c r="C87" s="21" t="n"/>
      <c r="D87" s="21" t="n"/>
      <c r="E87" s="22" t="n"/>
      <c r="F87" s="23" t="n"/>
      <c r="G87" s="24">
        <f>IF(AND(ISNUMBER(F87),ISNUMBER(E87)),EDATE(F87,E87),"")</f>
        <v/>
      </c>
      <c r="H87" s="22" t="n"/>
      <c r="I87" s="24">
        <f>IF(ISNUMBER(G87),G87-IF(ISNUMBER(H87),H87,30),"")</f>
        <v/>
      </c>
      <c r="J87" s="25">
        <f>IF(G87="","",IF(ISNUMBER(G87),G87-TODAY(),"Check date"))</f>
        <v/>
      </c>
      <c r="K87" s="26">
        <f>IF(J87="","",IF(ISNUMBER(J87),IF(J87&lt;0,"Expired",IF(J87&lt;=30,"Due ≤30 days",IF(J87&lt;=90,"Due ≤90 days","OK"))),"Check date"))</f>
        <v/>
      </c>
      <c r="L87" s="21" t="n"/>
      <c r="M87" s="21" t="n"/>
      <c r="N87" s="21" t="n"/>
      <c r="O87" s="21" t="n"/>
      <c r="P87" s="21" t="n"/>
      <c r="Q87" s="21" t="n"/>
    </row>
    <row r="88">
      <c r="A88" s="21" t="n"/>
      <c r="B88" s="21" t="n"/>
      <c r="C88" s="21" t="n"/>
      <c r="D88" s="21" t="n"/>
      <c r="E88" s="22" t="n"/>
      <c r="F88" s="23" t="n"/>
      <c r="G88" s="24">
        <f>IF(AND(ISNUMBER(F88),ISNUMBER(E88)),EDATE(F88,E88),"")</f>
        <v/>
      </c>
      <c r="H88" s="22" t="n"/>
      <c r="I88" s="24">
        <f>IF(ISNUMBER(G88),G88-IF(ISNUMBER(H88),H88,30),"")</f>
        <v/>
      </c>
      <c r="J88" s="25">
        <f>IF(G88="","",IF(ISNUMBER(G88),G88-TODAY(),"Check date"))</f>
        <v/>
      </c>
      <c r="K88" s="26">
        <f>IF(J88="","",IF(ISNUMBER(J88),IF(J88&lt;0,"Expired",IF(J88&lt;=30,"Due ≤30 days",IF(J88&lt;=90,"Due ≤90 days","OK"))),"Check date"))</f>
        <v/>
      </c>
      <c r="L88" s="21" t="n"/>
      <c r="M88" s="21" t="n"/>
      <c r="N88" s="21" t="n"/>
      <c r="O88" s="21" t="n"/>
      <c r="P88" s="21" t="n"/>
      <c r="Q88" s="21" t="n"/>
    </row>
    <row r="89">
      <c r="A89" s="21" t="n"/>
      <c r="B89" s="21" t="n"/>
      <c r="C89" s="21" t="n"/>
      <c r="D89" s="21" t="n"/>
      <c r="E89" s="22" t="n"/>
      <c r="F89" s="23" t="n"/>
      <c r="G89" s="24">
        <f>IF(AND(ISNUMBER(F89),ISNUMBER(E89)),EDATE(F89,E89),"")</f>
        <v/>
      </c>
      <c r="H89" s="22" t="n"/>
      <c r="I89" s="24">
        <f>IF(ISNUMBER(G89),G89-IF(ISNUMBER(H89),H89,30),"")</f>
        <v/>
      </c>
      <c r="J89" s="25">
        <f>IF(G89="","",IF(ISNUMBER(G89),G89-TODAY(),"Check date"))</f>
        <v/>
      </c>
      <c r="K89" s="26">
        <f>IF(J89="","",IF(ISNUMBER(J89),IF(J89&lt;0,"Expired",IF(J89&lt;=30,"Due ≤30 days",IF(J89&lt;=90,"Due ≤90 days","OK"))),"Check date"))</f>
        <v/>
      </c>
      <c r="L89" s="21" t="n"/>
      <c r="M89" s="21" t="n"/>
      <c r="N89" s="21" t="n"/>
      <c r="O89" s="21" t="n"/>
      <c r="P89" s="21" t="n"/>
      <c r="Q89" s="21" t="n"/>
    </row>
    <row r="90">
      <c r="A90" s="21" t="n"/>
      <c r="B90" s="21" t="n"/>
      <c r="C90" s="21" t="n"/>
      <c r="D90" s="21" t="n"/>
      <c r="E90" s="22" t="n"/>
      <c r="F90" s="23" t="n"/>
      <c r="G90" s="24">
        <f>IF(AND(ISNUMBER(F90),ISNUMBER(E90)),EDATE(F90,E90),"")</f>
        <v/>
      </c>
      <c r="H90" s="22" t="n"/>
      <c r="I90" s="24">
        <f>IF(ISNUMBER(G90),G90-IF(ISNUMBER(H90),H90,30),"")</f>
        <v/>
      </c>
      <c r="J90" s="25">
        <f>IF(G90="","",IF(ISNUMBER(G90),G90-TODAY(),"Check date"))</f>
        <v/>
      </c>
      <c r="K90" s="26">
        <f>IF(J90="","",IF(ISNUMBER(J90),IF(J90&lt;0,"Expired",IF(J90&lt;=30,"Due ≤30 days",IF(J90&lt;=90,"Due ≤90 days","OK"))),"Check date"))</f>
        <v/>
      </c>
      <c r="L90" s="21" t="n"/>
      <c r="M90" s="21" t="n"/>
      <c r="N90" s="21" t="n"/>
      <c r="O90" s="21" t="n"/>
      <c r="P90" s="21" t="n"/>
      <c r="Q90" s="21" t="n"/>
    </row>
    <row r="91">
      <c r="A91" s="21" t="n"/>
      <c r="B91" s="21" t="n"/>
      <c r="C91" s="21" t="n"/>
      <c r="D91" s="21" t="n"/>
      <c r="E91" s="22" t="n"/>
      <c r="F91" s="23" t="n"/>
      <c r="G91" s="24">
        <f>IF(AND(ISNUMBER(F91),ISNUMBER(E91)),EDATE(F91,E91),"")</f>
        <v/>
      </c>
      <c r="H91" s="22" t="n"/>
      <c r="I91" s="24">
        <f>IF(ISNUMBER(G91),G91-IF(ISNUMBER(H91),H91,30),"")</f>
        <v/>
      </c>
      <c r="J91" s="25">
        <f>IF(G91="","",IF(ISNUMBER(G91),G91-TODAY(),"Check date"))</f>
        <v/>
      </c>
      <c r="K91" s="26">
        <f>IF(J91="","",IF(ISNUMBER(J91),IF(J91&lt;0,"Expired",IF(J91&lt;=30,"Due ≤30 days",IF(J91&lt;=90,"Due ≤90 days","OK"))),"Check date"))</f>
        <v/>
      </c>
      <c r="L91" s="21" t="n"/>
      <c r="M91" s="21" t="n"/>
      <c r="N91" s="21" t="n"/>
      <c r="O91" s="21" t="n"/>
      <c r="P91" s="21" t="n"/>
      <c r="Q91" s="21" t="n"/>
    </row>
    <row r="92">
      <c r="A92" s="21" t="n"/>
      <c r="B92" s="21" t="n"/>
      <c r="C92" s="21" t="n"/>
      <c r="D92" s="21" t="n"/>
      <c r="E92" s="22" t="n"/>
      <c r="F92" s="23" t="n"/>
      <c r="G92" s="24">
        <f>IF(AND(ISNUMBER(F92),ISNUMBER(E92)),EDATE(F92,E92),"")</f>
        <v/>
      </c>
      <c r="H92" s="22" t="n"/>
      <c r="I92" s="24">
        <f>IF(ISNUMBER(G92),G92-IF(ISNUMBER(H92),H92,30),"")</f>
        <v/>
      </c>
      <c r="J92" s="25">
        <f>IF(G92="","",IF(ISNUMBER(G92),G92-TODAY(),"Check date"))</f>
        <v/>
      </c>
      <c r="K92" s="26">
        <f>IF(J92="","",IF(ISNUMBER(J92),IF(J92&lt;0,"Expired",IF(J92&lt;=30,"Due ≤30 days",IF(J92&lt;=90,"Due ≤90 days","OK"))),"Check date"))</f>
        <v/>
      </c>
      <c r="L92" s="21" t="n"/>
      <c r="M92" s="21" t="n"/>
      <c r="N92" s="21" t="n"/>
      <c r="O92" s="21" t="n"/>
      <c r="P92" s="21" t="n"/>
      <c r="Q92" s="21" t="n"/>
    </row>
    <row r="93">
      <c r="A93" s="21" t="n"/>
      <c r="B93" s="21" t="n"/>
      <c r="C93" s="21" t="n"/>
      <c r="D93" s="21" t="n"/>
      <c r="E93" s="22" t="n"/>
      <c r="F93" s="23" t="n"/>
      <c r="G93" s="24">
        <f>IF(AND(ISNUMBER(F93),ISNUMBER(E93)),EDATE(F93,E93),"")</f>
        <v/>
      </c>
      <c r="H93" s="22" t="n"/>
      <c r="I93" s="24">
        <f>IF(ISNUMBER(G93),G93-IF(ISNUMBER(H93),H93,30),"")</f>
        <v/>
      </c>
      <c r="J93" s="25">
        <f>IF(G93="","",IF(ISNUMBER(G93),G93-TODAY(),"Check date"))</f>
        <v/>
      </c>
      <c r="K93" s="26">
        <f>IF(J93="","",IF(ISNUMBER(J93),IF(J93&lt;0,"Expired",IF(J93&lt;=30,"Due ≤30 days",IF(J93&lt;=90,"Due ≤90 days","OK"))),"Check date"))</f>
        <v/>
      </c>
      <c r="L93" s="21" t="n"/>
      <c r="M93" s="21" t="n"/>
      <c r="N93" s="21" t="n"/>
      <c r="O93" s="21" t="n"/>
      <c r="P93" s="21" t="n"/>
      <c r="Q93" s="21" t="n"/>
    </row>
    <row r="94">
      <c r="A94" s="21" t="n"/>
      <c r="B94" s="21" t="n"/>
      <c r="C94" s="21" t="n"/>
      <c r="D94" s="21" t="n"/>
      <c r="E94" s="22" t="n"/>
      <c r="F94" s="23" t="n"/>
      <c r="G94" s="24">
        <f>IF(AND(ISNUMBER(F94),ISNUMBER(E94)),EDATE(F94,E94),"")</f>
        <v/>
      </c>
      <c r="H94" s="22" t="n"/>
      <c r="I94" s="24">
        <f>IF(ISNUMBER(G94),G94-IF(ISNUMBER(H94),H94,30),"")</f>
        <v/>
      </c>
      <c r="J94" s="25">
        <f>IF(G94="","",IF(ISNUMBER(G94),G94-TODAY(),"Check date"))</f>
        <v/>
      </c>
      <c r="K94" s="26">
        <f>IF(J94="","",IF(ISNUMBER(J94),IF(J94&lt;0,"Expired",IF(J94&lt;=30,"Due ≤30 days",IF(J94&lt;=90,"Due ≤90 days","OK"))),"Check date"))</f>
        <v/>
      </c>
      <c r="L94" s="21" t="n"/>
      <c r="M94" s="21" t="n"/>
      <c r="N94" s="21" t="n"/>
      <c r="O94" s="21" t="n"/>
      <c r="P94" s="21" t="n"/>
      <c r="Q94" s="21" t="n"/>
    </row>
    <row r="95">
      <c r="A95" s="21" t="n"/>
      <c r="B95" s="21" t="n"/>
      <c r="C95" s="21" t="n"/>
      <c r="D95" s="21" t="n"/>
      <c r="E95" s="22" t="n"/>
      <c r="F95" s="23" t="n"/>
      <c r="G95" s="24">
        <f>IF(AND(ISNUMBER(F95),ISNUMBER(E95)),EDATE(F95,E95),"")</f>
        <v/>
      </c>
      <c r="H95" s="22" t="n"/>
      <c r="I95" s="24">
        <f>IF(ISNUMBER(G95),G95-IF(ISNUMBER(H95),H95,30),"")</f>
        <v/>
      </c>
      <c r="J95" s="25">
        <f>IF(G95="","",IF(ISNUMBER(G95),G95-TODAY(),"Check date"))</f>
        <v/>
      </c>
      <c r="K95" s="26">
        <f>IF(J95="","",IF(ISNUMBER(J95),IF(J95&lt;0,"Expired",IF(J95&lt;=30,"Due ≤30 days",IF(J95&lt;=90,"Due ≤90 days","OK"))),"Check date"))</f>
        <v/>
      </c>
      <c r="L95" s="21" t="n"/>
      <c r="M95" s="21" t="n"/>
      <c r="N95" s="21" t="n"/>
      <c r="O95" s="21" t="n"/>
      <c r="P95" s="21" t="n"/>
      <c r="Q95" s="21" t="n"/>
    </row>
    <row r="96">
      <c r="A96" s="21" t="n"/>
      <c r="B96" s="21" t="n"/>
      <c r="C96" s="21" t="n"/>
      <c r="D96" s="21" t="n"/>
      <c r="E96" s="22" t="n"/>
      <c r="F96" s="23" t="n"/>
      <c r="G96" s="24">
        <f>IF(AND(ISNUMBER(F96),ISNUMBER(E96)),EDATE(F96,E96),"")</f>
        <v/>
      </c>
      <c r="H96" s="22" t="n"/>
      <c r="I96" s="24">
        <f>IF(ISNUMBER(G96),G96-IF(ISNUMBER(H96),H96,30),"")</f>
        <v/>
      </c>
      <c r="J96" s="25">
        <f>IF(G96="","",IF(ISNUMBER(G96),G96-TODAY(),"Check date"))</f>
        <v/>
      </c>
      <c r="K96" s="26">
        <f>IF(J96="","",IF(ISNUMBER(J96),IF(J96&lt;0,"Expired",IF(J96&lt;=30,"Due ≤30 days",IF(J96&lt;=90,"Due ≤90 days","OK"))),"Check date"))</f>
        <v/>
      </c>
      <c r="L96" s="21" t="n"/>
      <c r="M96" s="21" t="n"/>
      <c r="N96" s="21" t="n"/>
      <c r="O96" s="21" t="n"/>
      <c r="P96" s="21" t="n"/>
      <c r="Q96" s="21" t="n"/>
    </row>
    <row r="97">
      <c r="A97" s="21" t="n"/>
      <c r="B97" s="21" t="n"/>
      <c r="C97" s="21" t="n"/>
      <c r="D97" s="21" t="n"/>
      <c r="E97" s="22" t="n"/>
      <c r="F97" s="23" t="n"/>
      <c r="G97" s="24">
        <f>IF(AND(ISNUMBER(F97),ISNUMBER(E97)),EDATE(F97,E97),"")</f>
        <v/>
      </c>
      <c r="H97" s="22" t="n"/>
      <c r="I97" s="24">
        <f>IF(ISNUMBER(G97),G97-IF(ISNUMBER(H97),H97,30),"")</f>
        <v/>
      </c>
      <c r="J97" s="25">
        <f>IF(G97="","",IF(ISNUMBER(G97),G97-TODAY(),"Check date"))</f>
        <v/>
      </c>
      <c r="K97" s="26">
        <f>IF(J97="","",IF(ISNUMBER(J97),IF(J97&lt;0,"Expired",IF(J97&lt;=30,"Due ≤30 days",IF(J97&lt;=90,"Due ≤90 days","OK"))),"Check date"))</f>
        <v/>
      </c>
      <c r="L97" s="21" t="n"/>
      <c r="M97" s="21" t="n"/>
      <c r="N97" s="21" t="n"/>
      <c r="O97" s="21" t="n"/>
      <c r="P97" s="21" t="n"/>
      <c r="Q97" s="21" t="n"/>
    </row>
    <row r="98">
      <c r="A98" s="21" t="n"/>
      <c r="B98" s="21" t="n"/>
      <c r="C98" s="21" t="n"/>
      <c r="D98" s="21" t="n"/>
      <c r="E98" s="22" t="n"/>
      <c r="F98" s="23" t="n"/>
      <c r="G98" s="24">
        <f>IF(AND(ISNUMBER(F98),ISNUMBER(E98)),EDATE(F98,E98),"")</f>
        <v/>
      </c>
      <c r="H98" s="22" t="n"/>
      <c r="I98" s="24">
        <f>IF(ISNUMBER(G98),G98-IF(ISNUMBER(H98),H98,30),"")</f>
        <v/>
      </c>
      <c r="J98" s="25">
        <f>IF(G98="","",IF(ISNUMBER(G98),G98-TODAY(),"Check date"))</f>
        <v/>
      </c>
      <c r="K98" s="26">
        <f>IF(J98="","",IF(ISNUMBER(J98),IF(J98&lt;0,"Expired",IF(J98&lt;=30,"Due ≤30 days",IF(J98&lt;=90,"Due ≤90 days","OK"))),"Check date"))</f>
        <v/>
      </c>
      <c r="L98" s="21" t="n"/>
      <c r="M98" s="21" t="n"/>
      <c r="N98" s="21" t="n"/>
      <c r="O98" s="21" t="n"/>
      <c r="P98" s="21" t="n"/>
      <c r="Q98" s="21" t="n"/>
    </row>
    <row r="99">
      <c r="A99" s="21" t="n"/>
      <c r="B99" s="21" t="n"/>
      <c r="C99" s="21" t="n"/>
      <c r="D99" s="21" t="n"/>
      <c r="E99" s="22" t="n"/>
      <c r="F99" s="23" t="n"/>
      <c r="G99" s="24">
        <f>IF(AND(ISNUMBER(F99),ISNUMBER(E99)),EDATE(F99,E99),"")</f>
        <v/>
      </c>
      <c r="H99" s="22" t="n"/>
      <c r="I99" s="24">
        <f>IF(ISNUMBER(G99),G99-IF(ISNUMBER(H99),H99,30),"")</f>
        <v/>
      </c>
      <c r="J99" s="25">
        <f>IF(G99="","",IF(ISNUMBER(G99),G99-TODAY(),"Check date"))</f>
        <v/>
      </c>
      <c r="K99" s="26">
        <f>IF(J99="","",IF(ISNUMBER(J99),IF(J99&lt;0,"Expired",IF(J99&lt;=30,"Due ≤30 days",IF(J99&lt;=90,"Due ≤90 days","OK"))),"Check date"))</f>
        <v/>
      </c>
      <c r="L99" s="21" t="n"/>
      <c r="M99" s="21" t="n"/>
      <c r="N99" s="21" t="n"/>
      <c r="O99" s="21" t="n"/>
      <c r="P99" s="21" t="n"/>
      <c r="Q99" s="21" t="n"/>
    </row>
    <row r="100">
      <c r="A100" s="21" t="n"/>
      <c r="B100" s="21" t="n"/>
      <c r="C100" s="21" t="n"/>
      <c r="D100" s="21" t="n"/>
      <c r="E100" s="22" t="n"/>
      <c r="F100" s="23" t="n"/>
      <c r="G100" s="24">
        <f>IF(AND(ISNUMBER(F100),ISNUMBER(E100)),EDATE(F100,E100),"")</f>
        <v/>
      </c>
      <c r="H100" s="22" t="n"/>
      <c r="I100" s="24">
        <f>IF(ISNUMBER(G100),G100-IF(ISNUMBER(H100),H100,30),"")</f>
        <v/>
      </c>
      <c r="J100" s="25">
        <f>IF(G100="","",IF(ISNUMBER(G100),G100-TODAY(),"Check date"))</f>
        <v/>
      </c>
      <c r="K100" s="26">
        <f>IF(J100="","",IF(ISNUMBER(J100),IF(J100&lt;0,"Expired",IF(J100&lt;=30,"Due ≤30 days",IF(J100&lt;=90,"Due ≤90 days","OK"))),"Check date"))</f>
        <v/>
      </c>
      <c r="L100" s="21" t="n"/>
      <c r="M100" s="21" t="n"/>
      <c r="N100" s="21" t="n"/>
      <c r="O100" s="21" t="n"/>
      <c r="P100" s="21" t="n"/>
      <c r="Q100" s="21" t="n"/>
    </row>
    <row r="101">
      <c r="A101" s="21" t="n"/>
      <c r="B101" s="21" t="n"/>
      <c r="C101" s="21" t="n"/>
      <c r="D101" s="21" t="n"/>
      <c r="E101" s="22" t="n"/>
      <c r="F101" s="23" t="n"/>
      <c r="G101" s="24">
        <f>IF(AND(ISNUMBER(F101),ISNUMBER(E101)),EDATE(F101,E101),"")</f>
        <v/>
      </c>
      <c r="H101" s="22" t="n"/>
      <c r="I101" s="24">
        <f>IF(ISNUMBER(G101),G101-IF(ISNUMBER(H101),H101,30),"")</f>
        <v/>
      </c>
      <c r="J101" s="25">
        <f>IF(G101="","",IF(ISNUMBER(G101),G101-TODAY(),"Check date"))</f>
        <v/>
      </c>
      <c r="K101" s="26">
        <f>IF(J101="","",IF(ISNUMBER(J101),IF(J101&lt;0,"Expired",IF(J101&lt;=30,"Due ≤30 days",IF(J101&lt;=90,"Due ≤90 days","OK"))),"Check date"))</f>
        <v/>
      </c>
      <c r="L101" s="21" t="n"/>
      <c r="M101" s="21" t="n"/>
      <c r="N101" s="21" t="n"/>
      <c r="O101" s="21" t="n"/>
      <c r="P101" s="21" t="n"/>
      <c r="Q101" s="21" t="n"/>
    </row>
    <row r="102">
      <c r="A102" s="21" t="n"/>
      <c r="B102" s="21" t="n"/>
      <c r="C102" s="21" t="n"/>
      <c r="D102" s="21" t="n"/>
      <c r="E102" s="22" t="n"/>
      <c r="F102" s="23" t="n"/>
      <c r="G102" s="24">
        <f>IF(AND(ISNUMBER(F102),ISNUMBER(E102)),EDATE(F102,E102),"")</f>
        <v/>
      </c>
      <c r="H102" s="22" t="n"/>
      <c r="I102" s="24">
        <f>IF(ISNUMBER(G102),G102-IF(ISNUMBER(H102),H102,30),"")</f>
        <v/>
      </c>
      <c r="J102" s="25">
        <f>IF(G102="","",IF(ISNUMBER(G102),G102-TODAY(),"Check date"))</f>
        <v/>
      </c>
      <c r="K102" s="26">
        <f>IF(J102="","",IF(ISNUMBER(J102),IF(J102&lt;0,"Expired",IF(J102&lt;=30,"Due ≤30 days",IF(J102&lt;=90,"Due ≤90 days","OK"))),"Check date"))</f>
        <v/>
      </c>
      <c r="L102" s="21" t="n"/>
      <c r="M102" s="21" t="n"/>
      <c r="N102" s="21" t="n"/>
      <c r="O102" s="21" t="n"/>
      <c r="P102" s="21" t="n"/>
      <c r="Q102" s="21" t="n"/>
    </row>
    <row r="103">
      <c r="A103" s="21" t="n"/>
      <c r="B103" s="21" t="n"/>
      <c r="C103" s="21" t="n"/>
      <c r="D103" s="21" t="n"/>
      <c r="E103" s="22" t="n"/>
      <c r="F103" s="23" t="n"/>
      <c r="G103" s="24">
        <f>IF(AND(ISNUMBER(F103),ISNUMBER(E103)),EDATE(F103,E103),"")</f>
        <v/>
      </c>
      <c r="H103" s="22" t="n"/>
      <c r="I103" s="24">
        <f>IF(ISNUMBER(G103),G103-IF(ISNUMBER(H103),H103,30),"")</f>
        <v/>
      </c>
      <c r="J103" s="25">
        <f>IF(G103="","",IF(ISNUMBER(G103),G103-TODAY(),"Check date"))</f>
        <v/>
      </c>
      <c r="K103" s="26">
        <f>IF(J103="","",IF(ISNUMBER(J103),IF(J103&lt;0,"Expired",IF(J103&lt;=30,"Due ≤30 days",IF(J103&lt;=90,"Due ≤90 days","OK"))),"Check date"))</f>
        <v/>
      </c>
      <c r="L103" s="21" t="n"/>
      <c r="M103" s="21" t="n"/>
      <c r="N103" s="21" t="n"/>
      <c r="O103" s="21" t="n"/>
      <c r="P103" s="21" t="n"/>
      <c r="Q103" s="21" t="n"/>
    </row>
    <row r="104">
      <c r="A104" s="21" t="n"/>
      <c r="B104" s="21" t="n"/>
      <c r="C104" s="21" t="n"/>
      <c r="D104" s="21" t="n"/>
      <c r="E104" s="22" t="n"/>
      <c r="F104" s="23" t="n"/>
      <c r="G104" s="24">
        <f>IF(AND(ISNUMBER(F104),ISNUMBER(E104)),EDATE(F104,E104),"")</f>
        <v/>
      </c>
      <c r="H104" s="22" t="n"/>
      <c r="I104" s="24">
        <f>IF(ISNUMBER(G104),G104-IF(ISNUMBER(H104),H104,30),"")</f>
        <v/>
      </c>
      <c r="J104" s="25">
        <f>IF(G104="","",IF(ISNUMBER(G104),G104-TODAY(),"Check date"))</f>
        <v/>
      </c>
      <c r="K104" s="26">
        <f>IF(J104="","",IF(ISNUMBER(J104),IF(J104&lt;0,"Expired",IF(J104&lt;=30,"Due ≤30 days",IF(J104&lt;=90,"Due ≤90 days","OK"))),"Check date"))</f>
        <v/>
      </c>
      <c r="L104" s="21" t="n"/>
      <c r="M104" s="21" t="n"/>
      <c r="N104" s="21" t="n"/>
      <c r="O104" s="21" t="n"/>
      <c r="P104" s="21" t="n"/>
      <c r="Q104" s="21" t="n"/>
    </row>
    <row r="105">
      <c r="A105" s="21" t="n"/>
      <c r="B105" s="21" t="n"/>
      <c r="C105" s="21" t="n"/>
      <c r="D105" s="21" t="n"/>
      <c r="E105" s="22" t="n"/>
      <c r="F105" s="23" t="n"/>
      <c r="G105" s="24">
        <f>IF(AND(ISNUMBER(F105),ISNUMBER(E105)),EDATE(F105,E105),"")</f>
        <v/>
      </c>
      <c r="H105" s="22" t="n"/>
      <c r="I105" s="24">
        <f>IF(ISNUMBER(G105),G105-IF(ISNUMBER(H105),H105,30),"")</f>
        <v/>
      </c>
      <c r="J105" s="25">
        <f>IF(G105="","",IF(ISNUMBER(G105),G105-TODAY(),"Check date"))</f>
        <v/>
      </c>
      <c r="K105" s="26">
        <f>IF(J105="","",IF(ISNUMBER(J105),IF(J105&lt;0,"Expired",IF(J105&lt;=30,"Due ≤30 days",IF(J105&lt;=90,"Due ≤90 days","OK"))),"Check date"))</f>
        <v/>
      </c>
      <c r="L105" s="21" t="n"/>
      <c r="M105" s="21" t="n"/>
      <c r="N105" s="21" t="n"/>
      <c r="O105" s="21" t="n"/>
      <c r="P105" s="21" t="n"/>
      <c r="Q105" s="21" t="n"/>
    </row>
    <row r="106">
      <c r="A106" s="21" t="n"/>
      <c r="B106" s="21" t="n"/>
      <c r="C106" s="21" t="n"/>
      <c r="D106" s="21" t="n"/>
      <c r="E106" s="22" t="n"/>
      <c r="F106" s="23" t="n"/>
      <c r="G106" s="24">
        <f>IF(AND(ISNUMBER(F106),ISNUMBER(E106)),EDATE(F106,E106),"")</f>
        <v/>
      </c>
      <c r="H106" s="22" t="n"/>
      <c r="I106" s="24">
        <f>IF(ISNUMBER(G106),G106-IF(ISNUMBER(H106),H106,30),"")</f>
        <v/>
      </c>
      <c r="J106" s="25">
        <f>IF(G106="","",IF(ISNUMBER(G106),G106-TODAY(),"Check date"))</f>
        <v/>
      </c>
      <c r="K106" s="26">
        <f>IF(J106="","",IF(ISNUMBER(J106),IF(J106&lt;0,"Expired",IF(J106&lt;=30,"Due ≤30 days",IF(J106&lt;=90,"Due ≤90 days","OK"))),"Check date"))</f>
        <v/>
      </c>
      <c r="L106" s="21" t="n"/>
      <c r="M106" s="21" t="n"/>
      <c r="N106" s="21" t="n"/>
      <c r="O106" s="21" t="n"/>
      <c r="P106" s="21" t="n"/>
      <c r="Q106" s="21" t="n"/>
    </row>
    <row r="107">
      <c r="A107" s="21" t="n"/>
      <c r="B107" s="21" t="n"/>
      <c r="C107" s="21" t="n"/>
      <c r="D107" s="21" t="n"/>
      <c r="E107" s="22" t="n"/>
      <c r="F107" s="23" t="n"/>
      <c r="G107" s="24">
        <f>IF(AND(ISNUMBER(F107),ISNUMBER(E107)),EDATE(F107,E107),"")</f>
        <v/>
      </c>
      <c r="H107" s="22" t="n"/>
      <c r="I107" s="24">
        <f>IF(ISNUMBER(G107),G107-IF(ISNUMBER(H107),H107,30),"")</f>
        <v/>
      </c>
      <c r="J107" s="25">
        <f>IF(G107="","",IF(ISNUMBER(G107),G107-TODAY(),"Check date"))</f>
        <v/>
      </c>
      <c r="K107" s="26">
        <f>IF(J107="","",IF(ISNUMBER(J107),IF(J107&lt;0,"Expired",IF(J107&lt;=30,"Due ≤30 days",IF(J107&lt;=90,"Due ≤90 days","OK"))),"Check date"))</f>
        <v/>
      </c>
      <c r="L107" s="21" t="n"/>
      <c r="M107" s="21" t="n"/>
      <c r="N107" s="21" t="n"/>
      <c r="O107" s="21" t="n"/>
      <c r="P107" s="21" t="n"/>
      <c r="Q107" s="21" t="n"/>
    </row>
    <row r="108">
      <c r="A108" s="21" t="n"/>
      <c r="B108" s="21" t="n"/>
      <c r="C108" s="21" t="n"/>
      <c r="D108" s="21" t="n"/>
      <c r="E108" s="22" t="n"/>
      <c r="F108" s="23" t="n"/>
      <c r="G108" s="24">
        <f>IF(AND(ISNUMBER(F108),ISNUMBER(E108)),EDATE(F108,E108),"")</f>
        <v/>
      </c>
      <c r="H108" s="22" t="n"/>
      <c r="I108" s="24">
        <f>IF(ISNUMBER(G108),G108-IF(ISNUMBER(H108),H108,30),"")</f>
        <v/>
      </c>
      <c r="J108" s="25">
        <f>IF(G108="","",IF(ISNUMBER(G108),G108-TODAY(),"Check date"))</f>
        <v/>
      </c>
      <c r="K108" s="26">
        <f>IF(J108="","",IF(ISNUMBER(J108),IF(J108&lt;0,"Expired",IF(J108&lt;=30,"Due ≤30 days",IF(J108&lt;=90,"Due ≤90 days","OK"))),"Check date"))</f>
        <v/>
      </c>
      <c r="L108" s="21" t="n"/>
      <c r="M108" s="21" t="n"/>
      <c r="N108" s="21" t="n"/>
      <c r="O108" s="21" t="n"/>
      <c r="P108" s="21" t="n"/>
      <c r="Q108" s="21" t="n"/>
    </row>
    <row r="109">
      <c r="A109" s="21" t="n"/>
      <c r="B109" s="21" t="n"/>
      <c r="C109" s="21" t="n"/>
      <c r="D109" s="21" t="n"/>
      <c r="E109" s="22" t="n"/>
      <c r="F109" s="23" t="n"/>
      <c r="G109" s="24">
        <f>IF(AND(ISNUMBER(F109),ISNUMBER(E109)),EDATE(F109,E109),"")</f>
        <v/>
      </c>
      <c r="H109" s="22" t="n"/>
      <c r="I109" s="24">
        <f>IF(ISNUMBER(G109),G109-IF(ISNUMBER(H109),H109,30),"")</f>
        <v/>
      </c>
      <c r="J109" s="25">
        <f>IF(G109="","",IF(ISNUMBER(G109),G109-TODAY(),"Check date"))</f>
        <v/>
      </c>
      <c r="K109" s="26">
        <f>IF(J109="","",IF(ISNUMBER(J109),IF(J109&lt;0,"Expired",IF(J109&lt;=30,"Due ≤30 days",IF(J109&lt;=90,"Due ≤90 days","OK"))),"Check date"))</f>
        <v/>
      </c>
      <c r="L109" s="21" t="n"/>
      <c r="M109" s="21" t="n"/>
      <c r="N109" s="21" t="n"/>
      <c r="O109" s="21" t="n"/>
      <c r="P109" s="21" t="n"/>
      <c r="Q109" s="21" t="n"/>
    </row>
    <row r="110">
      <c r="A110" s="21" t="n"/>
      <c r="B110" s="21" t="n"/>
      <c r="C110" s="21" t="n"/>
      <c r="D110" s="21" t="n"/>
      <c r="E110" s="22" t="n"/>
      <c r="F110" s="23" t="n"/>
      <c r="G110" s="24">
        <f>IF(AND(ISNUMBER(F110),ISNUMBER(E110)),EDATE(F110,E110),"")</f>
        <v/>
      </c>
      <c r="H110" s="22" t="n"/>
      <c r="I110" s="24">
        <f>IF(ISNUMBER(G110),G110-IF(ISNUMBER(H110),H110,30),"")</f>
        <v/>
      </c>
      <c r="J110" s="25">
        <f>IF(G110="","",IF(ISNUMBER(G110),G110-TODAY(),"Check date"))</f>
        <v/>
      </c>
      <c r="K110" s="26">
        <f>IF(J110="","",IF(ISNUMBER(J110),IF(J110&lt;0,"Expired",IF(J110&lt;=30,"Due ≤30 days",IF(J110&lt;=90,"Due ≤90 days","OK"))),"Check date"))</f>
        <v/>
      </c>
      <c r="L110" s="21" t="n"/>
      <c r="M110" s="21" t="n"/>
      <c r="N110" s="21" t="n"/>
      <c r="O110" s="21" t="n"/>
      <c r="P110" s="21" t="n"/>
      <c r="Q110" s="21" t="n"/>
    </row>
    <row r="111">
      <c r="A111" s="21" t="n"/>
      <c r="B111" s="21" t="n"/>
      <c r="C111" s="21" t="n"/>
      <c r="D111" s="21" t="n"/>
      <c r="E111" s="22" t="n"/>
      <c r="F111" s="23" t="n"/>
      <c r="G111" s="24">
        <f>IF(AND(ISNUMBER(F111),ISNUMBER(E111)),EDATE(F111,E111),"")</f>
        <v/>
      </c>
      <c r="H111" s="22" t="n"/>
      <c r="I111" s="24">
        <f>IF(ISNUMBER(G111),G111-IF(ISNUMBER(H111),H111,30),"")</f>
        <v/>
      </c>
      <c r="J111" s="25">
        <f>IF(G111="","",IF(ISNUMBER(G111),G111-TODAY(),"Check date"))</f>
        <v/>
      </c>
      <c r="K111" s="26">
        <f>IF(J111="","",IF(ISNUMBER(J111),IF(J111&lt;0,"Expired",IF(J111&lt;=30,"Due ≤30 days",IF(J111&lt;=90,"Due ≤90 days","OK"))),"Check date"))</f>
        <v/>
      </c>
      <c r="L111" s="21" t="n"/>
      <c r="M111" s="21" t="n"/>
      <c r="N111" s="21" t="n"/>
      <c r="O111" s="21" t="n"/>
      <c r="P111" s="21" t="n"/>
      <c r="Q111" s="21" t="n"/>
    </row>
    <row r="112">
      <c r="A112" s="21" t="n"/>
      <c r="B112" s="21" t="n"/>
      <c r="C112" s="21" t="n"/>
      <c r="D112" s="21" t="n"/>
      <c r="E112" s="22" t="n"/>
      <c r="F112" s="23" t="n"/>
      <c r="G112" s="24">
        <f>IF(AND(ISNUMBER(F112),ISNUMBER(E112)),EDATE(F112,E112),"")</f>
        <v/>
      </c>
      <c r="H112" s="22" t="n"/>
      <c r="I112" s="24">
        <f>IF(ISNUMBER(G112),G112-IF(ISNUMBER(H112),H112,30),"")</f>
        <v/>
      </c>
      <c r="J112" s="25">
        <f>IF(G112="","",IF(ISNUMBER(G112),G112-TODAY(),"Check date"))</f>
        <v/>
      </c>
      <c r="K112" s="26">
        <f>IF(J112="","",IF(ISNUMBER(J112),IF(J112&lt;0,"Expired",IF(J112&lt;=30,"Due ≤30 days",IF(J112&lt;=90,"Due ≤90 days","OK"))),"Check date"))</f>
        <v/>
      </c>
      <c r="L112" s="21" t="n"/>
      <c r="M112" s="21" t="n"/>
      <c r="N112" s="21" t="n"/>
      <c r="O112" s="21" t="n"/>
      <c r="P112" s="21" t="n"/>
      <c r="Q112" s="21" t="n"/>
    </row>
    <row r="113">
      <c r="A113" s="21" t="n"/>
      <c r="B113" s="21" t="n"/>
      <c r="C113" s="21" t="n"/>
      <c r="D113" s="21" t="n"/>
      <c r="E113" s="22" t="n"/>
      <c r="F113" s="23" t="n"/>
      <c r="G113" s="24">
        <f>IF(AND(ISNUMBER(F113),ISNUMBER(E113)),EDATE(F113,E113),"")</f>
        <v/>
      </c>
      <c r="H113" s="22" t="n"/>
      <c r="I113" s="24">
        <f>IF(ISNUMBER(G113),G113-IF(ISNUMBER(H113),H113,30),"")</f>
        <v/>
      </c>
      <c r="J113" s="25">
        <f>IF(G113="","",IF(ISNUMBER(G113),G113-TODAY(),"Check date"))</f>
        <v/>
      </c>
      <c r="K113" s="26">
        <f>IF(J113="","",IF(ISNUMBER(J113),IF(J113&lt;0,"Expired",IF(J113&lt;=30,"Due ≤30 days",IF(J113&lt;=90,"Due ≤90 days","OK"))),"Check date"))</f>
        <v/>
      </c>
      <c r="L113" s="21" t="n"/>
      <c r="M113" s="21" t="n"/>
      <c r="N113" s="21" t="n"/>
      <c r="O113" s="21" t="n"/>
      <c r="P113" s="21" t="n"/>
      <c r="Q113" s="21" t="n"/>
    </row>
    <row r="114">
      <c r="A114" s="21" t="n"/>
      <c r="B114" s="21" t="n"/>
      <c r="C114" s="21" t="n"/>
      <c r="D114" s="21" t="n"/>
      <c r="E114" s="22" t="n"/>
      <c r="F114" s="23" t="n"/>
      <c r="G114" s="24">
        <f>IF(AND(ISNUMBER(F114),ISNUMBER(E114)),EDATE(F114,E114),"")</f>
        <v/>
      </c>
      <c r="H114" s="22" t="n"/>
      <c r="I114" s="24">
        <f>IF(ISNUMBER(G114),G114-IF(ISNUMBER(H114),H114,30),"")</f>
        <v/>
      </c>
      <c r="J114" s="25">
        <f>IF(G114="","",IF(ISNUMBER(G114),G114-TODAY(),"Check date"))</f>
        <v/>
      </c>
      <c r="K114" s="26">
        <f>IF(J114="","",IF(ISNUMBER(J114),IF(J114&lt;0,"Expired",IF(J114&lt;=30,"Due ≤30 days",IF(J114&lt;=90,"Due ≤90 days","OK"))),"Check date"))</f>
        <v/>
      </c>
      <c r="L114" s="21" t="n"/>
      <c r="M114" s="21" t="n"/>
      <c r="N114" s="21" t="n"/>
      <c r="O114" s="21" t="n"/>
      <c r="P114" s="21" t="n"/>
      <c r="Q114" s="21" t="n"/>
    </row>
    <row r="115">
      <c r="A115" s="21" t="n"/>
      <c r="B115" s="21" t="n"/>
      <c r="C115" s="21" t="n"/>
      <c r="D115" s="21" t="n"/>
      <c r="E115" s="22" t="n"/>
      <c r="F115" s="23" t="n"/>
      <c r="G115" s="24">
        <f>IF(AND(ISNUMBER(F115),ISNUMBER(E115)),EDATE(F115,E115),"")</f>
        <v/>
      </c>
      <c r="H115" s="22" t="n"/>
      <c r="I115" s="24">
        <f>IF(ISNUMBER(G115),G115-IF(ISNUMBER(H115),H115,30),"")</f>
        <v/>
      </c>
      <c r="J115" s="25">
        <f>IF(G115="","",IF(ISNUMBER(G115),G115-TODAY(),"Check date"))</f>
        <v/>
      </c>
      <c r="K115" s="26">
        <f>IF(J115="","",IF(ISNUMBER(J115),IF(J115&lt;0,"Expired",IF(J115&lt;=30,"Due ≤30 days",IF(J115&lt;=90,"Due ≤90 days","OK"))),"Check date"))</f>
        <v/>
      </c>
      <c r="L115" s="21" t="n"/>
      <c r="M115" s="21" t="n"/>
      <c r="N115" s="21" t="n"/>
      <c r="O115" s="21" t="n"/>
      <c r="P115" s="21" t="n"/>
      <c r="Q115" s="21" t="n"/>
    </row>
    <row r="116">
      <c r="A116" s="21" t="n"/>
      <c r="B116" s="21" t="n"/>
      <c r="C116" s="21" t="n"/>
      <c r="D116" s="21" t="n"/>
      <c r="E116" s="22" t="n"/>
      <c r="F116" s="23" t="n"/>
      <c r="G116" s="24">
        <f>IF(AND(ISNUMBER(F116),ISNUMBER(E116)),EDATE(F116,E116),"")</f>
        <v/>
      </c>
      <c r="H116" s="22" t="n"/>
      <c r="I116" s="24">
        <f>IF(ISNUMBER(G116),G116-IF(ISNUMBER(H116),H116,30),"")</f>
        <v/>
      </c>
      <c r="J116" s="25">
        <f>IF(G116="","",IF(ISNUMBER(G116),G116-TODAY(),"Check date"))</f>
        <v/>
      </c>
      <c r="K116" s="26">
        <f>IF(J116="","",IF(ISNUMBER(J116),IF(J116&lt;0,"Expired",IF(J116&lt;=30,"Due ≤30 days",IF(J116&lt;=90,"Due ≤90 days","OK"))),"Check date"))</f>
        <v/>
      </c>
      <c r="L116" s="21" t="n"/>
      <c r="M116" s="21" t="n"/>
      <c r="N116" s="21" t="n"/>
      <c r="O116" s="21" t="n"/>
      <c r="P116" s="21" t="n"/>
      <c r="Q116" s="21" t="n"/>
    </row>
    <row r="117">
      <c r="A117" s="21" t="n"/>
      <c r="B117" s="21" t="n"/>
      <c r="C117" s="21" t="n"/>
      <c r="D117" s="21" t="n"/>
      <c r="E117" s="22" t="n"/>
      <c r="F117" s="23" t="n"/>
      <c r="G117" s="24">
        <f>IF(AND(ISNUMBER(F117),ISNUMBER(E117)),EDATE(F117,E117),"")</f>
        <v/>
      </c>
      <c r="H117" s="22" t="n"/>
      <c r="I117" s="24">
        <f>IF(ISNUMBER(G117),G117-IF(ISNUMBER(H117),H117,30),"")</f>
        <v/>
      </c>
      <c r="J117" s="25">
        <f>IF(G117="","",IF(ISNUMBER(G117),G117-TODAY(),"Check date"))</f>
        <v/>
      </c>
      <c r="K117" s="26">
        <f>IF(J117="","",IF(ISNUMBER(J117),IF(J117&lt;0,"Expired",IF(J117&lt;=30,"Due ≤30 days",IF(J117&lt;=90,"Due ≤90 days","OK"))),"Check date"))</f>
        <v/>
      </c>
      <c r="L117" s="21" t="n"/>
      <c r="M117" s="21" t="n"/>
      <c r="N117" s="21" t="n"/>
      <c r="O117" s="21" t="n"/>
      <c r="P117" s="21" t="n"/>
      <c r="Q117" s="21" t="n"/>
    </row>
    <row r="118">
      <c r="A118" s="21" t="n"/>
      <c r="B118" s="21" t="n"/>
      <c r="C118" s="21" t="n"/>
      <c r="D118" s="21" t="n"/>
      <c r="E118" s="22" t="n"/>
      <c r="F118" s="23" t="n"/>
      <c r="G118" s="24">
        <f>IF(AND(ISNUMBER(F118),ISNUMBER(E118)),EDATE(F118,E118),"")</f>
        <v/>
      </c>
      <c r="H118" s="22" t="n"/>
      <c r="I118" s="24">
        <f>IF(ISNUMBER(G118),G118-IF(ISNUMBER(H118),H118,30),"")</f>
        <v/>
      </c>
      <c r="J118" s="25">
        <f>IF(G118="","",IF(ISNUMBER(G118),G118-TODAY(),"Check date"))</f>
        <v/>
      </c>
      <c r="K118" s="26">
        <f>IF(J118="","",IF(ISNUMBER(J118),IF(J118&lt;0,"Expired",IF(J118&lt;=30,"Due ≤30 days",IF(J118&lt;=90,"Due ≤90 days","OK"))),"Check date"))</f>
        <v/>
      </c>
      <c r="L118" s="21" t="n"/>
      <c r="M118" s="21" t="n"/>
      <c r="N118" s="21" t="n"/>
      <c r="O118" s="21" t="n"/>
      <c r="P118" s="21" t="n"/>
      <c r="Q118" s="21" t="n"/>
    </row>
    <row r="119">
      <c r="A119" s="21" t="n"/>
      <c r="B119" s="21" t="n"/>
      <c r="C119" s="21" t="n"/>
      <c r="D119" s="21" t="n"/>
      <c r="E119" s="22" t="n"/>
      <c r="F119" s="23" t="n"/>
      <c r="G119" s="24">
        <f>IF(AND(ISNUMBER(F119),ISNUMBER(E119)),EDATE(F119,E119),"")</f>
        <v/>
      </c>
      <c r="H119" s="22" t="n"/>
      <c r="I119" s="24">
        <f>IF(ISNUMBER(G119),G119-IF(ISNUMBER(H119),H119,30),"")</f>
        <v/>
      </c>
      <c r="J119" s="25">
        <f>IF(G119="","",IF(ISNUMBER(G119),G119-TODAY(),"Check date"))</f>
        <v/>
      </c>
      <c r="K119" s="26">
        <f>IF(J119="","",IF(ISNUMBER(J119),IF(J119&lt;0,"Expired",IF(J119&lt;=30,"Due ≤30 days",IF(J119&lt;=90,"Due ≤90 days","OK"))),"Check date"))</f>
        <v/>
      </c>
      <c r="L119" s="21" t="n"/>
      <c r="M119" s="21" t="n"/>
      <c r="N119" s="21" t="n"/>
      <c r="O119" s="21" t="n"/>
      <c r="P119" s="21" t="n"/>
      <c r="Q119" s="21" t="n"/>
    </row>
    <row r="120">
      <c r="A120" s="21" t="n"/>
      <c r="B120" s="21" t="n"/>
      <c r="C120" s="21" t="n"/>
      <c r="D120" s="21" t="n"/>
      <c r="E120" s="22" t="n"/>
      <c r="F120" s="23" t="n"/>
      <c r="G120" s="24">
        <f>IF(AND(ISNUMBER(F120),ISNUMBER(E120)),EDATE(F120,E120),"")</f>
        <v/>
      </c>
      <c r="H120" s="22" t="n"/>
      <c r="I120" s="24">
        <f>IF(ISNUMBER(G120),G120-IF(ISNUMBER(H120),H120,30),"")</f>
        <v/>
      </c>
      <c r="J120" s="25">
        <f>IF(G120="","",IF(ISNUMBER(G120),G120-TODAY(),"Check date"))</f>
        <v/>
      </c>
      <c r="K120" s="26">
        <f>IF(J120="","",IF(ISNUMBER(J120),IF(J120&lt;0,"Expired",IF(J120&lt;=30,"Due ≤30 days",IF(J120&lt;=90,"Due ≤90 days","OK"))),"Check date"))</f>
        <v/>
      </c>
      <c r="L120" s="21" t="n"/>
      <c r="M120" s="21" t="n"/>
      <c r="N120" s="21" t="n"/>
      <c r="O120" s="21" t="n"/>
      <c r="P120" s="21" t="n"/>
      <c r="Q120" s="21" t="n"/>
    </row>
    <row r="121">
      <c r="A121" s="21" t="n"/>
      <c r="B121" s="21" t="n"/>
      <c r="C121" s="21" t="n"/>
      <c r="D121" s="21" t="n"/>
      <c r="E121" s="22" t="n"/>
      <c r="F121" s="23" t="n"/>
      <c r="G121" s="24">
        <f>IF(AND(ISNUMBER(F121),ISNUMBER(E121)),EDATE(F121,E121),"")</f>
        <v/>
      </c>
      <c r="H121" s="22" t="n"/>
      <c r="I121" s="24">
        <f>IF(ISNUMBER(G121),G121-IF(ISNUMBER(H121),H121,30),"")</f>
        <v/>
      </c>
      <c r="J121" s="25">
        <f>IF(G121="","",IF(ISNUMBER(G121),G121-TODAY(),"Check date"))</f>
        <v/>
      </c>
      <c r="K121" s="26">
        <f>IF(J121="","",IF(ISNUMBER(J121),IF(J121&lt;0,"Expired",IF(J121&lt;=30,"Due ≤30 days",IF(J121&lt;=90,"Due ≤90 days","OK"))),"Check date"))</f>
        <v/>
      </c>
      <c r="L121" s="21" t="n"/>
      <c r="M121" s="21" t="n"/>
      <c r="N121" s="21" t="n"/>
      <c r="O121" s="21" t="n"/>
      <c r="P121" s="21" t="n"/>
      <c r="Q121" s="21" t="n"/>
    </row>
    <row r="122">
      <c r="A122" s="21" t="n"/>
      <c r="B122" s="21" t="n"/>
      <c r="C122" s="21" t="n"/>
      <c r="D122" s="21" t="n"/>
      <c r="E122" s="22" t="n"/>
      <c r="F122" s="23" t="n"/>
      <c r="G122" s="24">
        <f>IF(AND(ISNUMBER(F122),ISNUMBER(E122)),EDATE(F122,E122),"")</f>
        <v/>
      </c>
      <c r="H122" s="22" t="n"/>
      <c r="I122" s="24">
        <f>IF(ISNUMBER(G122),G122-IF(ISNUMBER(H122),H122,30),"")</f>
        <v/>
      </c>
      <c r="J122" s="25">
        <f>IF(G122="","",IF(ISNUMBER(G122),G122-TODAY(),"Check date"))</f>
        <v/>
      </c>
      <c r="K122" s="26">
        <f>IF(J122="","",IF(ISNUMBER(J122),IF(J122&lt;0,"Expired",IF(J122&lt;=30,"Due ≤30 days",IF(J122&lt;=90,"Due ≤90 days","OK"))),"Check date"))</f>
        <v/>
      </c>
      <c r="L122" s="21" t="n"/>
      <c r="M122" s="21" t="n"/>
      <c r="N122" s="21" t="n"/>
      <c r="O122" s="21" t="n"/>
      <c r="P122" s="21" t="n"/>
      <c r="Q122" s="21" t="n"/>
    </row>
    <row r="123">
      <c r="A123" s="21" t="n"/>
      <c r="B123" s="21" t="n"/>
      <c r="C123" s="21" t="n"/>
      <c r="D123" s="21" t="n"/>
      <c r="E123" s="22" t="n"/>
      <c r="F123" s="23" t="n"/>
      <c r="G123" s="24">
        <f>IF(AND(ISNUMBER(F123),ISNUMBER(E123)),EDATE(F123,E123),"")</f>
        <v/>
      </c>
      <c r="H123" s="22" t="n"/>
      <c r="I123" s="24">
        <f>IF(ISNUMBER(G123),G123-IF(ISNUMBER(H123),H123,30),"")</f>
        <v/>
      </c>
      <c r="J123" s="25">
        <f>IF(G123="","",IF(ISNUMBER(G123),G123-TODAY(),"Check date"))</f>
        <v/>
      </c>
      <c r="K123" s="26">
        <f>IF(J123="","",IF(ISNUMBER(J123),IF(J123&lt;0,"Expired",IF(J123&lt;=30,"Due ≤30 days",IF(J123&lt;=90,"Due ≤90 days","OK"))),"Check date"))</f>
        <v/>
      </c>
      <c r="L123" s="21" t="n"/>
      <c r="M123" s="21" t="n"/>
      <c r="N123" s="21" t="n"/>
      <c r="O123" s="21" t="n"/>
      <c r="P123" s="21" t="n"/>
      <c r="Q123" s="21" t="n"/>
    </row>
    <row r="124">
      <c r="A124" s="21" t="n"/>
      <c r="B124" s="21" t="n"/>
      <c r="C124" s="21" t="n"/>
      <c r="D124" s="21" t="n"/>
      <c r="E124" s="22" t="n"/>
      <c r="F124" s="23" t="n"/>
      <c r="G124" s="24">
        <f>IF(AND(ISNUMBER(F124),ISNUMBER(E124)),EDATE(F124,E124),"")</f>
        <v/>
      </c>
      <c r="H124" s="22" t="n"/>
      <c r="I124" s="24">
        <f>IF(ISNUMBER(G124),G124-IF(ISNUMBER(H124),H124,30),"")</f>
        <v/>
      </c>
      <c r="J124" s="25">
        <f>IF(G124="","",IF(ISNUMBER(G124),G124-TODAY(),"Check date"))</f>
        <v/>
      </c>
      <c r="K124" s="26">
        <f>IF(J124="","",IF(ISNUMBER(J124),IF(J124&lt;0,"Expired",IF(J124&lt;=30,"Due ≤30 days",IF(J124&lt;=90,"Due ≤90 days","OK"))),"Check date"))</f>
        <v/>
      </c>
      <c r="L124" s="21" t="n"/>
      <c r="M124" s="21" t="n"/>
      <c r="N124" s="21" t="n"/>
      <c r="O124" s="21" t="n"/>
      <c r="P124" s="21" t="n"/>
      <c r="Q124" s="21" t="n"/>
    </row>
    <row r="125">
      <c r="A125" s="21" t="n"/>
      <c r="B125" s="21" t="n"/>
      <c r="C125" s="21" t="n"/>
      <c r="D125" s="21" t="n"/>
      <c r="E125" s="22" t="n"/>
      <c r="F125" s="23" t="n"/>
      <c r="G125" s="24">
        <f>IF(AND(ISNUMBER(F125),ISNUMBER(E125)),EDATE(F125,E125),"")</f>
        <v/>
      </c>
      <c r="H125" s="22" t="n"/>
      <c r="I125" s="24">
        <f>IF(ISNUMBER(G125),G125-IF(ISNUMBER(H125),H125,30),"")</f>
        <v/>
      </c>
      <c r="J125" s="25">
        <f>IF(G125="","",IF(ISNUMBER(G125),G125-TODAY(),"Check date"))</f>
        <v/>
      </c>
      <c r="K125" s="26">
        <f>IF(J125="","",IF(ISNUMBER(J125),IF(J125&lt;0,"Expired",IF(J125&lt;=30,"Due ≤30 days",IF(J125&lt;=90,"Due ≤90 days","OK"))),"Check date"))</f>
        <v/>
      </c>
      <c r="L125" s="21" t="n"/>
      <c r="M125" s="21" t="n"/>
      <c r="N125" s="21" t="n"/>
      <c r="O125" s="21" t="n"/>
      <c r="P125" s="21" t="n"/>
      <c r="Q125" s="21" t="n"/>
    </row>
    <row r="126">
      <c r="A126" s="21" t="n"/>
      <c r="B126" s="21" t="n"/>
      <c r="C126" s="21" t="n"/>
      <c r="D126" s="21" t="n"/>
      <c r="E126" s="22" t="n"/>
      <c r="F126" s="23" t="n"/>
      <c r="G126" s="24">
        <f>IF(AND(ISNUMBER(F126),ISNUMBER(E126)),EDATE(F126,E126),"")</f>
        <v/>
      </c>
      <c r="H126" s="22" t="n"/>
      <c r="I126" s="24">
        <f>IF(ISNUMBER(G126),G126-IF(ISNUMBER(H126),H126,30),"")</f>
        <v/>
      </c>
      <c r="J126" s="25">
        <f>IF(G126="","",IF(ISNUMBER(G126),G126-TODAY(),"Check date"))</f>
        <v/>
      </c>
      <c r="K126" s="26">
        <f>IF(J126="","",IF(ISNUMBER(J126),IF(J126&lt;0,"Expired",IF(J126&lt;=30,"Due ≤30 days",IF(J126&lt;=90,"Due ≤90 days","OK"))),"Check date"))</f>
        <v/>
      </c>
      <c r="L126" s="21" t="n"/>
      <c r="M126" s="21" t="n"/>
      <c r="N126" s="21" t="n"/>
      <c r="O126" s="21" t="n"/>
      <c r="P126" s="21" t="n"/>
      <c r="Q126" s="21" t="n"/>
    </row>
    <row r="127">
      <c r="A127" s="21" t="n"/>
      <c r="B127" s="21" t="n"/>
      <c r="C127" s="21" t="n"/>
      <c r="D127" s="21" t="n"/>
      <c r="E127" s="22" t="n"/>
      <c r="F127" s="23" t="n"/>
      <c r="G127" s="24">
        <f>IF(AND(ISNUMBER(F127),ISNUMBER(E127)),EDATE(F127,E127),"")</f>
        <v/>
      </c>
      <c r="H127" s="22" t="n"/>
      <c r="I127" s="24">
        <f>IF(ISNUMBER(G127),G127-IF(ISNUMBER(H127),H127,30),"")</f>
        <v/>
      </c>
      <c r="J127" s="25">
        <f>IF(G127="","",IF(ISNUMBER(G127),G127-TODAY(),"Check date"))</f>
        <v/>
      </c>
      <c r="K127" s="26">
        <f>IF(J127="","",IF(ISNUMBER(J127),IF(J127&lt;0,"Expired",IF(J127&lt;=30,"Due ≤30 days",IF(J127&lt;=90,"Due ≤90 days","OK"))),"Check date"))</f>
        <v/>
      </c>
      <c r="L127" s="21" t="n"/>
      <c r="M127" s="21" t="n"/>
      <c r="N127" s="21" t="n"/>
      <c r="O127" s="21" t="n"/>
      <c r="P127" s="21" t="n"/>
      <c r="Q127" s="21" t="n"/>
    </row>
    <row r="128">
      <c r="A128" s="21" t="n"/>
      <c r="B128" s="21" t="n"/>
      <c r="C128" s="21" t="n"/>
      <c r="D128" s="21" t="n"/>
      <c r="E128" s="22" t="n"/>
      <c r="F128" s="23" t="n"/>
      <c r="G128" s="24">
        <f>IF(AND(ISNUMBER(F128),ISNUMBER(E128)),EDATE(F128,E128),"")</f>
        <v/>
      </c>
      <c r="H128" s="22" t="n"/>
      <c r="I128" s="24">
        <f>IF(ISNUMBER(G128),G128-IF(ISNUMBER(H128),H128,30),"")</f>
        <v/>
      </c>
      <c r="J128" s="25">
        <f>IF(G128="","",IF(ISNUMBER(G128),G128-TODAY(),"Check date"))</f>
        <v/>
      </c>
      <c r="K128" s="26">
        <f>IF(J128="","",IF(ISNUMBER(J128),IF(J128&lt;0,"Expired",IF(J128&lt;=30,"Due ≤30 days",IF(J128&lt;=90,"Due ≤90 days","OK"))),"Check date"))</f>
        <v/>
      </c>
      <c r="L128" s="21" t="n"/>
      <c r="M128" s="21" t="n"/>
      <c r="N128" s="21" t="n"/>
      <c r="O128" s="21" t="n"/>
      <c r="P128" s="21" t="n"/>
      <c r="Q128" s="21" t="n"/>
    </row>
    <row r="129">
      <c r="A129" s="21" t="n"/>
      <c r="B129" s="21" t="n"/>
      <c r="C129" s="21" t="n"/>
      <c r="D129" s="21" t="n"/>
      <c r="E129" s="22" t="n"/>
      <c r="F129" s="23" t="n"/>
      <c r="G129" s="24">
        <f>IF(AND(ISNUMBER(F129),ISNUMBER(E129)),EDATE(F129,E129),"")</f>
        <v/>
      </c>
      <c r="H129" s="22" t="n"/>
      <c r="I129" s="24">
        <f>IF(ISNUMBER(G129),G129-IF(ISNUMBER(H129),H129,30),"")</f>
        <v/>
      </c>
      <c r="J129" s="25">
        <f>IF(G129="","",IF(ISNUMBER(G129),G129-TODAY(),"Check date"))</f>
        <v/>
      </c>
      <c r="K129" s="26">
        <f>IF(J129="","",IF(ISNUMBER(J129),IF(J129&lt;0,"Expired",IF(J129&lt;=30,"Due ≤30 days",IF(J129&lt;=90,"Due ≤90 days","OK"))),"Check date"))</f>
        <v/>
      </c>
      <c r="L129" s="21" t="n"/>
      <c r="M129" s="21" t="n"/>
      <c r="N129" s="21" t="n"/>
      <c r="O129" s="21" t="n"/>
      <c r="P129" s="21" t="n"/>
      <c r="Q129" s="21" t="n"/>
    </row>
    <row r="130">
      <c r="A130" s="21" t="n"/>
      <c r="B130" s="21" t="n"/>
      <c r="C130" s="21" t="n"/>
      <c r="D130" s="21" t="n"/>
      <c r="E130" s="22" t="n"/>
      <c r="F130" s="23" t="n"/>
      <c r="G130" s="24">
        <f>IF(AND(ISNUMBER(F130),ISNUMBER(E130)),EDATE(F130,E130),"")</f>
        <v/>
      </c>
      <c r="H130" s="22" t="n"/>
      <c r="I130" s="24">
        <f>IF(ISNUMBER(G130),G130-IF(ISNUMBER(H130),H130,30),"")</f>
        <v/>
      </c>
      <c r="J130" s="25">
        <f>IF(G130="","",IF(ISNUMBER(G130),G130-TODAY(),"Check date"))</f>
        <v/>
      </c>
      <c r="K130" s="26">
        <f>IF(J130="","",IF(ISNUMBER(J130),IF(J130&lt;0,"Expired",IF(J130&lt;=30,"Due ≤30 days",IF(J130&lt;=90,"Due ≤90 days","OK"))),"Check date"))</f>
        <v/>
      </c>
      <c r="L130" s="21" t="n"/>
      <c r="M130" s="21" t="n"/>
      <c r="N130" s="21" t="n"/>
      <c r="O130" s="21" t="n"/>
      <c r="P130" s="21" t="n"/>
      <c r="Q130" s="21" t="n"/>
    </row>
    <row r="131">
      <c r="A131" s="21" t="n"/>
      <c r="B131" s="21" t="n"/>
      <c r="C131" s="21" t="n"/>
      <c r="D131" s="21" t="n"/>
      <c r="E131" s="22" t="n"/>
      <c r="F131" s="23" t="n"/>
      <c r="G131" s="24">
        <f>IF(AND(ISNUMBER(F131),ISNUMBER(E131)),EDATE(F131,E131),"")</f>
        <v/>
      </c>
      <c r="H131" s="22" t="n"/>
      <c r="I131" s="24">
        <f>IF(ISNUMBER(G131),G131-IF(ISNUMBER(H131),H131,30),"")</f>
        <v/>
      </c>
      <c r="J131" s="25">
        <f>IF(G131="","",IF(ISNUMBER(G131),G131-TODAY(),"Check date"))</f>
        <v/>
      </c>
      <c r="K131" s="26">
        <f>IF(J131="","",IF(ISNUMBER(J131),IF(J131&lt;0,"Expired",IF(J131&lt;=30,"Due ≤30 days",IF(J131&lt;=90,"Due ≤90 days","OK"))),"Check date"))</f>
        <v/>
      </c>
      <c r="L131" s="21" t="n"/>
      <c r="M131" s="21" t="n"/>
      <c r="N131" s="21" t="n"/>
      <c r="O131" s="21" t="n"/>
      <c r="P131" s="21" t="n"/>
      <c r="Q131" s="21" t="n"/>
    </row>
    <row r="132">
      <c r="A132" s="21" t="n"/>
      <c r="B132" s="21" t="n"/>
      <c r="C132" s="21" t="n"/>
      <c r="D132" s="21" t="n"/>
      <c r="E132" s="22" t="n"/>
      <c r="F132" s="23" t="n"/>
      <c r="G132" s="24">
        <f>IF(AND(ISNUMBER(F132),ISNUMBER(E132)),EDATE(F132,E132),"")</f>
        <v/>
      </c>
      <c r="H132" s="22" t="n"/>
      <c r="I132" s="24">
        <f>IF(ISNUMBER(G132),G132-IF(ISNUMBER(H132),H132,30),"")</f>
        <v/>
      </c>
      <c r="J132" s="25">
        <f>IF(G132="","",IF(ISNUMBER(G132),G132-TODAY(),"Check date"))</f>
        <v/>
      </c>
      <c r="K132" s="26">
        <f>IF(J132="","",IF(ISNUMBER(J132),IF(J132&lt;0,"Expired",IF(J132&lt;=30,"Due ≤30 days",IF(J132&lt;=90,"Due ≤90 days","OK"))),"Check date"))</f>
        <v/>
      </c>
      <c r="L132" s="21" t="n"/>
      <c r="M132" s="21" t="n"/>
      <c r="N132" s="21" t="n"/>
      <c r="O132" s="21" t="n"/>
      <c r="P132" s="21" t="n"/>
      <c r="Q132" s="21" t="n"/>
    </row>
    <row r="133">
      <c r="A133" s="21" t="n"/>
      <c r="B133" s="21" t="n"/>
      <c r="C133" s="21" t="n"/>
      <c r="D133" s="21" t="n"/>
      <c r="E133" s="22" t="n"/>
      <c r="F133" s="23" t="n"/>
      <c r="G133" s="24">
        <f>IF(AND(ISNUMBER(F133),ISNUMBER(E133)),EDATE(F133,E133),"")</f>
        <v/>
      </c>
      <c r="H133" s="22" t="n"/>
      <c r="I133" s="24">
        <f>IF(ISNUMBER(G133),G133-IF(ISNUMBER(H133),H133,30),"")</f>
        <v/>
      </c>
      <c r="J133" s="25">
        <f>IF(G133="","",IF(ISNUMBER(G133),G133-TODAY(),"Check date"))</f>
        <v/>
      </c>
      <c r="K133" s="26">
        <f>IF(J133="","",IF(ISNUMBER(J133),IF(J133&lt;0,"Expired",IF(J133&lt;=30,"Due ≤30 days",IF(J133&lt;=90,"Due ≤90 days","OK"))),"Check date"))</f>
        <v/>
      </c>
      <c r="L133" s="21" t="n"/>
      <c r="M133" s="21" t="n"/>
      <c r="N133" s="21" t="n"/>
      <c r="O133" s="21" t="n"/>
      <c r="P133" s="21" t="n"/>
      <c r="Q133" s="21" t="n"/>
    </row>
    <row r="134">
      <c r="A134" s="21" t="n"/>
      <c r="B134" s="21" t="n"/>
      <c r="C134" s="21" t="n"/>
      <c r="D134" s="21" t="n"/>
      <c r="E134" s="22" t="n"/>
      <c r="F134" s="23" t="n"/>
      <c r="G134" s="24">
        <f>IF(AND(ISNUMBER(F134),ISNUMBER(E134)),EDATE(F134,E134),"")</f>
        <v/>
      </c>
      <c r="H134" s="22" t="n"/>
      <c r="I134" s="24">
        <f>IF(ISNUMBER(G134),G134-IF(ISNUMBER(H134),H134,30),"")</f>
        <v/>
      </c>
      <c r="J134" s="25">
        <f>IF(G134="","",IF(ISNUMBER(G134),G134-TODAY(),"Check date"))</f>
        <v/>
      </c>
      <c r="K134" s="26">
        <f>IF(J134="","",IF(ISNUMBER(J134),IF(J134&lt;0,"Expired",IF(J134&lt;=30,"Due ≤30 days",IF(J134&lt;=90,"Due ≤90 days","OK"))),"Check date"))</f>
        <v/>
      </c>
      <c r="L134" s="21" t="n"/>
      <c r="M134" s="21" t="n"/>
      <c r="N134" s="21" t="n"/>
      <c r="O134" s="21" t="n"/>
      <c r="P134" s="21" t="n"/>
      <c r="Q134" s="21" t="n"/>
    </row>
    <row r="135">
      <c r="A135" s="21" t="n"/>
      <c r="B135" s="21" t="n"/>
      <c r="C135" s="21" t="n"/>
      <c r="D135" s="21" t="n"/>
      <c r="E135" s="22" t="n"/>
      <c r="F135" s="23" t="n"/>
      <c r="G135" s="24">
        <f>IF(AND(ISNUMBER(F135),ISNUMBER(E135)),EDATE(F135,E135),"")</f>
        <v/>
      </c>
      <c r="H135" s="22" t="n"/>
      <c r="I135" s="24">
        <f>IF(ISNUMBER(G135),G135-IF(ISNUMBER(H135),H135,30),"")</f>
        <v/>
      </c>
      <c r="J135" s="25">
        <f>IF(G135="","",IF(ISNUMBER(G135),G135-TODAY(),"Check date"))</f>
        <v/>
      </c>
      <c r="K135" s="26">
        <f>IF(J135="","",IF(ISNUMBER(J135),IF(J135&lt;0,"Expired",IF(J135&lt;=30,"Due ≤30 days",IF(J135&lt;=90,"Due ≤90 days","OK"))),"Check date"))</f>
        <v/>
      </c>
      <c r="L135" s="21" t="n"/>
      <c r="M135" s="21" t="n"/>
      <c r="N135" s="21" t="n"/>
      <c r="O135" s="21" t="n"/>
      <c r="P135" s="21" t="n"/>
      <c r="Q135" s="21" t="n"/>
    </row>
    <row r="136">
      <c r="A136" s="21" t="n"/>
      <c r="B136" s="21" t="n"/>
      <c r="C136" s="21" t="n"/>
      <c r="D136" s="21" t="n"/>
      <c r="E136" s="22" t="n"/>
      <c r="F136" s="23" t="n"/>
      <c r="G136" s="24">
        <f>IF(AND(ISNUMBER(F136),ISNUMBER(E136)),EDATE(F136,E136),"")</f>
        <v/>
      </c>
      <c r="H136" s="22" t="n"/>
      <c r="I136" s="24">
        <f>IF(ISNUMBER(G136),G136-IF(ISNUMBER(H136),H136,30),"")</f>
        <v/>
      </c>
      <c r="J136" s="25">
        <f>IF(G136="","",IF(ISNUMBER(G136),G136-TODAY(),"Check date"))</f>
        <v/>
      </c>
      <c r="K136" s="26">
        <f>IF(J136="","",IF(ISNUMBER(J136),IF(J136&lt;0,"Expired",IF(J136&lt;=30,"Due ≤30 days",IF(J136&lt;=90,"Due ≤90 days","OK"))),"Check date"))</f>
        <v/>
      </c>
      <c r="L136" s="21" t="n"/>
      <c r="M136" s="21" t="n"/>
      <c r="N136" s="21" t="n"/>
      <c r="O136" s="21" t="n"/>
      <c r="P136" s="21" t="n"/>
      <c r="Q136" s="21" t="n"/>
    </row>
    <row r="137">
      <c r="A137" s="21" t="n"/>
      <c r="B137" s="21" t="n"/>
      <c r="C137" s="21" t="n"/>
      <c r="D137" s="21" t="n"/>
      <c r="E137" s="22" t="n"/>
      <c r="F137" s="23" t="n"/>
      <c r="G137" s="24">
        <f>IF(AND(ISNUMBER(F137),ISNUMBER(E137)),EDATE(F137,E137),"")</f>
        <v/>
      </c>
      <c r="H137" s="22" t="n"/>
      <c r="I137" s="24">
        <f>IF(ISNUMBER(G137),G137-IF(ISNUMBER(H137),H137,30),"")</f>
        <v/>
      </c>
      <c r="J137" s="25">
        <f>IF(G137="","",IF(ISNUMBER(G137),G137-TODAY(),"Check date"))</f>
        <v/>
      </c>
      <c r="K137" s="26">
        <f>IF(J137="","",IF(ISNUMBER(J137),IF(J137&lt;0,"Expired",IF(J137&lt;=30,"Due ≤30 days",IF(J137&lt;=90,"Due ≤90 days","OK"))),"Check date"))</f>
        <v/>
      </c>
      <c r="L137" s="21" t="n"/>
      <c r="M137" s="21" t="n"/>
      <c r="N137" s="21" t="n"/>
      <c r="O137" s="21" t="n"/>
      <c r="P137" s="21" t="n"/>
      <c r="Q137" s="21" t="n"/>
    </row>
    <row r="138">
      <c r="A138" s="21" t="n"/>
      <c r="B138" s="21" t="n"/>
      <c r="C138" s="21" t="n"/>
      <c r="D138" s="21" t="n"/>
      <c r="E138" s="22" t="n"/>
      <c r="F138" s="23" t="n"/>
      <c r="G138" s="24">
        <f>IF(AND(ISNUMBER(F138),ISNUMBER(E138)),EDATE(F138,E138),"")</f>
        <v/>
      </c>
      <c r="H138" s="22" t="n"/>
      <c r="I138" s="24">
        <f>IF(ISNUMBER(G138),G138-IF(ISNUMBER(H138),H138,30),"")</f>
        <v/>
      </c>
      <c r="J138" s="25">
        <f>IF(G138="","",IF(ISNUMBER(G138),G138-TODAY(),"Check date"))</f>
        <v/>
      </c>
      <c r="K138" s="26">
        <f>IF(J138="","",IF(ISNUMBER(J138),IF(J138&lt;0,"Expired",IF(J138&lt;=30,"Due ≤30 days",IF(J138&lt;=90,"Due ≤90 days","OK"))),"Check date"))</f>
        <v/>
      </c>
      <c r="L138" s="21" t="n"/>
      <c r="M138" s="21" t="n"/>
      <c r="N138" s="21" t="n"/>
      <c r="O138" s="21" t="n"/>
      <c r="P138" s="21" t="n"/>
      <c r="Q138" s="21" t="n"/>
    </row>
    <row r="139">
      <c r="A139" s="21" t="n"/>
      <c r="B139" s="21" t="n"/>
      <c r="C139" s="21" t="n"/>
      <c r="D139" s="21" t="n"/>
      <c r="E139" s="22" t="n"/>
      <c r="F139" s="23" t="n"/>
      <c r="G139" s="24">
        <f>IF(AND(ISNUMBER(F139),ISNUMBER(E139)),EDATE(F139,E139),"")</f>
        <v/>
      </c>
      <c r="H139" s="22" t="n"/>
      <c r="I139" s="24">
        <f>IF(ISNUMBER(G139),G139-IF(ISNUMBER(H139),H139,30),"")</f>
        <v/>
      </c>
      <c r="J139" s="25">
        <f>IF(G139="","",IF(ISNUMBER(G139),G139-TODAY(),"Check date"))</f>
        <v/>
      </c>
      <c r="K139" s="26">
        <f>IF(J139="","",IF(ISNUMBER(J139),IF(J139&lt;0,"Expired",IF(J139&lt;=30,"Due ≤30 days",IF(J139&lt;=90,"Due ≤90 days","OK"))),"Check date"))</f>
        <v/>
      </c>
      <c r="L139" s="21" t="n"/>
      <c r="M139" s="21" t="n"/>
      <c r="N139" s="21" t="n"/>
      <c r="O139" s="21" t="n"/>
      <c r="P139" s="21" t="n"/>
      <c r="Q139" s="21" t="n"/>
    </row>
    <row r="140">
      <c r="A140" s="21" t="n"/>
      <c r="B140" s="21" t="n"/>
      <c r="C140" s="21" t="n"/>
      <c r="D140" s="21" t="n"/>
      <c r="E140" s="22" t="n"/>
      <c r="F140" s="23" t="n"/>
      <c r="G140" s="24">
        <f>IF(AND(ISNUMBER(F140),ISNUMBER(E140)),EDATE(F140,E140),"")</f>
        <v/>
      </c>
      <c r="H140" s="22" t="n"/>
      <c r="I140" s="24">
        <f>IF(ISNUMBER(G140),G140-IF(ISNUMBER(H140),H140,30),"")</f>
        <v/>
      </c>
      <c r="J140" s="25">
        <f>IF(G140="","",IF(ISNUMBER(G140),G140-TODAY(),"Check date"))</f>
        <v/>
      </c>
      <c r="K140" s="26">
        <f>IF(J140="","",IF(ISNUMBER(J140),IF(J140&lt;0,"Expired",IF(J140&lt;=30,"Due ≤30 days",IF(J140&lt;=90,"Due ≤90 days","OK"))),"Check date"))</f>
        <v/>
      </c>
      <c r="L140" s="21" t="n"/>
      <c r="M140" s="21" t="n"/>
      <c r="N140" s="21" t="n"/>
      <c r="O140" s="21" t="n"/>
      <c r="P140" s="21" t="n"/>
      <c r="Q140" s="21" t="n"/>
    </row>
    <row r="141">
      <c r="A141" s="21" t="n"/>
      <c r="B141" s="21" t="n"/>
      <c r="C141" s="21" t="n"/>
      <c r="D141" s="21" t="n"/>
      <c r="E141" s="22" t="n"/>
      <c r="F141" s="23" t="n"/>
      <c r="G141" s="24">
        <f>IF(AND(ISNUMBER(F141),ISNUMBER(E141)),EDATE(F141,E141),"")</f>
        <v/>
      </c>
      <c r="H141" s="22" t="n"/>
      <c r="I141" s="24">
        <f>IF(ISNUMBER(G141),G141-IF(ISNUMBER(H141),H141,30),"")</f>
        <v/>
      </c>
      <c r="J141" s="25">
        <f>IF(G141="","",IF(ISNUMBER(G141),G141-TODAY(),"Check date"))</f>
        <v/>
      </c>
      <c r="K141" s="26">
        <f>IF(J141="","",IF(ISNUMBER(J141),IF(J141&lt;0,"Expired",IF(J141&lt;=30,"Due ≤30 days",IF(J141&lt;=90,"Due ≤90 days","OK"))),"Check date"))</f>
        <v/>
      </c>
      <c r="L141" s="21" t="n"/>
      <c r="M141" s="21" t="n"/>
      <c r="N141" s="21" t="n"/>
      <c r="O141" s="21" t="n"/>
      <c r="P141" s="21" t="n"/>
      <c r="Q141" s="21" t="n"/>
    </row>
    <row r="142">
      <c r="A142" s="21" t="n"/>
      <c r="B142" s="21" t="n"/>
      <c r="C142" s="21" t="n"/>
      <c r="D142" s="21" t="n"/>
      <c r="E142" s="22" t="n"/>
      <c r="F142" s="23" t="n"/>
      <c r="G142" s="24">
        <f>IF(AND(ISNUMBER(F142),ISNUMBER(E142)),EDATE(F142,E142),"")</f>
        <v/>
      </c>
      <c r="H142" s="22" t="n"/>
      <c r="I142" s="24">
        <f>IF(ISNUMBER(G142),G142-IF(ISNUMBER(H142),H142,30),"")</f>
        <v/>
      </c>
      <c r="J142" s="25">
        <f>IF(G142="","",IF(ISNUMBER(G142),G142-TODAY(),"Check date"))</f>
        <v/>
      </c>
      <c r="K142" s="26">
        <f>IF(J142="","",IF(ISNUMBER(J142),IF(J142&lt;0,"Expired",IF(J142&lt;=30,"Due ≤30 days",IF(J142&lt;=90,"Due ≤90 days","OK"))),"Check date"))</f>
        <v/>
      </c>
      <c r="L142" s="21" t="n"/>
      <c r="M142" s="21" t="n"/>
      <c r="N142" s="21" t="n"/>
      <c r="O142" s="21" t="n"/>
      <c r="P142" s="21" t="n"/>
      <c r="Q142" s="21" t="n"/>
    </row>
    <row r="143">
      <c r="A143" s="21" t="n"/>
      <c r="B143" s="21" t="n"/>
      <c r="C143" s="21" t="n"/>
      <c r="D143" s="21" t="n"/>
      <c r="E143" s="22" t="n"/>
      <c r="F143" s="23" t="n"/>
      <c r="G143" s="24">
        <f>IF(AND(ISNUMBER(F143),ISNUMBER(E143)),EDATE(F143,E143),"")</f>
        <v/>
      </c>
      <c r="H143" s="22" t="n"/>
      <c r="I143" s="24">
        <f>IF(ISNUMBER(G143),G143-IF(ISNUMBER(H143),H143,30),"")</f>
        <v/>
      </c>
      <c r="J143" s="25">
        <f>IF(G143="","",IF(ISNUMBER(G143),G143-TODAY(),"Check date"))</f>
        <v/>
      </c>
      <c r="K143" s="26">
        <f>IF(J143="","",IF(ISNUMBER(J143),IF(J143&lt;0,"Expired",IF(J143&lt;=30,"Due ≤30 days",IF(J143&lt;=90,"Due ≤90 days","OK"))),"Check date"))</f>
        <v/>
      </c>
      <c r="L143" s="21" t="n"/>
      <c r="M143" s="21" t="n"/>
      <c r="N143" s="21" t="n"/>
      <c r="O143" s="21" t="n"/>
      <c r="P143" s="21" t="n"/>
      <c r="Q143" s="21" t="n"/>
    </row>
    <row r="144">
      <c r="A144" s="21" t="n"/>
      <c r="B144" s="21" t="n"/>
      <c r="C144" s="21" t="n"/>
      <c r="D144" s="21" t="n"/>
      <c r="E144" s="22" t="n"/>
      <c r="F144" s="23" t="n"/>
      <c r="G144" s="24">
        <f>IF(AND(ISNUMBER(F144),ISNUMBER(E144)),EDATE(F144,E144),"")</f>
        <v/>
      </c>
      <c r="H144" s="22" t="n"/>
      <c r="I144" s="24">
        <f>IF(ISNUMBER(G144),G144-IF(ISNUMBER(H144),H144,30),"")</f>
        <v/>
      </c>
      <c r="J144" s="25">
        <f>IF(G144="","",IF(ISNUMBER(G144),G144-TODAY(),"Check date"))</f>
        <v/>
      </c>
      <c r="K144" s="26">
        <f>IF(J144="","",IF(ISNUMBER(J144),IF(J144&lt;0,"Expired",IF(J144&lt;=30,"Due ≤30 days",IF(J144&lt;=90,"Due ≤90 days","OK"))),"Check date"))</f>
        <v/>
      </c>
      <c r="L144" s="21" t="n"/>
      <c r="M144" s="21" t="n"/>
      <c r="N144" s="21" t="n"/>
      <c r="O144" s="21" t="n"/>
      <c r="P144" s="21" t="n"/>
      <c r="Q144" s="21" t="n"/>
    </row>
    <row r="145">
      <c r="A145" s="21" t="n"/>
      <c r="B145" s="21" t="n"/>
      <c r="C145" s="21" t="n"/>
      <c r="D145" s="21" t="n"/>
      <c r="E145" s="22" t="n"/>
      <c r="F145" s="23" t="n"/>
      <c r="G145" s="24">
        <f>IF(AND(ISNUMBER(F145),ISNUMBER(E145)),EDATE(F145,E145),"")</f>
        <v/>
      </c>
      <c r="H145" s="22" t="n"/>
      <c r="I145" s="24">
        <f>IF(ISNUMBER(G145),G145-IF(ISNUMBER(H145),H145,30),"")</f>
        <v/>
      </c>
      <c r="J145" s="25">
        <f>IF(G145="","",IF(ISNUMBER(G145),G145-TODAY(),"Check date"))</f>
        <v/>
      </c>
      <c r="K145" s="26">
        <f>IF(J145="","",IF(ISNUMBER(J145),IF(J145&lt;0,"Expired",IF(J145&lt;=30,"Due ≤30 days",IF(J145&lt;=90,"Due ≤90 days","OK"))),"Check date"))</f>
        <v/>
      </c>
      <c r="L145" s="21" t="n"/>
      <c r="M145" s="21" t="n"/>
      <c r="N145" s="21" t="n"/>
      <c r="O145" s="21" t="n"/>
      <c r="P145" s="21" t="n"/>
      <c r="Q145" s="21" t="n"/>
    </row>
    <row r="146">
      <c r="A146" s="21" t="n"/>
      <c r="B146" s="21" t="n"/>
      <c r="C146" s="21" t="n"/>
      <c r="D146" s="21" t="n"/>
      <c r="E146" s="22" t="n"/>
      <c r="F146" s="23" t="n"/>
      <c r="G146" s="24">
        <f>IF(AND(ISNUMBER(F146),ISNUMBER(E146)),EDATE(F146,E146),"")</f>
        <v/>
      </c>
      <c r="H146" s="22" t="n"/>
      <c r="I146" s="24">
        <f>IF(ISNUMBER(G146),G146-IF(ISNUMBER(H146),H146,30),"")</f>
        <v/>
      </c>
      <c r="J146" s="25">
        <f>IF(G146="","",IF(ISNUMBER(G146),G146-TODAY(),"Check date"))</f>
        <v/>
      </c>
      <c r="K146" s="26">
        <f>IF(J146="","",IF(ISNUMBER(J146),IF(J146&lt;0,"Expired",IF(J146&lt;=30,"Due ≤30 days",IF(J146&lt;=90,"Due ≤90 days","OK"))),"Check date"))</f>
        <v/>
      </c>
      <c r="L146" s="21" t="n"/>
      <c r="M146" s="21" t="n"/>
      <c r="N146" s="21" t="n"/>
      <c r="O146" s="21" t="n"/>
      <c r="P146" s="21" t="n"/>
      <c r="Q146" s="21" t="n"/>
    </row>
    <row r="147">
      <c r="A147" s="21" t="n"/>
      <c r="B147" s="21" t="n"/>
      <c r="C147" s="21" t="n"/>
      <c r="D147" s="21" t="n"/>
      <c r="E147" s="22" t="n"/>
      <c r="F147" s="23" t="n"/>
      <c r="G147" s="24">
        <f>IF(AND(ISNUMBER(F147),ISNUMBER(E147)),EDATE(F147,E147),"")</f>
        <v/>
      </c>
      <c r="H147" s="22" t="n"/>
      <c r="I147" s="24">
        <f>IF(ISNUMBER(G147),G147-IF(ISNUMBER(H147),H147,30),"")</f>
        <v/>
      </c>
      <c r="J147" s="25">
        <f>IF(G147="","",IF(ISNUMBER(G147),G147-TODAY(),"Check date"))</f>
        <v/>
      </c>
      <c r="K147" s="26">
        <f>IF(J147="","",IF(ISNUMBER(J147),IF(J147&lt;0,"Expired",IF(J147&lt;=30,"Due ≤30 days",IF(J147&lt;=90,"Due ≤90 days","OK"))),"Check date"))</f>
        <v/>
      </c>
      <c r="L147" s="21" t="n"/>
      <c r="M147" s="21" t="n"/>
      <c r="N147" s="21" t="n"/>
      <c r="O147" s="21" t="n"/>
      <c r="P147" s="21" t="n"/>
      <c r="Q147" s="21" t="n"/>
    </row>
    <row r="148">
      <c r="A148" s="21" t="n"/>
      <c r="B148" s="21" t="n"/>
      <c r="C148" s="21" t="n"/>
      <c r="D148" s="21" t="n"/>
      <c r="E148" s="22" t="n"/>
      <c r="F148" s="23" t="n"/>
      <c r="G148" s="24">
        <f>IF(AND(ISNUMBER(F148),ISNUMBER(E148)),EDATE(F148,E148),"")</f>
        <v/>
      </c>
      <c r="H148" s="22" t="n"/>
      <c r="I148" s="24">
        <f>IF(ISNUMBER(G148),G148-IF(ISNUMBER(H148),H148,30),"")</f>
        <v/>
      </c>
      <c r="J148" s="25">
        <f>IF(G148="","",IF(ISNUMBER(G148),G148-TODAY(),"Check date"))</f>
        <v/>
      </c>
      <c r="K148" s="26">
        <f>IF(J148="","",IF(ISNUMBER(J148),IF(J148&lt;0,"Expired",IF(J148&lt;=30,"Due ≤30 days",IF(J148&lt;=90,"Due ≤90 days","OK"))),"Check date"))</f>
        <v/>
      </c>
      <c r="L148" s="21" t="n"/>
      <c r="M148" s="21" t="n"/>
      <c r="N148" s="21" t="n"/>
      <c r="O148" s="21" t="n"/>
      <c r="P148" s="21" t="n"/>
      <c r="Q148" s="21" t="n"/>
    </row>
    <row r="149">
      <c r="A149" s="21" t="n"/>
      <c r="B149" s="21" t="n"/>
      <c r="C149" s="21" t="n"/>
      <c r="D149" s="21" t="n"/>
      <c r="E149" s="22" t="n"/>
      <c r="F149" s="23" t="n"/>
      <c r="G149" s="24">
        <f>IF(AND(ISNUMBER(F149),ISNUMBER(E149)),EDATE(F149,E149),"")</f>
        <v/>
      </c>
      <c r="H149" s="22" t="n"/>
      <c r="I149" s="24">
        <f>IF(ISNUMBER(G149),G149-IF(ISNUMBER(H149),H149,30),"")</f>
        <v/>
      </c>
      <c r="J149" s="25">
        <f>IF(G149="","",IF(ISNUMBER(G149),G149-TODAY(),"Check date"))</f>
        <v/>
      </c>
      <c r="K149" s="26">
        <f>IF(J149="","",IF(ISNUMBER(J149),IF(J149&lt;0,"Expired",IF(J149&lt;=30,"Due ≤30 days",IF(J149&lt;=90,"Due ≤90 days","OK"))),"Check date"))</f>
        <v/>
      </c>
      <c r="L149" s="21" t="n"/>
      <c r="M149" s="21" t="n"/>
      <c r="N149" s="21" t="n"/>
      <c r="O149" s="21" t="n"/>
      <c r="P149" s="21" t="n"/>
      <c r="Q149" s="21" t="n"/>
    </row>
    <row r="150">
      <c r="A150" s="21" t="n"/>
      <c r="B150" s="21" t="n"/>
      <c r="C150" s="21" t="n"/>
      <c r="D150" s="21" t="n"/>
      <c r="E150" s="22" t="n"/>
      <c r="F150" s="23" t="n"/>
      <c r="G150" s="24">
        <f>IF(AND(ISNUMBER(F150),ISNUMBER(E150)),EDATE(F150,E150),"")</f>
        <v/>
      </c>
      <c r="H150" s="22" t="n"/>
      <c r="I150" s="24">
        <f>IF(ISNUMBER(G150),G150-IF(ISNUMBER(H150),H150,30),"")</f>
        <v/>
      </c>
      <c r="J150" s="25">
        <f>IF(G150="","",IF(ISNUMBER(G150),G150-TODAY(),"Check date"))</f>
        <v/>
      </c>
      <c r="K150" s="26">
        <f>IF(J150="","",IF(ISNUMBER(J150),IF(J150&lt;0,"Expired",IF(J150&lt;=30,"Due ≤30 days",IF(J150&lt;=90,"Due ≤90 days","OK"))),"Check date"))</f>
        <v/>
      </c>
      <c r="L150" s="21" t="n"/>
      <c r="M150" s="21" t="n"/>
      <c r="N150" s="21" t="n"/>
      <c r="O150" s="21" t="n"/>
      <c r="P150" s="21" t="n"/>
      <c r="Q150" s="21" t="n"/>
    </row>
    <row r="151">
      <c r="A151" s="21" t="n"/>
      <c r="B151" s="21" t="n"/>
      <c r="C151" s="21" t="n"/>
      <c r="D151" s="21" t="n"/>
      <c r="E151" s="22" t="n"/>
      <c r="F151" s="23" t="n"/>
      <c r="G151" s="24">
        <f>IF(AND(ISNUMBER(F151),ISNUMBER(E151)),EDATE(F151,E151),"")</f>
        <v/>
      </c>
      <c r="H151" s="22" t="n"/>
      <c r="I151" s="24">
        <f>IF(ISNUMBER(G151),G151-IF(ISNUMBER(H151),H151,30),"")</f>
        <v/>
      </c>
      <c r="J151" s="25">
        <f>IF(G151="","",IF(ISNUMBER(G151),G151-TODAY(),"Check date"))</f>
        <v/>
      </c>
      <c r="K151" s="26">
        <f>IF(J151="","",IF(ISNUMBER(J151),IF(J151&lt;0,"Expired",IF(J151&lt;=30,"Due ≤30 days",IF(J151&lt;=90,"Due ≤90 days","OK"))),"Check date"))</f>
        <v/>
      </c>
      <c r="L151" s="21" t="n"/>
      <c r="M151" s="21" t="n"/>
      <c r="N151" s="21" t="n"/>
      <c r="O151" s="21" t="n"/>
      <c r="P151" s="21" t="n"/>
      <c r="Q151" s="21" t="n"/>
    </row>
    <row r="152">
      <c r="A152" s="21" t="n"/>
      <c r="B152" s="21" t="n"/>
      <c r="C152" s="21" t="n"/>
      <c r="D152" s="21" t="n"/>
      <c r="E152" s="22" t="n"/>
      <c r="F152" s="23" t="n"/>
      <c r="G152" s="24">
        <f>IF(AND(ISNUMBER(F152),ISNUMBER(E152)),EDATE(F152,E152),"")</f>
        <v/>
      </c>
      <c r="H152" s="22" t="n"/>
      <c r="I152" s="24">
        <f>IF(ISNUMBER(G152),G152-IF(ISNUMBER(H152),H152,30),"")</f>
        <v/>
      </c>
      <c r="J152" s="25">
        <f>IF(G152="","",IF(ISNUMBER(G152),G152-TODAY(),"Check date"))</f>
        <v/>
      </c>
      <c r="K152" s="26">
        <f>IF(J152="","",IF(ISNUMBER(J152),IF(J152&lt;0,"Expired",IF(J152&lt;=30,"Due ≤30 days",IF(J152&lt;=90,"Due ≤90 days","OK"))),"Check date"))</f>
        <v/>
      </c>
      <c r="L152" s="21" t="n"/>
      <c r="M152" s="21" t="n"/>
      <c r="N152" s="21" t="n"/>
      <c r="O152" s="21" t="n"/>
      <c r="P152" s="21" t="n"/>
      <c r="Q152" s="21" t="n"/>
    </row>
    <row r="153">
      <c r="A153" s="21" t="n"/>
      <c r="B153" s="21" t="n"/>
      <c r="C153" s="21" t="n"/>
      <c r="D153" s="21" t="n"/>
      <c r="E153" s="22" t="n"/>
      <c r="F153" s="23" t="n"/>
      <c r="G153" s="24">
        <f>IF(AND(ISNUMBER(F153),ISNUMBER(E153)),EDATE(F153,E153),"")</f>
        <v/>
      </c>
      <c r="H153" s="22" t="n"/>
      <c r="I153" s="24">
        <f>IF(ISNUMBER(G153),G153-IF(ISNUMBER(H153),H153,30),"")</f>
        <v/>
      </c>
      <c r="J153" s="25">
        <f>IF(G153="","",IF(ISNUMBER(G153),G153-TODAY(),"Check date"))</f>
        <v/>
      </c>
      <c r="K153" s="26">
        <f>IF(J153="","",IF(ISNUMBER(J153),IF(J153&lt;0,"Expired",IF(J153&lt;=30,"Due ≤30 days",IF(J153&lt;=90,"Due ≤90 days","OK"))),"Check date"))</f>
        <v/>
      </c>
      <c r="L153" s="21" t="n"/>
      <c r="M153" s="21" t="n"/>
      <c r="N153" s="21" t="n"/>
      <c r="O153" s="21" t="n"/>
      <c r="P153" s="21" t="n"/>
      <c r="Q153" s="21" t="n"/>
    </row>
    <row r="154">
      <c r="A154" s="21" t="n"/>
      <c r="B154" s="21" t="n"/>
      <c r="C154" s="21" t="n"/>
      <c r="D154" s="21" t="n"/>
      <c r="E154" s="22" t="n"/>
      <c r="F154" s="23" t="n"/>
      <c r="G154" s="24">
        <f>IF(AND(ISNUMBER(F154),ISNUMBER(E154)),EDATE(F154,E154),"")</f>
        <v/>
      </c>
      <c r="H154" s="22" t="n"/>
      <c r="I154" s="24">
        <f>IF(ISNUMBER(G154),G154-IF(ISNUMBER(H154),H154,30),"")</f>
        <v/>
      </c>
      <c r="J154" s="25">
        <f>IF(G154="","",IF(ISNUMBER(G154),G154-TODAY(),"Check date"))</f>
        <v/>
      </c>
      <c r="K154" s="26">
        <f>IF(J154="","",IF(ISNUMBER(J154),IF(J154&lt;0,"Expired",IF(J154&lt;=30,"Due ≤30 days",IF(J154&lt;=90,"Due ≤90 days","OK"))),"Check date"))</f>
        <v/>
      </c>
      <c r="L154" s="21" t="n"/>
      <c r="M154" s="21" t="n"/>
      <c r="N154" s="21" t="n"/>
      <c r="O154" s="21" t="n"/>
      <c r="P154" s="21" t="n"/>
      <c r="Q154" s="21" t="n"/>
    </row>
    <row r="155">
      <c r="A155" s="21" t="n"/>
      <c r="B155" s="21" t="n"/>
      <c r="C155" s="21" t="n"/>
      <c r="D155" s="21" t="n"/>
      <c r="E155" s="22" t="n"/>
      <c r="F155" s="23" t="n"/>
      <c r="G155" s="24">
        <f>IF(AND(ISNUMBER(F155),ISNUMBER(E155)),EDATE(F155,E155),"")</f>
        <v/>
      </c>
      <c r="H155" s="22" t="n"/>
      <c r="I155" s="24">
        <f>IF(ISNUMBER(G155),G155-IF(ISNUMBER(H155),H155,30),"")</f>
        <v/>
      </c>
      <c r="J155" s="25">
        <f>IF(G155="","",IF(ISNUMBER(G155),G155-TODAY(),"Check date"))</f>
        <v/>
      </c>
      <c r="K155" s="26">
        <f>IF(J155="","",IF(ISNUMBER(J155),IF(J155&lt;0,"Expired",IF(J155&lt;=30,"Due ≤30 days",IF(J155&lt;=90,"Due ≤90 days","OK"))),"Check date"))</f>
        <v/>
      </c>
      <c r="L155" s="21" t="n"/>
      <c r="M155" s="21" t="n"/>
      <c r="N155" s="21" t="n"/>
      <c r="O155" s="21" t="n"/>
      <c r="P155" s="21" t="n"/>
      <c r="Q155" s="21" t="n"/>
    </row>
    <row r="156">
      <c r="A156" s="21" t="n"/>
      <c r="B156" s="21" t="n"/>
      <c r="C156" s="21" t="n"/>
      <c r="D156" s="21" t="n"/>
      <c r="E156" s="22" t="n"/>
      <c r="F156" s="23" t="n"/>
      <c r="G156" s="24">
        <f>IF(AND(ISNUMBER(F156),ISNUMBER(E156)),EDATE(F156,E156),"")</f>
        <v/>
      </c>
      <c r="H156" s="22" t="n"/>
      <c r="I156" s="24">
        <f>IF(ISNUMBER(G156),G156-IF(ISNUMBER(H156),H156,30),"")</f>
        <v/>
      </c>
      <c r="J156" s="25">
        <f>IF(G156="","",IF(ISNUMBER(G156),G156-TODAY(),"Check date"))</f>
        <v/>
      </c>
      <c r="K156" s="26">
        <f>IF(J156="","",IF(ISNUMBER(J156),IF(J156&lt;0,"Expired",IF(J156&lt;=30,"Due ≤30 days",IF(J156&lt;=90,"Due ≤90 days","OK"))),"Check date"))</f>
        <v/>
      </c>
      <c r="L156" s="21" t="n"/>
      <c r="M156" s="21" t="n"/>
      <c r="N156" s="21" t="n"/>
      <c r="O156" s="21" t="n"/>
      <c r="P156" s="21" t="n"/>
      <c r="Q156" s="21" t="n"/>
    </row>
    <row r="157">
      <c r="A157" s="21" t="n"/>
      <c r="B157" s="21" t="n"/>
      <c r="C157" s="21" t="n"/>
      <c r="D157" s="21" t="n"/>
      <c r="E157" s="22" t="n"/>
      <c r="F157" s="23" t="n"/>
      <c r="G157" s="24">
        <f>IF(AND(ISNUMBER(F157),ISNUMBER(E157)),EDATE(F157,E157),"")</f>
        <v/>
      </c>
      <c r="H157" s="22" t="n"/>
      <c r="I157" s="24">
        <f>IF(ISNUMBER(G157),G157-IF(ISNUMBER(H157),H157,30),"")</f>
        <v/>
      </c>
      <c r="J157" s="25">
        <f>IF(G157="","",IF(ISNUMBER(G157),G157-TODAY(),"Check date"))</f>
        <v/>
      </c>
      <c r="K157" s="26">
        <f>IF(J157="","",IF(ISNUMBER(J157),IF(J157&lt;0,"Expired",IF(J157&lt;=30,"Due ≤30 days",IF(J157&lt;=90,"Due ≤90 days","OK"))),"Check date"))</f>
        <v/>
      </c>
      <c r="L157" s="21" t="n"/>
      <c r="M157" s="21" t="n"/>
      <c r="N157" s="21" t="n"/>
      <c r="O157" s="21" t="n"/>
      <c r="P157" s="21" t="n"/>
      <c r="Q157" s="21" t="n"/>
    </row>
    <row r="158">
      <c r="A158" s="21" t="n"/>
      <c r="B158" s="21" t="n"/>
      <c r="C158" s="21" t="n"/>
      <c r="D158" s="21" t="n"/>
      <c r="E158" s="22" t="n"/>
      <c r="F158" s="23" t="n"/>
      <c r="G158" s="24">
        <f>IF(AND(ISNUMBER(F158),ISNUMBER(E158)),EDATE(F158,E158),"")</f>
        <v/>
      </c>
      <c r="H158" s="22" t="n"/>
      <c r="I158" s="24">
        <f>IF(ISNUMBER(G158),G158-IF(ISNUMBER(H158),H158,30),"")</f>
        <v/>
      </c>
      <c r="J158" s="25">
        <f>IF(G158="","",IF(ISNUMBER(G158),G158-TODAY(),"Check date"))</f>
        <v/>
      </c>
      <c r="K158" s="26">
        <f>IF(J158="","",IF(ISNUMBER(J158),IF(J158&lt;0,"Expired",IF(J158&lt;=30,"Due ≤30 days",IF(J158&lt;=90,"Due ≤90 days","OK"))),"Check date"))</f>
        <v/>
      </c>
      <c r="L158" s="21" t="n"/>
      <c r="M158" s="21" t="n"/>
      <c r="N158" s="21" t="n"/>
      <c r="O158" s="21" t="n"/>
      <c r="P158" s="21" t="n"/>
      <c r="Q158" s="21" t="n"/>
    </row>
    <row r="159">
      <c r="A159" s="21" t="n"/>
      <c r="B159" s="21" t="n"/>
      <c r="C159" s="21" t="n"/>
      <c r="D159" s="21" t="n"/>
      <c r="E159" s="22" t="n"/>
      <c r="F159" s="23" t="n"/>
      <c r="G159" s="24">
        <f>IF(AND(ISNUMBER(F159),ISNUMBER(E159)),EDATE(F159,E159),"")</f>
        <v/>
      </c>
      <c r="H159" s="22" t="n"/>
      <c r="I159" s="24">
        <f>IF(ISNUMBER(G159),G159-IF(ISNUMBER(H159),H159,30),"")</f>
        <v/>
      </c>
      <c r="J159" s="25">
        <f>IF(G159="","",IF(ISNUMBER(G159),G159-TODAY(),"Check date"))</f>
        <v/>
      </c>
      <c r="K159" s="26">
        <f>IF(J159="","",IF(ISNUMBER(J159),IF(J159&lt;0,"Expired",IF(J159&lt;=30,"Due ≤30 days",IF(J159&lt;=90,"Due ≤90 days","OK"))),"Check date"))</f>
        <v/>
      </c>
      <c r="L159" s="21" t="n"/>
      <c r="M159" s="21" t="n"/>
      <c r="N159" s="21" t="n"/>
      <c r="O159" s="21" t="n"/>
      <c r="P159" s="21" t="n"/>
      <c r="Q159" s="21" t="n"/>
    </row>
    <row r="160">
      <c r="A160" s="21" t="n"/>
      <c r="B160" s="21" t="n"/>
      <c r="C160" s="21" t="n"/>
      <c r="D160" s="21" t="n"/>
      <c r="E160" s="22" t="n"/>
      <c r="F160" s="23" t="n"/>
      <c r="G160" s="24">
        <f>IF(AND(ISNUMBER(F160),ISNUMBER(E160)),EDATE(F160,E160),"")</f>
        <v/>
      </c>
      <c r="H160" s="22" t="n"/>
      <c r="I160" s="24">
        <f>IF(ISNUMBER(G160),G160-IF(ISNUMBER(H160),H160,30),"")</f>
        <v/>
      </c>
      <c r="J160" s="25">
        <f>IF(G160="","",IF(ISNUMBER(G160),G160-TODAY(),"Check date"))</f>
        <v/>
      </c>
      <c r="K160" s="26">
        <f>IF(J160="","",IF(ISNUMBER(J160),IF(J160&lt;0,"Expired",IF(J160&lt;=30,"Due ≤30 days",IF(J160&lt;=90,"Due ≤90 days","OK"))),"Check date"))</f>
        <v/>
      </c>
      <c r="L160" s="21" t="n"/>
      <c r="M160" s="21" t="n"/>
      <c r="N160" s="21" t="n"/>
      <c r="O160" s="21" t="n"/>
      <c r="P160" s="21" t="n"/>
      <c r="Q160" s="21" t="n"/>
    </row>
    <row r="161">
      <c r="A161" s="21" t="n"/>
      <c r="B161" s="21" t="n"/>
      <c r="C161" s="21" t="n"/>
      <c r="D161" s="21" t="n"/>
      <c r="E161" s="22" t="n"/>
      <c r="F161" s="23" t="n"/>
      <c r="G161" s="24">
        <f>IF(AND(ISNUMBER(F161),ISNUMBER(E161)),EDATE(F161,E161),"")</f>
        <v/>
      </c>
      <c r="H161" s="22" t="n"/>
      <c r="I161" s="24">
        <f>IF(ISNUMBER(G161),G161-IF(ISNUMBER(H161),H161,30),"")</f>
        <v/>
      </c>
      <c r="J161" s="25">
        <f>IF(G161="","",IF(ISNUMBER(G161),G161-TODAY(),"Check date"))</f>
        <v/>
      </c>
      <c r="K161" s="26">
        <f>IF(J161="","",IF(ISNUMBER(J161),IF(J161&lt;0,"Expired",IF(J161&lt;=30,"Due ≤30 days",IF(J161&lt;=90,"Due ≤90 days","OK"))),"Check date"))</f>
        <v/>
      </c>
      <c r="L161" s="21" t="n"/>
      <c r="M161" s="21" t="n"/>
      <c r="N161" s="21" t="n"/>
      <c r="O161" s="21" t="n"/>
      <c r="P161" s="21" t="n"/>
      <c r="Q161" s="21" t="n"/>
    </row>
    <row r="162">
      <c r="A162" s="21" t="n"/>
      <c r="B162" s="21" t="n"/>
      <c r="C162" s="21" t="n"/>
      <c r="D162" s="21" t="n"/>
      <c r="E162" s="22" t="n"/>
      <c r="F162" s="23" t="n"/>
      <c r="G162" s="24">
        <f>IF(AND(ISNUMBER(F162),ISNUMBER(E162)),EDATE(F162,E162),"")</f>
        <v/>
      </c>
      <c r="H162" s="22" t="n"/>
      <c r="I162" s="24">
        <f>IF(ISNUMBER(G162),G162-IF(ISNUMBER(H162),H162,30),"")</f>
        <v/>
      </c>
      <c r="J162" s="25">
        <f>IF(G162="","",IF(ISNUMBER(G162),G162-TODAY(),"Check date"))</f>
        <v/>
      </c>
      <c r="K162" s="26">
        <f>IF(J162="","",IF(ISNUMBER(J162),IF(J162&lt;0,"Expired",IF(J162&lt;=30,"Due ≤30 days",IF(J162&lt;=90,"Due ≤90 days","OK"))),"Check date"))</f>
        <v/>
      </c>
      <c r="L162" s="21" t="n"/>
      <c r="M162" s="21" t="n"/>
      <c r="N162" s="21" t="n"/>
      <c r="O162" s="21" t="n"/>
      <c r="P162" s="21" t="n"/>
      <c r="Q162" s="21" t="n"/>
    </row>
    <row r="163">
      <c r="A163" s="21" t="n"/>
      <c r="B163" s="21" t="n"/>
      <c r="C163" s="21" t="n"/>
      <c r="D163" s="21" t="n"/>
      <c r="E163" s="22" t="n"/>
      <c r="F163" s="23" t="n"/>
      <c r="G163" s="24">
        <f>IF(AND(ISNUMBER(F163),ISNUMBER(E163)),EDATE(F163,E163),"")</f>
        <v/>
      </c>
      <c r="H163" s="22" t="n"/>
      <c r="I163" s="24">
        <f>IF(ISNUMBER(G163),G163-IF(ISNUMBER(H163),H163,30),"")</f>
        <v/>
      </c>
      <c r="J163" s="25">
        <f>IF(G163="","",IF(ISNUMBER(G163),G163-TODAY(),"Check date"))</f>
        <v/>
      </c>
      <c r="K163" s="26">
        <f>IF(J163="","",IF(ISNUMBER(J163),IF(J163&lt;0,"Expired",IF(J163&lt;=30,"Due ≤30 days",IF(J163&lt;=90,"Due ≤90 days","OK"))),"Check date"))</f>
        <v/>
      </c>
      <c r="L163" s="21" t="n"/>
      <c r="M163" s="21" t="n"/>
      <c r="N163" s="21" t="n"/>
      <c r="O163" s="21" t="n"/>
      <c r="P163" s="21" t="n"/>
      <c r="Q163" s="21" t="n"/>
    </row>
    <row r="164">
      <c r="A164" s="21" t="n"/>
      <c r="B164" s="21" t="n"/>
      <c r="C164" s="21" t="n"/>
      <c r="D164" s="21" t="n"/>
      <c r="E164" s="22" t="n"/>
      <c r="F164" s="23" t="n"/>
      <c r="G164" s="24">
        <f>IF(AND(ISNUMBER(F164),ISNUMBER(E164)),EDATE(F164,E164),"")</f>
        <v/>
      </c>
      <c r="H164" s="22" t="n"/>
      <c r="I164" s="24">
        <f>IF(ISNUMBER(G164),G164-IF(ISNUMBER(H164),H164,30),"")</f>
        <v/>
      </c>
      <c r="J164" s="25">
        <f>IF(G164="","",IF(ISNUMBER(G164),G164-TODAY(),"Check date"))</f>
        <v/>
      </c>
      <c r="K164" s="26">
        <f>IF(J164="","",IF(ISNUMBER(J164),IF(J164&lt;0,"Expired",IF(J164&lt;=30,"Due ≤30 days",IF(J164&lt;=90,"Due ≤90 days","OK"))),"Check date"))</f>
        <v/>
      </c>
      <c r="L164" s="21" t="n"/>
      <c r="M164" s="21" t="n"/>
      <c r="N164" s="21" t="n"/>
      <c r="O164" s="21" t="n"/>
      <c r="P164" s="21" t="n"/>
      <c r="Q164" s="21" t="n"/>
    </row>
    <row r="165">
      <c r="A165" s="21" t="n"/>
      <c r="B165" s="21" t="n"/>
      <c r="C165" s="21" t="n"/>
      <c r="D165" s="21" t="n"/>
      <c r="E165" s="22" t="n"/>
      <c r="F165" s="23" t="n"/>
      <c r="G165" s="24">
        <f>IF(AND(ISNUMBER(F165),ISNUMBER(E165)),EDATE(F165,E165),"")</f>
        <v/>
      </c>
      <c r="H165" s="22" t="n"/>
      <c r="I165" s="24">
        <f>IF(ISNUMBER(G165),G165-IF(ISNUMBER(H165),H165,30),"")</f>
        <v/>
      </c>
      <c r="J165" s="25">
        <f>IF(G165="","",IF(ISNUMBER(G165),G165-TODAY(),"Check date"))</f>
        <v/>
      </c>
      <c r="K165" s="26">
        <f>IF(J165="","",IF(ISNUMBER(J165),IF(J165&lt;0,"Expired",IF(J165&lt;=30,"Due ≤30 days",IF(J165&lt;=90,"Due ≤90 days","OK"))),"Check date"))</f>
        <v/>
      </c>
      <c r="L165" s="21" t="n"/>
      <c r="M165" s="21" t="n"/>
      <c r="N165" s="21" t="n"/>
      <c r="O165" s="21" t="n"/>
      <c r="P165" s="21" t="n"/>
      <c r="Q165" s="21" t="n"/>
    </row>
    <row r="166">
      <c r="A166" s="21" t="n"/>
      <c r="B166" s="21" t="n"/>
      <c r="C166" s="21" t="n"/>
      <c r="D166" s="21" t="n"/>
      <c r="E166" s="22" t="n"/>
      <c r="F166" s="23" t="n"/>
      <c r="G166" s="24">
        <f>IF(AND(ISNUMBER(F166),ISNUMBER(E166)),EDATE(F166,E166),"")</f>
        <v/>
      </c>
      <c r="H166" s="22" t="n"/>
      <c r="I166" s="24">
        <f>IF(ISNUMBER(G166),G166-IF(ISNUMBER(H166),H166,30),"")</f>
        <v/>
      </c>
      <c r="J166" s="25">
        <f>IF(G166="","",IF(ISNUMBER(G166),G166-TODAY(),"Check date"))</f>
        <v/>
      </c>
      <c r="K166" s="26">
        <f>IF(J166="","",IF(ISNUMBER(J166),IF(J166&lt;0,"Expired",IF(J166&lt;=30,"Due ≤30 days",IF(J166&lt;=90,"Due ≤90 days","OK"))),"Check date"))</f>
        <v/>
      </c>
      <c r="L166" s="21" t="n"/>
      <c r="M166" s="21" t="n"/>
      <c r="N166" s="21" t="n"/>
      <c r="O166" s="21" t="n"/>
      <c r="P166" s="21" t="n"/>
      <c r="Q166" s="21" t="n"/>
    </row>
    <row r="167">
      <c r="A167" s="21" t="n"/>
      <c r="B167" s="21" t="n"/>
      <c r="C167" s="21" t="n"/>
      <c r="D167" s="21" t="n"/>
      <c r="E167" s="22" t="n"/>
      <c r="F167" s="23" t="n"/>
      <c r="G167" s="24">
        <f>IF(AND(ISNUMBER(F167),ISNUMBER(E167)),EDATE(F167,E167),"")</f>
        <v/>
      </c>
      <c r="H167" s="22" t="n"/>
      <c r="I167" s="24">
        <f>IF(ISNUMBER(G167),G167-IF(ISNUMBER(H167),H167,30),"")</f>
        <v/>
      </c>
      <c r="J167" s="25">
        <f>IF(G167="","",IF(ISNUMBER(G167),G167-TODAY(),"Check date"))</f>
        <v/>
      </c>
      <c r="K167" s="26">
        <f>IF(J167="","",IF(ISNUMBER(J167),IF(J167&lt;0,"Expired",IF(J167&lt;=30,"Due ≤30 days",IF(J167&lt;=90,"Due ≤90 days","OK"))),"Check date"))</f>
        <v/>
      </c>
      <c r="L167" s="21" t="n"/>
      <c r="M167" s="21" t="n"/>
      <c r="N167" s="21" t="n"/>
      <c r="O167" s="21" t="n"/>
      <c r="P167" s="21" t="n"/>
      <c r="Q167" s="21" t="n"/>
    </row>
    <row r="168">
      <c r="A168" s="21" t="n"/>
      <c r="B168" s="21" t="n"/>
      <c r="C168" s="21" t="n"/>
      <c r="D168" s="21" t="n"/>
      <c r="E168" s="22" t="n"/>
      <c r="F168" s="23" t="n"/>
      <c r="G168" s="24">
        <f>IF(AND(ISNUMBER(F168),ISNUMBER(E168)),EDATE(F168,E168),"")</f>
        <v/>
      </c>
      <c r="H168" s="22" t="n"/>
      <c r="I168" s="24">
        <f>IF(ISNUMBER(G168),G168-IF(ISNUMBER(H168),H168,30),"")</f>
        <v/>
      </c>
      <c r="J168" s="25">
        <f>IF(G168="","",IF(ISNUMBER(G168),G168-TODAY(),"Check date"))</f>
        <v/>
      </c>
      <c r="K168" s="26">
        <f>IF(J168="","",IF(ISNUMBER(J168),IF(J168&lt;0,"Expired",IF(J168&lt;=30,"Due ≤30 days",IF(J168&lt;=90,"Due ≤90 days","OK"))),"Check date"))</f>
        <v/>
      </c>
      <c r="L168" s="21" t="n"/>
      <c r="M168" s="21" t="n"/>
      <c r="N168" s="21" t="n"/>
      <c r="O168" s="21" t="n"/>
      <c r="P168" s="21" t="n"/>
      <c r="Q168" s="21" t="n"/>
    </row>
    <row r="169">
      <c r="A169" s="21" t="n"/>
      <c r="B169" s="21" t="n"/>
      <c r="C169" s="21" t="n"/>
      <c r="D169" s="21" t="n"/>
      <c r="E169" s="22" t="n"/>
      <c r="F169" s="23" t="n"/>
      <c r="G169" s="24">
        <f>IF(AND(ISNUMBER(F169),ISNUMBER(E169)),EDATE(F169,E169),"")</f>
        <v/>
      </c>
      <c r="H169" s="22" t="n"/>
      <c r="I169" s="24">
        <f>IF(ISNUMBER(G169),G169-IF(ISNUMBER(H169),H169,30),"")</f>
        <v/>
      </c>
      <c r="J169" s="25">
        <f>IF(G169="","",IF(ISNUMBER(G169),G169-TODAY(),"Check date"))</f>
        <v/>
      </c>
      <c r="K169" s="26">
        <f>IF(J169="","",IF(ISNUMBER(J169),IF(J169&lt;0,"Expired",IF(J169&lt;=30,"Due ≤30 days",IF(J169&lt;=90,"Due ≤90 days","OK"))),"Check date"))</f>
        <v/>
      </c>
      <c r="L169" s="21" t="n"/>
      <c r="M169" s="21" t="n"/>
      <c r="N169" s="21" t="n"/>
      <c r="O169" s="21" t="n"/>
      <c r="P169" s="21" t="n"/>
      <c r="Q169" s="21" t="n"/>
    </row>
    <row r="170">
      <c r="A170" s="21" t="n"/>
      <c r="B170" s="21" t="n"/>
      <c r="C170" s="21" t="n"/>
      <c r="D170" s="21" t="n"/>
      <c r="E170" s="22" t="n"/>
      <c r="F170" s="23" t="n"/>
      <c r="G170" s="24">
        <f>IF(AND(ISNUMBER(F170),ISNUMBER(E170)),EDATE(F170,E170),"")</f>
        <v/>
      </c>
      <c r="H170" s="22" t="n"/>
      <c r="I170" s="24">
        <f>IF(ISNUMBER(G170),G170-IF(ISNUMBER(H170),H170,30),"")</f>
        <v/>
      </c>
      <c r="J170" s="25">
        <f>IF(G170="","",IF(ISNUMBER(G170),G170-TODAY(),"Check date"))</f>
        <v/>
      </c>
      <c r="K170" s="26">
        <f>IF(J170="","",IF(ISNUMBER(J170),IF(J170&lt;0,"Expired",IF(J170&lt;=30,"Due ≤30 days",IF(J170&lt;=90,"Due ≤90 days","OK"))),"Check date"))</f>
        <v/>
      </c>
      <c r="L170" s="21" t="n"/>
      <c r="M170" s="21" t="n"/>
      <c r="N170" s="21" t="n"/>
      <c r="O170" s="21" t="n"/>
      <c r="P170" s="21" t="n"/>
      <c r="Q170" s="21" t="n"/>
    </row>
    <row r="171">
      <c r="A171" s="21" t="n"/>
      <c r="B171" s="21" t="n"/>
      <c r="C171" s="21" t="n"/>
      <c r="D171" s="21" t="n"/>
      <c r="E171" s="22" t="n"/>
      <c r="F171" s="23" t="n"/>
      <c r="G171" s="24">
        <f>IF(AND(ISNUMBER(F171),ISNUMBER(E171)),EDATE(F171,E171),"")</f>
        <v/>
      </c>
      <c r="H171" s="22" t="n"/>
      <c r="I171" s="24">
        <f>IF(ISNUMBER(G171),G171-IF(ISNUMBER(H171),H171,30),"")</f>
        <v/>
      </c>
      <c r="J171" s="25">
        <f>IF(G171="","",IF(ISNUMBER(G171),G171-TODAY(),"Check date"))</f>
        <v/>
      </c>
      <c r="K171" s="26">
        <f>IF(J171="","",IF(ISNUMBER(J171),IF(J171&lt;0,"Expired",IF(J171&lt;=30,"Due ≤30 days",IF(J171&lt;=90,"Due ≤90 days","OK"))),"Check date"))</f>
        <v/>
      </c>
      <c r="L171" s="21" t="n"/>
      <c r="M171" s="21" t="n"/>
      <c r="N171" s="21" t="n"/>
      <c r="O171" s="21" t="n"/>
      <c r="P171" s="21" t="n"/>
      <c r="Q171" s="21" t="n"/>
    </row>
    <row r="172">
      <c r="A172" s="21" t="n"/>
      <c r="B172" s="21" t="n"/>
      <c r="C172" s="21" t="n"/>
      <c r="D172" s="21" t="n"/>
      <c r="E172" s="22" t="n"/>
      <c r="F172" s="23" t="n"/>
      <c r="G172" s="24">
        <f>IF(AND(ISNUMBER(F172),ISNUMBER(E172)),EDATE(F172,E172),"")</f>
        <v/>
      </c>
      <c r="H172" s="22" t="n"/>
      <c r="I172" s="24">
        <f>IF(ISNUMBER(G172),G172-IF(ISNUMBER(H172),H172,30),"")</f>
        <v/>
      </c>
      <c r="J172" s="25">
        <f>IF(G172="","",IF(ISNUMBER(G172),G172-TODAY(),"Check date"))</f>
        <v/>
      </c>
      <c r="K172" s="26">
        <f>IF(J172="","",IF(ISNUMBER(J172),IF(J172&lt;0,"Expired",IF(J172&lt;=30,"Due ≤30 days",IF(J172&lt;=90,"Due ≤90 days","OK"))),"Check date"))</f>
        <v/>
      </c>
      <c r="L172" s="21" t="n"/>
      <c r="M172" s="21" t="n"/>
      <c r="N172" s="21" t="n"/>
      <c r="O172" s="21" t="n"/>
      <c r="P172" s="21" t="n"/>
      <c r="Q172" s="21" t="n"/>
    </row>
    <row r="173">
      <c r="A173" s="21" t="n"/>
      <c r="B173" s="21" t="n"/>
      <c r="C173" s="21" t="n"/>
      <c r="D173" s="21" t="n"/>
      <c r="E173" s="22" t="n"/>
      <c r="F173" s="23" t="n"/>
      <c r="G173" s="24">
        <f>IF(AND(ISNUMBER(F173),ISNUMBER(E173)),EDATE(F173,E173),"")</f>
        <v/>
      </c>
      <c r="H173" s="22" t="n"/>
      <c r="I173" s="24">
        <f>IF(ISNUMBER(G173),G173-IF(ISNUMBER(H173),H173,30),"")</f>
        <v/>
      </c>
      <c r="J173" s="25">
        <f>IF(G173="","",IF(ISNUMBER(G173),G173-TODAY(),"Check date"))</f>
        <v/>
      </c>
      <c r="K173" s="26">
        <f>IF(J173="","",IF(ISNUMBER(J173),IF(J173&lt;0,"Expired",IF(J173&lt;=30,"Due ≤30 days",IF(J173&lt;=90,"Due ≤90 days","OK"))),"Check date"))</f>
        <v/>
      </c>
      <c r="L173" s="21" t="n"/>
      <c r="M173" s="21" t="n"/>
      <c r="N173" s="21" t="n"/>
      <c r="O173" s="21" t="n"/>
      <c r="P173" s="21" t="n"/>
      <c r="Q173" s="21" t="n"/>
    </row>
    <row r="174">
      <c r="A174" s="21" t="n"/>
      <c r="B174" s="21" t="n"/>
      <c r="C174" s="21" t="n"/>
      <c r="D174" s="21" t="n"/>
      <c r="E174" s="22" t="n"/>
      <c r="F174" s="23" t="n"/>
      <c r="G174" s="24">
        <f>IF(AND(ISNUMBER(F174),ISNUMBER(E174)),EDATE(F174,E174),"")</f>
        <v/>
      </c>
      <c r="H174" s="22" t="n"/>
      <c r="I174" s="24">
        <f>IF(ISNUMBER(G174),G174-IF(ISNUMBER(H174),H174,30),"")</f>
        <v/>
      </c>
      <c r="J174" s="25">
        <f>IF(G174="","",IF(ISNUMBER(G174),G174-TODAY(),"Check date"))</f>
        <v/>
      </c>
      <c r="K174" s="26">
        <f>IF(J174="","",IF(ISNUMBER(J174),IF(J174&lt;0,"Expired",IF(J174&lt;=30,"Due ≤30 days",IF(J174&lt;=90,"Due ≤90 days","OK"))),"Check date"))</f>
        <v/>
      </c>
      <c r="L174" s="21" t="n"/>
      <c r="M174" s="21" t="n"/>
      <c r="N174" s="21" t="n"/>
      <c r="O174" s="21" t="n"/>
      <c r="P174" s="21" t="n"/>
      <c r="Q174" s="21" t="n"/>
    </row>
    <row r="175">
      <c r="A175" s="21" t="n"/>
      <c r="B175" s="21" t="n"/>
      <c r="C175" s="21" t="n"/>
      <c r="D175" s="21" t="n"/>
      <c r="E175" s="22" t="n"/>
      <c r="F175" s="23" t="n"/>
      <c r="G175" s="24">
        <f>IF(AND(ISNUMBER(F175),ISNUMBER(E175)),EDATE(F175,E175),"")</f>
        <v/>
      </c>
      <c r="H175" s="22" t="n"/>
      <c r="I175" s="24">
        <f>IF(ISNUMBER(G175),G175-IF(ISNUMBER(H175),H175,30),"")</f>
        <v/>
      </c>
      <c r="J175" s="25">
        <f>IF(G175="","",IF(ISNUMBER(G175),G175-TODAY(),"Check date"))</f>
        <v/>
      </c>
      <c r="K175" s="26">
        <f>IF(J175="","",IF(ISNUMBER(J175),IF(J175&lt;0,"Expired",IF(J175&lt;=30,"Due ≤30 days",IF(J175&lt;=90,"Due ≤90 days","OK"))),"Check date"))</f>
        <v/>
      </c>
      <c r="L175" s="21" t="n"/>
      <c r="M175" s="21" t="n"/>
      <c r="N175" s="21" t="n"/>
      <c r="O175" s="21" t="n"/>
      <c r="P175" s="21" t="n"/>
      <c r="Q175" s="21" t="n"/>
    </row>
    <row r="176">
      <c r="A176" s="21" t="n"/>
      <c r="B176" s="21" t="n"/>
      <c r="C176" s="21" t="n"/>
      <c r="D176" s="21" t="n"/>
      <c r="E176" s="22" t="n"/>
      <c r="F176" s="23" t="n"/>
      <c r="G176" s="24">
        <f>IF(AND(ISNUMBER(F176),ISNUMBER(E176)),EDATE(F176,E176),"")</f>
        <v/>
      </c>
      <c r="H176" s="22" t="n"/>
      <c r="I176" s="24">
        <f>IF(ISNUMBER(G176),G176-IF(ISNUMBER(H176),H176,30),"")</f>
        <v/>
      </c>
      <c r="J176" s="25">
        <f>IF(G176="","",IF(ISNUMBER(G176),G176-TODAY(),"Check date"))</f>
        <v/>
      </c>
      <c r="K176" s="26">
        <f>IF(J176="","",IF(ISNUMBER(J176),IF(J176&lt;0,"Expired",IF(J176&lt;=30,"Due ≤30 days",IF(J176&lt;=90,"Due ≤90 days","OK"))),"Check date"))</f>
        <v/>
      </c>
      <c r="L176" s="21" t="n"/>
      <c r="M176" s="21" t="n"/>
      <c r="N176" s="21" t="n"/>
      <c r="O176" s="21" t="n"/>
      <c r="P176" s="21" t="n"/>
      <c r="Q176" s="21" t="n"/>
    </row>
    <row r="177">
      <c r="A177" s="21" t="n"/>
      <c r="B177" s="21" t="n"/>
      <c r="C177" s="21" t="n"/>
      <c r="D177" s="21" t="n"/>
      <c r="E177" s="22" t="n"/>
      <c r="F177" s="23" t="n"/>
      <c r="G177" s="24">
        <f>IF(AND(ISNUMBER(F177),ISNUMBER(E177)),EDATE(F177,E177),"")</f>
        <v/>
      </c>
      <c r="H177" s="22" t="n"/>
      <c r="I177" s="24">
        <f>IF(ISNUMBER(G177),G177-IF(ISNUMBER(H177),H177,30),"")</f>
        <v/>
      </c>
      <c r="J177" s="25">
        <f>IF(G177="","",IF(ISNUMBER(G177),G177-TODAY(),"Check date"))</f>
        <v/>
      </c>
      <c r="K177" s="26">
        <f>IF(J177="","",IF(ISNUMBER(J177),IF(J177&lt;0,"Expired",IF(J177&lt;=30,"Due ≤30 days",IF(J177&lt;=90,"Due ≤90 days","OK"))),"Check date"))</f>
        <v/>
      </c>
      <c r="L177" s="21" t="n"/>
      <c r="M177" s="21" t="n"/>
      <c r="N177" s="21" t="n"/>
      <c r="O177" s="21" t="n"/>
      <c r="P177" s="21" t="n"/>
      <c r="Q177" s="21" t="n"/>
    </row>
    <row r="178">
      <c r="A178" s="21" t="n"/>
      <c r="B178" s="21" t="n"/>
      <c r="C178" s="21" t="n"/>
      <c r="D178" s="21" t="n"/>
      <c r="E178" s="22" t="n"/>
      <c r="F178" s="23" t="n"/>
      <c r="G178" s="24">
        <f>IF(AND(ISNUMBER(F178),ISNUMBER(E178)),EDATE(F178,E178),"")</f>
        <v/>
      </c>
      <c r="H178" s="22" t="n"/>
      <c r="I178" s="24">
        <f>IF(ISNUMBER(G178),G178-IF(ISNUMBER(H178),H178,30),"")</f>
        <v/>
      </c>
      <c r="J178" s="25">
        <f>IF(G178="","",IF(ISNUMBER(G178),G178-TODAY(),"Check date"))</f>
        <v/>
      </c>
      <c r="K178" s="26">
        <f>IF(J178="","",IF(ISNUMBER(J178),IF(J178&lt;0,"Expired",IF(J178&lt;=30,"Due ≤30 days",IF(J178&lt;=90,"Due ≤90 days","OK"))),"Check date"))</f>
        <v/>
      </c>
      <c r="L178" s="21" t="n"/>
      <c r="M178" s="21" t="n"/>
      <c r="N178" s="21" t="n"/>
      <c r="O178" s="21" t="n"/>
      <c r="P178" s="21" t="n"/>
      <c r="Q178" s="21" t="n"/>
    </row>
    <row r="179">
      <c r="A179" s="21" t="n"/>
      <c r="B179" s="21" t="n"/>
      <c r="C179" s="21" t="n"/>
      <c r="D179" s="21" t="n"/>
      <c r="E179" s="22" t="n"/>
      <c r="F179" s="23" t="n"/>
      <c r="G179" s="24">
        <f>IF(AND(ISNUMBER(F179),ISNUMBER(E179)),EDATE(F179,E179),"")</f>
        <v/>
      </c>
      <c r="H179" s="22" t="n"/>
      <c r="I179" s="24">
        <f>IF(ISNUMBER(G179),G179-IF(ISNUMBER(H179),H179,30),"")</f>
        <v/>
      </c>
      <c r="J179" s="25">
        <f>IF(G179="","",IF(ISNUMBER(G179),G179-TODAY(),"Check date"))</f>
        <v/>
      </c>
      <c r="K179" s="26">
        <f>IF(J179="","",IF(ISNUMBER(J179),IF(J179&lt;0,"Expired",IF(J179&lt;=30,"Due ≤30 days",IF(J179&lt;=90,"Due ≤90 days","OK"))),"Check date"))</f>
        <v/>
      </c>
      <c r="L179" s="21" t="n"/>
      <c r="M179" s="21" t="n"/>
      <c r="N179" s="21" t="n"/>
      <c r="O179" s="21" t="n"/>
      <c r="P179" s="21" t="n"/>
      <c r="Q179" s="21" t="n"/>
    </row>
    <row r="180">
      <c r="A180" s="21" t="n"/>
      <c r="B180" s="21" t="n"/>
      <c r="C180" s="21" t="n"/>
      <c r="D180" s="21" t="n"/>
      <c r="E180" s="22" t="n"/>
      <c r="F180" s="23" t="n"/>
      <c r="G180" s="24">
        <f>IF(AND(ISNUMBER(F180),ISNUMBER(E180)),EDATE(F180,E180),"")</f>
        <v/>
      </c>
      <c r="H180" s="22" t="n"/>
      <c r="I180" s="24">
        <f>IF(ISNUMBER(G180),G180-IF(ISNUMBER(H180),H180,30),"")</f>
        <v/>
      </c>
      <c r="J180" s="25">
        <f>IF(G180="","",IF(ISNUMBER(G180),G180-TODAY(),"Check date"))</f>
        <v/>
      </c>
      <c r="K180" s="26">
        <f>IF(J180="","",IF(ISNUMBER(J180),IF(J180&lt;0,"Expired",IF(J180&lt;=30,"Due ≤30 days",IF(J180&lt;=90,"Due ≤90 days","OK"))),"Check date"))</f>
        <v/>
      </c>
      <c r="L180" s="21" t="n"/>
      <c r="M180" s="21" t="n"/>
      <c r="N180" s="21" t="n"/>
      <c r="O180" s="21" t="n"/>
      <c r="P180" s="21" t="n"/>
      <c r="Q180" s="21" t="n"/>
    </row>
    <row r="181">
      <c r="A181" s="21" t="n"/>
      <c r="B181" s="21" t="n"/>
      <c r="C181" s="21" t="n"/>
      <c r="D181" s="21" t="n"/>
      <c r="E181" s="22" t="n"/>
      <c r="F181" s="23" t="n"/>
      <c r="G181" s="24">
        <f>IF(AND(ISNUMBER(F181),ISNUMBER(E181)),EDATE(F181,E181),"")</f>
        <v/>
      </c>
      <c r="H181" s="22" t="n"/>
      <c r="I181" s="24">
        <f>IF(ISNUMBER(G181),G181-IF(ISNUMBER(H181),H181,30),"")</f>
        <v/>
      </c>
      <c r="J181" s="25">
        <f>IF(G181="","",IF(ISNUMBER(G181),G181-TODAY(),"Check date"))</f>
        <v/>
      </c>
      <c r="K181" s="26">
        <f>IF(J181="","",IF(ISNUMBER(J181),IF(J181&lt;0,"Expired",IF(J181&lt;=30,"Due ≤30 days",IF(J181&lt;=90,"Due ≤90 days","OK"))),"Check date"))</f>
        <v/>
      </c>
      <c r="L181" s="21" t="n"/>
      <c r="M181" s="21" t="n"/>
      <c r="N181" s="21" t="n"/>
      <c r="O181" s="21" t="n"/>
      <c r="P181" s="21" t="n"/>
      <c r="Q181" s="21" t="n"/>
    </row>
    <row r="182">
      <c r="A182" s="21" t="n"/>
      <c r="B182" s="21" t="n"/>
      <c r="C182" s="21" t="n"/>
      <c r="D182" s="21" t="n"/>
      <c r="E182" s="22" t="n"/>
      <c r="F182" s="23" t="n"/>
      <c r="G182" s="24">
        <f>IF(AND(ISNUMBER(F182),ISNUMBER(E182)),EDATE(F182,E182),"")</f>
        <v/>
      </c>
      <c r="H182" s="22" t="n"/>
      <c r="I182" s="24">
        <f>IF(ISNUMBER(G182),G182-IF(ISNUMBER(H182),H182,30),"")</f>
        <v/>
      </c>
      <c r="J182" s="25">
        <f>IF(G182="","",IF(ISNUMBER(G182),G182-TODAY(),"Check date"))</f>
        <v/>
      </c>
      <c r="K182" s="26">
        <f>IF(J182="","",IF(ISNUMBER(J182),IF(J182&lt;0,"Expired",IF(J182&lt;=30,"Due ≤30 days",IF(J182&lt;=90,"Due ≤90 days","OK"))),"Check date"))</f>
        <v/>
      </c>
      <c r="L182" s="21" t="n"/>
      <c r="M182" s="21" t="n"/>
      <c r="N182" s="21" t="n"/>
      <c r="O182" s="21" t="n"/>
      <c r="P182" s="21" t="n"/>
      <c r="Q182" s="21" t="n"/>
    </row>
    <row r="183">
      <c r="A183" s="21" t="n"/>
      <c r="B183" s="21" t="n"/>
      <c r="C183" s="21" t="n"/>
      <c r="D183" s="21" t="n"/>
      <c r="E183" s="22" t="n"/>
      <c r="F183" s="23" t="n"/>
      <c r="G183" s="24">
        <f>IF(AND(ISNUMBER(F183),ISNUMBER(E183)),EDATE(F183,E183),"")</f>
        <v/>
      </c>
      <c r="H183" s="22" t="n"/>
      <c r="I183" s="24">
        <f>IF(ISNUMBER(G183),G183-IF(ISNUMBER(H183),H183,30),"")</f>
        <v/>
      </c>
      <c r="J183" s="25">
        <f>IF(G183="","",IF(ISNUMBER(G183),G183-TODAY(),"Check date"))</f>
        <v/>
      </c>
      <c r="K183" s="26">
        <f>IF(J183="","",IF(ISNUMBER(J183),IF(J183&lt;0,"Expired",IF(J183&lt;=30,"Due ≤30 days",IF(J183&lt;=90,"Due ≤90 days","OK"))),"Check date"))</f>
        <v/>
      </c>
      <c r="L183" s="21" t="n"/>
      <c r="M183" s="21" t="n"/>
      <c r="N183" s="21" t="n"/>
      <c r="O183" s="21" t="n"/>
      <c r="P183" s="21" t="n"/>
      <c r="Q183" s="21" t="n"/>
    </row>
    <row r="184">
      <c r="A184" s="21" t="n"/>
      <c r="B184" s="21" t="n"/>
      <c r="C184" s="21" t="n"/>
      <c r="D184" s="21" t="n"/>
      <c r="E184" s="22" t="n"/>
      <c r="F184" s="23" t="n"/>
      <c r="G184" s="24">
        <f>IF(AND(ISNUMBER(F184),ISNUMBER(E184)),EDATE(F184,E184),"")</f>
        <v/>
      </c>
      <c r="H184" s="22" t="n"/>
      <c r="I184" s="24">
        <f>IF(ISNUMBER(G184),G184-IF(ISNUMBER(H184),H184,30),"")</f>
        <v/>
      </c>
      <c r="J184" s="25">
        <f>IF(G184="","",IF(ISNUMBER(G184),G184-TODAY(),"Check date"))</f>
        <v/>
      </c>
      <c r="K184" s="26">
        <f>IF(J184="","",IF(ISNUMBER(J184),IF(J184&lt;0,"Expired",IF(J184&lt;=30,"Due ≤30 days",IF(J184&lt;=90,"Due ≤90 days","OK"))),"Check date"))</f>
        <v/>
      </c>
      <c r="L184" s="21" t="n"/>
      <c r="M184" s="21" t="n"/>
      <c r="N184" s="21" t="n"/>
      <c r="O184" s="21" t="n"/>
      <c r="P184" s="21" t="n"/>
      <c r="Q184" s="21" t="n"/>
    </row>
    <row r="185">
      <c r="A185" s="21" t="n"/>
      <c r="B185" s="21" t="n"/>
      <c r="C185" s="21" t="n"/>
      <c r="D185" s="21" t="n"/>
      <c r="E185" s="22" t="n"/>
      <c r="F185" s="23" t="n"/>
      <c r="G185" s="24">
        <f>IF(AND(ISNUMBER(F185),ISNUMBER(E185)),EDATE(F185,E185),"")</f>
        <v/>
      </c>
      <c r="H185" s="22" t="n"/>
      <c r="I185" s="24">
        <f>IF(ISNUMBER(G185),G185-IF(ISNUMBER(H185),H185,30),"")</f>
        <v/>
      </c>
      <c r="J185" s="25">
        <f>IF(G185="","",IF(ISNUMBER(G185),G185-TODAY(),"Check date"))</f>
        <v/>
      </c>
      <c r="K185" s="26">
        <f>IF(J185="","",IF(ISNUMBER(J185),IF(J185&lt;0,"Expired",IF(J185&lt;=30,"Due ≤30 days",IF(J185&lt;=90,"Due ≤90 days","OK"))),"Check date"))</f>
        <v/>
      </c>
      <c r="L185" s="21" t="n"/>
      <c r="M185" s="21" t="n"/>
      <c r="N185" s="21" t="n"/>
      <c r="O185" s="21" t="n"/>
      <c r="P185" s="21" t="n"/>
      <c r="Q185" s="21" t="n"/>
    </row>
    <row r="186">
      <c r="A186" s="21" t="n"/>
      <c r="B186" s="21" t="n"/>
      <c r="C186" s="21" t="n"/>
      <c r="D186" s="21" t="n"/>
      <c r="E186" s="22" t="n"/>
      <c r="F186" s="23" t="n"/>
      <c r="G186" s="24">
        <f>IF(AND(ISNUMBER(F186),ISNUMBER(E186)),EDATE(F186,E186),"")</f>
        <v/>
      </c>
      <c r="H186" s="22" t="n"/>
      <c r="I186" s="24">
        <f>IF(ISNUMBER(G186),G186-IF(ISNUMBER(H186),H186,30),"")</f>
        <v/>
      </c>
      <c r="J186" s="25">
        <f>IF(G186="","",IF(ISNUMBER(G186),G186-TODAY(),"Check date"))</f>
        <v/>
      </c>
      <c r="K186" s="26">
        <f>IF(J186="","",IF(ISNUMBER(J186),IF(J186&lt;0,"Expired",IF(J186&lt;=30,"Due ≤30 days",IF(J186&lt;=90,"Due ≤90 days","OK"))),"Check date"))</f>
        <v/>
      </c>
      <c r="L186" s="21" t="n"/>
      <c r="M186" s="21" t="n"/>
      <c r="N186" s="21" t="n"/>
      <c r="O186" s="21" t="n"/>
      <c r="P186" s="21" t="n"/>
      <c r="Q186" s="21" t="n"/>
    </row>
    <row r="187">
      <c r="A187" s="21" t="n"/>
      <c r="B187" s="21" t="n"/>
      <c r="C187" s="21" t="n"/>
      <c r="D187" s="21" t="n"/>
      <c r="E187" s="22" t="n"/>
      <c r="F187" s="23" t="n"/>
      <c r="G187" s="24">
        <f>IF(AND(ISNUMBER(F187),ISNUMBER(E187)),EDATE(F187,E187),"")</f>
        <v/>
      </c>
      <c r="H187" s="22" t="n"/>
      <c r="I187" s="24">
        <f>IF(ISNUMBER(G187),G187-IF(ISNUMBER(H187),H187,30),"")</f>
        <v/>
      </c>
      <c r="J187" s="25">
        <f>IF(G187="","",IF(ISNUMBER(G187),G187-TODAY(),"Check date"))</f>
        <v/>
      </c>
      <c r="K187" s="26">
        <f>IF(J187="","",IF(ISNUMBER(J187),IF(J187&lt;0,"Expired",IF(J187&lt;=30,"Due ≤30 days",IF(J187&lt;=90,"Due ≤90 days","OK"))),"Check date"))</f>
        <v/>
      </c>
      <c r="L187" s="21" t="n"/>
      <c r="M187" s="21" t="n"/>
      <c r="N187" s="21" t="n"/>
      <c r="O187" s="21" t="n"/>
      <c r="P187" s="21" t="n"/>
      <c r="Q187" s="21" t="n"/>
    </row>
    <row r="188">
      <c r="A188" s="21" t="n"/>
      <c r="B188" s="21" t="n"/>
      <c r="C188" s="21" t="n"/>
      <c r="D188" s="21" t="n"/>
      <c r="E188" s="22" t="n"/>
      <c r="F188" s="23" t="n"/>
      <c r="G188" s="24">
        <f>IF(AND(ISNUMBER(F188),ISNUMBER(E188)),EDATE(F188,E188),"")</f>
        <v/>
      </c>
      <c r="H188" s="22" t="n"/>
      <c r="I188" s="24">
        <f>IF(ISNUMBER(G188),G188-IF(ISNUMBER(H188),H188,30),"")</f>
        <v/>
      </c>
      <c r="J188" s="25">
        <f>IF(G188="","",IF(ISNUMBER(G188),G188-TODAY(),"Check date"))</f>
        <v/>
      </c>
      <c r="K188" s="26">
        <f>IF(J188="","",IF(ISNUMBER(J188),IF(J188&lt;0,"Expired",IF(J188&lt;=30,"Due ≤30 days",IF(J188&lt;=90,"Due ≤90 days","OK"))),"Check date"))</f>
        <v/>
      </c>
      <c r="L188" s="21" t="n"/>
      <c r="M188" s="21" t="n"/>
      <c r="N188" s="21" t="n"/>
      <c r="O188" s="21" t="n"/>
      <c r="P188" s="21" t="n"/>
      <c r="Q188" s="21" t="n"/>
    </row>
    <row r="189">
      <c r="A189" s="21" t="n"/>
      <c r="B189" s="21" t="n"/>
      <c r="C189" s="21" t="n"/>
      <c r="D189" s="21" t="n"/>
      <c r="E189" s="22" t="n"/>
      <c r="F189" s="23" t="n"/>
      <c r="G189" s="24">
        <f>IF(AND(ISNUMBER(F189),ISNUMBER(E189)),EDATE(F189,E189),"")</f>
        <v/>
      </c>
      <c r="H189" s="22" t="n"/>
      <c r="I189" s="24">
        <f>IF(ISNUMBER(G189),G189-IF(ISNUMBER(H189),H189,30),"")</f>
        <v/>
      </c>
      <c r="J189" s="25">
        <f>IF(G189="","",IF(ISNUMBER(G189),G189-TODAY(),"Check date"))</f>
        <v/>
      </c>
      <c r="K189" s="26">
        <f>IF(J189="","",IF(ISNUMBER(J189),IF(J189&lt;0,"Expired",IF(J189&lt;=30,"Due ≤30 days",IF(J189&lt;=90,"Due ≤90 days","OK"))),"Check date"))</f>
        <v/>
      </c>
      <c r="L189" s="21" t="n"/>
      <c r="M189" s="21" t="n"/>
      <c r="N189" s="21" t="n"/>
      <c r="O189" s="21" t="n"/>
      <c r="P189" s="21" t="n"/>
      <c r="Q189" s="21" t="n"/>
    </row>
    <row r="190">
      <c r="A190" s="21" t="n"/>
      <c r="B190" s="21" t="n"/>
      <c r="C190" s="21" t="n"/>
      <c r="D190" s="21" t="n"/>
      <c r="E190" s="22" t="n"/>
      <c r="F190" s="23" t="n"/>
      <c r="G190" s="24">
        <f>IF(AND(ISNUMBER(F190),ISNUMBER(E190)),EDATE(F190,E190),"")</f>
        <v/>
      </c>
      <c r="H190" s="22" t="n"/>
      <c r="I190" s="24">
        <f>IF(ISNUMBER(G190),G190-IF(ISNUMBER(H190),H190,30),"")</f>
        <v/>
      </c>
      <c r="J190" s="25">
        <f>IF(G190="","",IF(ISNUMBER(G190),G190-TODAY(),"Check date"))</f>
        <v/>
      </c>
      <c r="K190" s="26">
        <f>IF(J190="","",IF(ISNUMBER(J190),IF(J190&lt;0,"Expired",IF(J190&lt;=30,"Due ≤30 days",IF(J190&lt;=90,"Due ≤90 days","OK"))),"Check date"))</f>
        <v/>
      </c>
      <c r="L190" s="21" t="n"/>
      <c r="M190" s="21" t="n"/>
      <c r="N190" s="21" t="n"/>
      <c r="O190" s="21" t="n"/>
      <c r="P190" s="21" t="n"/>
      <c r="Q190" s="21" t="n"/>
    </row>
    <row r="191">
      <c r="A191" s="21" t="n"/>
      <c r="B191" s="21" t="n"/>
      <c r="C191" s="21" t="n"/>
      <c r="D191" s="21" t="n"/>
      <c r="E191" s="22" t="n"/>
      <c r="F191" s="23" t="n"/>
      <c r="G191" s="24">
        <f>IF(AND(ISNUMBER(F191),ISNUMBER(E191)),EDATE(F191,E191),"")</f>
        <v/>
      </c>
      <c r="H191" s="22" t="n"/>
      <c r="I191" s="24">
        <f>IF(ISNUMBER(G191),G191-IF(ISNUMBER(H191),H191,30),"")</f>
        <v/>
      </c>
      <c r="J191" s="25">
        <f>IF(G191="","",IF(ISNUMBER(G191),G191-TODAY(),"Check date"))</f>
        <v/>
      </c>
      <c r="K191" s="26">
        <f>IF(J191="","",IF(ISNUMBER(J191),IF(J191&lt;0,"Expired",IF(J191&lt;=30,"Due ≤30 days",IF(J191&lt;=90,"Due ≤90 days","OK"))),"Check date"))</f>
        <v/>
      </c>
      <c r="L191" s="21" t="n"/>
      <c r="M191" s="21" t="n"/>
      <c r="N191" s="21" t="n"/>
      <c r="O191" s="21" t="n"/>
      <c r="P191" s="21" t="n"/>
      <c r="Q191" s="21" t="n"/>
    </row>
    <row r="192">
      <c r="A192" s="21" t="n"/>
      <c r="B192" s="21" t="n"/>
      <c r="C192" s="21" t="n"/>
      <c r="D192" s="21" t="n"/>
      <c r="E192" s="22" t="n"/>
      <c r="F192" s="23" t="n"/>
      <c r="G192" s="24">
        <f>IF(AND(ISNUMBER(F192),ISNUMBER(E192)),EDATE(F192,E192),"")</f>
        <v/>
      </c>
      <c r="H192" s="22" t="n"/>
      <c r="I192" s="24">
        <f>IF(ISNUMBER(G192),G192-IF(ISNUMBER(H192),H192,30),"")</f>
        <v/>
      </c>
      <c r="J192" s="25">
        <f>IF(G192="","",IF(ISNUMBER(G192),G192-TODAY(),"Check date"))</f>
        <v/>
      </c>
      <c r="K192" s="26">
        <f>IF(J192="","",IF(ISNUMBER(J192),IF(J192&lt;0,"Expired",IF(J192&lt;=30,"Due ≤30 days",IF(J192&lt;=90,"Due ≤90 days","OK"))),"Check date"))</f>
        <v/>
      </c>
      <c r="L192" s="21" t="n"/>
      <c r="M192" s="21" t="n"/>
      <c r="N192" s="21" t="n"/>
      <c r="O192" s="21" t="n"/>
      <c r="P192" s="21" t="n"/>
      <c r="Q192" s="21" t="n"/>
    </row>
    <row r="193">
      <c r="A193" s="21" t="n"/>
      <c r="B193" s="21" t="n"/>
      <c r="C193" s="21" t="n"/>
      <c r="D193" s="21" t="n"/>
      <c r="E193" s="22" t="n"/>
      <c r="F193" s="23" t="n"/>
      <c r="G193" s="24">
        <f>IF(AND(ISNUMBER(F193),ISNUMBER(E193)),EDATE(F193,E193),"")</f>
        <v/>
      </c>
      <c r="H193" s="22" t="n"/>
      <c r="I193" s="24">
        <f>IF(ISNUMBER(G193),G193-IF(ISNUMBER(H193),H193,30),"")</f>
        <v/>
      </c>
      <c r="J193" s="25">
        <f>IF(G193="","",IF(ISNUMBER(G193),G193-TODAY(),"Check date"))</f>
        <v/>
      </c>
      <c r="K193" s="26">
        <f>IF(J193="","",IF(ISNUMBER(J193),IF(J193&lt;0,"Expired",IF(J193&lt;=30,"Due ≤30 days",IF(J193&lt;=90,"Due ≤90 days","OK"))),"Check date"))</f>
        <v/>
      </c>
      <c r="L193" s="21" t="n"/>
      <c r="M193" s="21" t="n"/>
      <c r="N193" s="21" t="n"/>
      <c r="O193" s="21" t="n"/>
      <c r="P193" s="21" t="n"/>
      <c r="Q193" s="21" t="n"/>
    </row>
    <row r="194">
      <c r="A194" s="21" t="n"/>
      <c r="B194" s="21" t="n"/>
      <c r="C194" s="21" t="n"/>
      <c r="D194" s="21" t="n"/>
      <c r="E194" s="22" t="n"/>
      <c r="F194" s="23" t="n"/>
      <c r="G194" s="24">
        <f>IF(AND(ISNUMBER(F194),ISNUMBER(E194)),EDATE(F194,E194),"")</f>
        <v/>
      </c>
      <c r="H194" s="22" t="n"/>
      <c r="I194" s="24">
        <f>IF(ISNUMBER(G194),G194-IF(ISNUMBER(H194),H194,30),"")</f>
        <v/>
      </c>
      <c r="J194" s="25">
        <f>IF(G194="","",IF(ISNUMBER(G194),G194-TODAY(),"Check date"))</f>
        <v/>
      </c>
      <c r="K194" s="26">
        <f>IF(J194="","",IF(ISNUMBER(J194),IF(J194&lt;0,"Expired",IF(J194&lt;=30,"Due ≤30 days",IF(J194&lt;=90,"Due ≤90 days","OK"))),"Check date"))</f>
        <v/>
      </c>
      <c r="L194" s="21" t="n"/>
      <c r="M194" s="21" t="n"/>
      <c r="N194" s="21" t="n"/>
      <c r="O194" s="21" t="n"/>
      <c r="P194" s="21" t="n"/>
      <c r="Q194" s="21" t="n"/>
    </row>
    <row r="195">
      <c r="A195" s="21" t="n"/>
      <c r="B195" s="21" t="n"/>
      <c r="C195" s="21" t="n"/>
      <c r="D195" s="21" t="n"/>
      <c r="E195" s="22" t="n"/>
      <c r="F195" s="23" t="n"/>
      <c r="G195" s="24">
        <f>IF(AND(ISNUMBER(F195),ISNUMBER(E195)),EDATE(F195,E195),"")</f>
        <v/>
      </c>
      <c r="H195" s="22" t="n"/>
      <c r="I195" s="24">
        <f>IF(ISNUMBER(G195),G195-IF(ISNUMBER(H195),H195,30),"")</f>
        <v/>
      </c>
      <c r="J195" s="25">
        <f>IF(G195="","",IF(ISNUMBER(G195),G195-TODAY(),"Check date"))</f>
        <v/>
      </c>
      <c r="K195" s="26">
        <f>IF(J195="","",IF(ISNUMBER(J195),IF(J195&lt;0,"Expired",IF(J195&lt;=30,"Due ≤30 days",IF(J195&lt;=90,"Due ≤90 days","OK"))),"Check date"))</f>
        <v/>
      </c>
      <c r="L195" s="21" t="n"/>
      <c r="M195" s="21" t="n"/>
      <c r="N195" s="21" t="n"/>
      <c r="O195" s="21" t="n"/>
      <c r="P195" s="21" t="n"/>
      <c r="Q195" s="21" t="n"/>
    </row>
    <row r="196">
      <c r="A196" s="21" t="n"/>
      <c r="B196" s="21" t="n"/>
      <c r="C196" s="21" t="n"/>
      <c r="D196" s="21" t="n"/>
      <c r="E196" s="22" t="n"/>
      <c r="F196" s="23" t="n"/>
      <c r="G196" s="24">
        <f>IF(AND(ISNUMBER(F196),ISNUMBER(E196)),EDATE(F196,E196),"")</f>
        <v/>
      </c>
      <c r="H196" s="22" t="n"/>
      <c r="I196" s="24">
        <f>IF(ISNUMBER(G196),G196-IF(ISNUMBER(H196),H196,30),"")</f>
        <v/>
      </c>
      <c r="J196" s="25">
        <f>IF(G196="","",IF(ISNUMBER(G196),G196-TODAY(),"Check date"))</f>
        <v/>
      </c>
      <c r="K196" s="26">
        <f>IF(J196="","",IF(ISNUMBER(J196),IF(J196&lt;0,"Expired",IF(J196&lt;=30,"Due ≤30 days",IF(J196&lt;=90,"Due ≤90 days","OK"))),"Check date"))</f>
        <v/>
      </c>
      <c r="L196" s="21" t="n"/>
      <c r="M196" s="21" t="n"/>
      <c r="N196" s="21" t="n"/>
      <c r="O196" s="21" t="n"/>
      <c r="P196" s="21" t="n"/>
      <c r="Q196" s="21" t="n"/>
    </row>
    <row r="197">
      <c r="A197" s="21" t="n"/>
      <c r="B197" s="21" t="n"/>
      <c r="C197" s="21" t="n"/>
      <c r="D197" s="21" t="n"/>
      <c r="E197" s="22" t="n"/>
      <c r="F197" s="23" t="n"/>
      <c r="G197" s="24">
        <f>IF(AND(ISNUMBER(F197),ISNUMBER(E197)),EDATE(F197,E197),"")</f>
        <v/>
      </c>
      <c r="H197" s="22" t="n"/>
      <c r="I197" s="24">
        <f>IF(ISNUMBER(G197),G197-IF(ISNUMBER(H197),H197,30),"")</f>
        <v/>
      </c>
      <c r="J197" s="25">
        <f>IF(G197="","",IF(ISNUMBER(G197),G197-TODAY(),"Check date"))</f>
        <v/>
      </c>
      <c r="K197" s="26">
        <f>IF(J197="","",IF(ISNUMBER(J197),IF(J197&lt;0,"Expired",IF(J197&lt;=30,"Due ≤30 days",IF(J197&lt;=90,"Due ≤90 days","OK"))),"Check date"))</f>
        <v/>
      </c>
      <c r="L197" s="21" t="n"/>
      <c r="M197" s="21" t="n"/>
      <c r="N197" s="21" t="n"/>
      <c r="O197" s="21" t="n"/>
      <c r="P197" s="21" t="n"/>
      <c r="Q197" s="21" t="n"/>
    </row>
    <row r="198">
      <c r="A198" s="21" t="n"/>
      <c r="B198" s="21" t="n"/>
      <c r="C198" s="21" t="n"/>
      <c r="D198" s="21" t="n"/>
      <c r="E198" s="22" t="n"/>
      <c r="F198" s="23" t="n"/>
      <c r="G198" s="24">
        <f>IF(AND(ISNUMBER(F198),ISNUMBER(E198)),EDATE(F198,E198),"")</f>
        <v/>
      </c>
      <c r="H198" s="22" t="n"/>
      <c r="I198" s="24">
        <f>IF(ISNUMBER(G198),G198-IF(ISNUMBER(H198),H198,30),"")</f>
        <v/>
      </c>
      <c r="J198" s="25">
        <f>IF(G198="","",IF(ISNUMBER(G198),G198-TODAY(),"Check date"))</f>
        <v/>
      </c>
      <c r="K198" s="26">
        <f>IF(J198="","",IF(ISNUMBER(J198),IF(J198&lt;0,"Expired",IF(J198&lt;=30,"Due ≤30 days",IF(J198&lt;=90,"Due ≤90 days","OK"))),"Check date"))</f>
        <v/>
      </c>
      <c r="L198" s="21" t="n"/>
      <c r="M198" s="21" t="n"/>
      <c r="N198" s="21" t="n"/>
      <c r="O198" s="21" t="n"/>
      <c r="P198" s="21" t="n"/>
      <c r="Q198" s="21" t="n"/>
    </row>
    <row r="199">
      <c r="A199" s="21" t="n"/>
      <c r="B199" s="21" t="n"/>
      <c r="C199" s="21" t="n"/>
      <c r="D199" s="21" t="n"/>
      <c r="E199" s="22" t="n"/>
      <c r="F199" s="23" t="n"/>
      <c r="G199" s="24">
        <f>IF(AND(ISNUMBER(F199),ISNUMBER(E199)),EDATE(F199,E199),"")</f>
        <v/>
      </c>
      <c r="H199" s="22" t="n"/>
      <c r="I199" s="24">
        <f>IF(ISNUMBER(G199),G199-IF(ISNUMBER(H199),H199,30),"")</f>
        <v/>
      </c>
      <c r="J199" s="25">
        <f>IF(G199="","",IF(ISNUMBER(G199),G199-TODAY(),"Check date"))</f>
        <v/>
      </c>
      <c r="K199" s="26">
        <f>IF(J199="","",IF(ISNUMBER(J199),IF(J199&lt;0,"Expired",IF(J199&lt;=30,"Due ≤30 days",IF(J199&lt;=90,"Due ≤90 days","OK"))),"Check date"))</f>
        <v/>
      </c>
      <c r="L199" s="21" t="n"/>
      <c r="M199" s="21" t="n"/>
      <c r="N199" s="21" t="n"/>
      <c r="O199" s="21" t="n"/>
      <c r="P199" s="21" t="n"/>
      <c r="Q199" s="21" t="n"/>
    </row>
    <row r="200">
      <c r="A200" s="21" t="n"/>
      <c r="B200" s="21" t="n"/>
      <c r="C200" s="21" t="n"/>
      <c r="D200" s="21" t="n"/>
      <c r="E200" s="22" t="n"/>
      <c r="F200" s="23" t="n"/>
      <c r="G200" s="24">
        <f>IF(AND(ISNUMBER(F200),ISNUMBER(E200)),EDATE(F200,E200),"")</f>
        <v/>
      </c>
      <c r="H200" s="22" t="n"/>
      <c r="I200" s="24">
        <f>IF(ISNUMBER(G200),G200-IF(ISNUMBER(H200),H200,30),"")</f>
        <v/>
      </c>
      <c r="J200" s="25">
        <f>IF(G200="","",IF(ISNUMBER(G200),G200-TODAY(),"Check date"))</f>
        <v/>
      </c>
      <c r="K200" s="26">
        <f>IF(J200="","",IF(ISNUMBER(J200),IF(J200&lt;0,"Expired",IF(J200&lt;=30,"Due ≤30 days",IF(J200&lt;=90,"Due ≤90 days","OK"))),"Check date"))</f>
        <v/>
      </c>
      <c r="L200" s="21" t="n"/>
      <c r="M200" s="21" t="n"/>
      <c r="N200" s="21" t="n"/>
      <c r="O200" s="21" t="n"/>
      <c r="P200" s="21" t="n"/>
      <c r="Q200" s="21" t="n"/>
    </row>
    <row r="201">
      <c r="A201" s="21" t="n"/>
      <c r="B201" s="21" t="n"/>
      <c r="C201" s="21" t="n"/>
      <c r="D201" s="21" t="n"/>
      <c r="E201" s="22" t="n"/>
      <c r="F201" s="23" t="n"/>
      <c r="G201" s="24">
        <f>IF(AND(ISNUMBER(F201),ISNUMBER(E201)),EDATE(F201,E201),"")</f>
        <v/>
      </c>
      <c r="H201" s="22" t="n"/>
      <c r="I201" s="24">
        <f>IF(ISNUMBER(G201),G201-IF(ISNUMBER(H201),H201,30),"")</f>
        <v/>
      </c>
      <c r="J201" s="25">
        <f>IF(G201="","",IF(ISNUMBER(G201),G201-TODAY(),"Check date"))</f>
        <v/>
      </c>
      <c r="K201" s="26">
        <f>IF(J201="","",IF(ISNUMBER(J201),IF(J201&lt;0,"Expired",IF(J201&lt;=30,"Due ≤30 days",IF(J201&lt;=90,"Due ≤90 days","OK"))),"Check date"))</f>
        <v/>
      </c>
      <c r="L201" s="21" t="n"/>
      <c r="M201" s="21" t="n"/>
      <c r="N201" s="21" t="n"/>
      <c r="O201" s="21" t="n"/>
      <c r="P201" s="21" t="n"/>
      <c r="Q201" s="21" t="n"/>
    </row>
    <row r="202">
      <c r="A202" s="21" t="n"/>
      <c r="B202" s="21" t="n"/>
      <c r="C202" s="21" t="n"/>
      <c r="D202" s="21" t="n"/>
      <c r="E202" s="22" t="n"/>
      <c r="F202" s="23" t="n"/>
      <c r="G202" s="24">
        <f>IF(AND(ISNUMBER(F202),ISNUMBER(E202)),EDATE(F202,E202),"")</f>
        <v/>
      </c>
      <c r="H202" s="22" t="n"/>
      <c r="I202" s="24">
        <f>IF(ISNUMBER(G202),G202-IF(ISNUMBER(H202),H202,30),"")</f>
        <v/>
      </c>
      <c r="J202" s="25">
        <f>IF(G202="","",IF(ISNUMBER(G202),G202-TODAY(),"Check date"))</f>
        <v/>
      </c>
      <c r="K202" s="26">
        <f>IF(J202="","",IF(ISNUMBER(J202),IF(J202&lt;0,"Expired",IF(J202&lt;=30,"Due ≤30 days",IF(J202&lt;=90,"Due ≤90 days","OK"))),"Check date"))</f>
        <v/>
      </c>
      <c r="L202" s="21" t="n"/>
      <c r="M202" s="21" t="n"/>
      <c r="N202" s="21" t="n"/>
      <c r="O202" s="21" t="n"/>
      <c r="P202" s="21" t="n"/>
      <c r="Q202" s="21" t="n"/>
    </row>
    <row r="203">
      <c r="A203" s="21" t="n"/>
      <c r="B203" s="21" t="n"/>
      <c r="C203" s="21" t="n"/>
      <c r="D203" s="21" t="n"/>
      <c r="E203" s="22" t="n"/>
      <c r="F203" s="23" t="n"/>
      <c r="G203" s="24">
        <f>IF(AND(ISNUMBER(F203),ISNUMBER(E203)),EDATE(F203,E203),"")</f>
        <v/>
      </c>
      <c r="H203" s="22" t="n"/>
      <c r="I203" s="24">
        <f>IF(ISNUMBER(G203),G203-IF(ISNUMBER(H203),H203,30),"")</f>
        <v/>
      </c>
      <c r="J203" s="25">
        <f>IF(G203="","",IF(ISNUMBER(G203),G203-TODAY(),"Check date"))</f>
        <v/>
      </c>
      <c r="K203" s="26">
        <f>IF(J203="","",IF(ISNUMBER(J203),IF(J203&lt;0,"Expired",IF(J203&lt;=30,"Due ≤30 days",IF(J203&lt;=90,"Due ≤90 days","OK"))),"Check date"))</f>
        <v/>
      </c>
      <c r="L203" s="21" t="n"/>
      <c r="M203" s="21" t="n"/>
      <c r="N203" s="21" t="n"/>
      <c r="O203" s="21" t="n"/>
      <c r="P203" s="21" t="n"/>
      <c r="Q203" s="21" t="n"/>
    </row>
    <row r="204">
      <c r="A204" s="21" t="n"/>
      <c r="B204" s="21" t="n"/>
      <c r="C204" s="21" t="n"/>
      <c r="D204" s="21" t="n"/>
      <c r="E204" s="22" t="n"/>
      <c r="F204" s="23" t="n"/>
      <c r="G204" s="24">
        <f>IF(AND(ISNUMBER(F204),ISNUMBER(E204)),EDATE(F204,E204),"")</f>
        <v/>
      </c>
      <c r="H204" s="22" t="n"/>
      <c r="I204" s="24">
        <f>IF(ISNUMBER(G204),G204-IF(ISNUMBER(H204),H204,30),"")</f>
        <v/>
      </c>
      <c r="J204" s="25">
        <f>IF(G204="","",IF(ISNUMBER(G204),G204-TODAY(),"Check date"))</f>
        <v/>
      </c>
      <c r="K204" s="26">
        <f>IF(J204="","",IF(ISNUMBER(J204),IF(J204&lt;0,"Expired",IF(J204&lt;=30,"Due ≤30 days",IF(J204&lt;=90,"Due ≤90 days","OK"))),"Check date"))</f>
        <v/>
      </c>
      <c r="L204" s="21" t="n"/>
      <c r="M204" s="21" t="n"/>
      <c r="N204" s="21" t="n"/>
      <c r="O204" s="21" t="n"/>
      <c r="P204" s="21" t="n"/>
      <c r="Q204" s="21" t="n"/>
    </row>
    <row r="205">
      <c r="A205" s="21" t="n"/>
      <c r="B205" s="21" t="n"/>
      <c r="C205" s="21" t="n"/>
      <c r="D205" s="21" t="n"/>
      <c r="E205" s="22" t="n"/>
      <c r="F205" s="23" t="n"/>
      <c r="G205" s="24">
        <f>IF(AND(ISNUMBER(F205),ISNUMBER(E205)),EDATE(F205,E205),"")</f>
        <v/>
      </c>
      <c r="H205" s="22" t="n"/>
      <c r="I205" s="24">
        <f>IF(ISNUMBER(G205),G205-IF(ISNUMBER(H205),H205,30),"")</f>
        <v/>
      </c>
      <c r="J205" s="25">
        <f>IF(G205="","",IF(ISNUMBER(G205),G205-TODAY(),"Check date"))</f>
        <v/>
      </c>
      <c r="K205" s="26">
        <f>IF(J205="","",IF(ISNUMBER(J205),IF(J205&lt;0,"Expired",IF(J205&lt;=30,"Due ≤30 days",IF(J205&lt;=90,"Due ≤90 days","OK"))),"Check date"))</f>
        <v/>
      </c>
      <c r="L205" s="21" t="n"/>
      <c r="M205" s="21" t="n"/>
      <c r="N205" s="21" t="n"/>
      <c r="O205" s="21" t="n"/>
      <c r="P205" s="21" t="n"/>
      <c r="Q205" s="21" t="n"/>
    </row>
    <row r="206">
      <c r="A206" s="21" t="n"/>
      <c r="B206" s="21" t="n"/>
      <c r="C206" s="21" t="n"/>
      <c r="D206" s="21" t="n"/>
      <c r="E206" s="22" t="n"/>
      <c r="F206" s="23" t="n"/>
      <c r="G206" s="24">
        <f>IF(AND(ISNUMBER(F206),ISNUMBER(E206)),EDATE(F206,E206),"")</f>
        <v/>
      </c>
      <c r="H206" s="22" t="n"/>
      <c r="I206" s="24">
        <f>IF(ISNUMBER(G206),G206-IF(ISNUMBER(H206),H206,30),"")</f>
        <v/>
      </c>
      <c r="J206" s="25">
        <f>IF(G206="","",IF(ISNUMBER(G206),G206-TODAY(),"Check date"))</f>
        <v/>
      </c>
      <c r="K206" s="26">
        <f>IF(J206="","",IF(ISNUMBER(J206),IF(J206&lt;0,"Expired",IF(J206&lt;=30,"Due ≤30 days",IF(J206&lt;=90,"Due ≤90 days","OK"))),"Check date"))</f>
        <v/>
      </c>
      <c r="L206" s="21" t="n"/>
      <c r="M206" s="21" t="n"/>
      <c r="N206" s="21" t="n"/>
      <c r="O206" s="21" t="n"/>
      <c r="P206" s="21" t="n"/>
      <c r="Q206" s="21" t="n"/>
    </row>
    <row r="207">
      <c r="A207" s="21" t="n"/>
      <c r="B207" s="21" t="n"/>
      <c r="C207" s="21" t="n"/>
      <c r="D207" s="21" t="n"/>
      <c r="E207" s="22" t="n"/>
      <c r="F207" s="23" t="n"/>
      <c r="G207" s="24">
        <f>IF(AND(ISNUMBER(F207),ISNUMBER(E207)),EDATE(F207,E207),"")</f>
        <v/>
      </c>
      <c r="H207" s="22" t="n"/>
      <c r="I207" s="24">
        <f>IF(ISNUMBER(G207),G207-IF(ISNUMBER(H207),H207,30),"")</f>
        <v/>
      </c>
      <c r="J207" s="25">
        <f>IF(G207="","",IF(ISNUMBER(G207),G207-TODAY(),"Check date"))</f>
        <v/>
      </c>
      <c r="K207" s="26">
        <f>IF(J207="","",IF(ISNUMBER(J207),IF(J207&lt;0,"Expired",IF(J207&lt;=30,"Due ≤30 days",IF(J207&lt;=90,"Due ≤90 days","OK"))),"Check date"))</f>
        <v/>
      </c>
      <c r="L207" s="21" t="n"/>
      <c r="M207" s="21" t="n"/>
      <c r="N207" s="21" t="n"/>
      <c r="O207" s="21" t="n"/>
      <c r="P207" s="21" t="n"/>
      <c r="Q207" s="21" t="n"/>
    </row>
    <row r="208">
      <c r="A208" s="21" t="n"/>
      <c r="B208" s="21" t="n"/>
      <c r="C208" s="21" t="n"/>
      <c r="D208" s="21" t="n"/>
      <c r="E208" s="22" t="n"/>
      <c r="F208" s="23" t="n"/>
      <c r="G208" s="24">
        <f>IF(AND(ISNUMBER(F208),ISNUMBER(E208)),EDATE(F208,E208),"")</f>
        <v/>
      </c>
      <c r="H208" s="22" t="n"/>
      <c r="I208" s="24">
        <f>IF(ISNUMBER(G208),G208-IF(ISNUMBER(H208),H208,30),"")</f>
        <v/>
      </c>
      <c r="J208" s="25">
        <f>IF(G208="","",IF(ISNUMBER(G208),G208-TODAY(),"Check date"))</f>
        <v/>
      </c>
      <c r="K208" s="26">
        <f>IF(J208="","",IF(ISNUMBER(J208),IF(J208&lt;0,"Expired",IF(J208&lt;=30,"Due ≤30 days",IF(J208&lt;=90,"Due ≤90 days","OK"))),"Check date"))</f>
        <v/>
      </c>
      <c r="L208" s="21" t="n"/>
      <c r="M208" s="21" t="n"/>
      <c r="N208" s="21" t="n"/>
      <c r="O208" s="21" t="n"/>
      <c r="P208" s="21" t="n"/>
      <c r="Q208" s="21" t="n"/>
    </row>
    <row r="209">
      <c r="A209" s="21" t="n"/>
      <c r="B209" s="21" t="n"/>
      <c r="C209" s="21" t="n"/>
      <c r="D209" s="21" t="n"/>
      <c r="E209" s="22" t="n"/>
      <c r="F209" s="23" t="n"/>
      <c r="G209" s="24">
        <f>IF(AND(ISNUMBER(F209),ISNUMBER(E209)),EDATE(F209,E209),"")</f>
        <v/>
      </c>
      <c r="H209" s="22" t="n"/>
      <c r="I209" s="24">
        <f>IF(ISNUMBER(G209),G209-IF(ISNUMBER(H209),H209,30),"")</f>
        <v/>
      </c>
      <c r="J209" s="25">
        <f>IF(G209="","",IF(ISNUMBER(G209),G209-TODAY(),"Check date"))</f>
        <v/>
      </c>
      <c r="K209" s="26">
        <f>IF(J209="","",IF(ISNUMBER(J209),IF(J209&lt;0,"Expired",IF(J209&lt;=30,"Due ≤30 days",IF(J209&lt;=90,"Due ≤90 days","OK"))),"Check date"))</f>
        <v/>
      </c>
      <c r="L209" s="21" t="n"/>
      <c r="M209" s="21" t="n"/>
      <c r="N209" s="21" t="n"/>
      <c r="O209" s="21" t="n"/>
      <c r="P209" s="21" t="n"/>
      <c r="Q209" s="21" t="n"/>
    </row>
    <row r="210">
      <c r="A210" s="21" t="n"/>
      <c r="B210" s="21" t="n"/>
      <c r="C210" s="21" t="n"/>
      <c r="D210" s="21" t="n"/>
      <c r="E210" s="22" t="n"/>
      <c r="F210" s="23" t="n"/>
      <c r="G210" s="24">
        <f>IF(AND(ISNUMBER(F210),ISNUMBER(E210)),EDATE(F210,E210),"")</f>
        <v/>
      </c>
      <c r="H210" s="22" t="n"/>
      <c r="I210" s="24">
        <f>IF(ISNUMBER(G210),G210-IF(ISNUMBER(H210),H210,30),"")</f>
        <v/>
      </c>
      <c r="J210" s="25">
        <f>IF(G210="","",IF(ISNUMBER(G210),G210-TODAY(),"Check date"))</f>
        <v/>
      </c>
      <c r="K210" s="26">
        <f>IF(J210="","",IF(ISNUMBER(J210),IF(J210&lt;0,"Expired",IF(J210&lt;=30,"Due ≤30 days",IF(J210&lt;=90,"Due ≤90 days","OK"))),"Check date"))</f>
        <v/>
      </c>
      <c r="L210" s="21" t="n"/>
      <c r="M210" s="21" t="n"/>
      <c r="N210" s="21" t="n"/>
      <c r="O210" s="21" t="n"/>
      <c r="P210" s="21" t="n"/>
      <c r="Q210" s="21" t="n"/>
    </row>
    <row r="211">
      <c r="A211" s="21" t="n"/>
      <c r="B211" s="21" t="n"/>
      <c r="C211" s="21" t="n"/>
      <c r="D211" s="21" t="n"/>
      <c r="E211" s="22" t="n"/>
      <c r="F211" s="23" t="n"/>
      <c r="G211" s="24">
        <f>IF(AND(ISNUMBER(F211),ISNUMBER(E211)),EDATE(F211,E211),"")</f>
        <v/>
      </c>
      <c r="H211" s="22" t="n"/>
      <c r="I211" s="24">
        <f>IF(ISNUMBER(G211),G211-IF(ISNUMBER(H211),H211,30),"")</f>
        <v/>
      </c>
      <c r="J211" s="25">
        <f>IF(G211="","",IF(ISNUMBER(G211),G211-TODAY(),"Check date"))</f>
        <v/>
      </c>
      <c r="K211" s="26">
        <f>IF(J211="","",IF(ISNUMBER(J211),IF(J211&lt;0,"Expired",IF(J211&lt;=30,"Due ≤30 days",IF(J211&lt;=90,"Due ≤90 days","OK"))),"Check date"))</f>
        <v/>
      </c>
      <c r="L211" s="21" t="n"/>
      <c r="M211" s="21" t="n"/>
      <c r="N211" s="21" t="n"/>
      <c r="O211" s="21" t="n"/>
      <c r="P211" s="21" t="n"/>
      <c r="Q211" s="21" t="n"/>
    </row>
    <row r="212">
      <c r="A212" s="21" t="n"/>
      <c r="B212" s="21" t="n"/>
      <c r="C212" s="21" t="n"/>
      <c r="D212" s="21" t="n"/>
      <c r="E212" s="22" t="n"/>
      <c r="F212" s="23" t="n"/>
      <c r="G212" s="24">
        <f>IF(AND(ISNUMBER(F212),ISNUMBER(E212)),EDATE(F212,E212),"")</f>
        <v/>
      </c>
      <c r="H212" s="22" t="n"/>
      <c r="I212" s="24">
        <f>IF(ISNUMBER(G212),G212-IF(ISNUMBER(H212),H212,30),"")</f>
        <v/>
      </c>
      <c r="J212" s="25">
        <f>IF(G212="","",IF(ISNUMBER(G212),G212-TODAY(),"Check date"))</f>
        <v/>
      </c>
      <c r="K212" s="26">
        <f>IF(J212="","",IF(ISNUMBER(J212),IF(J212&lt;0,"Expired",IF(J212&lt;=30,"Due ≤30 days",IF(J212&lt;=90,"Due ≤90 days","OK"))),"Check date"))</f>
        <v/>
      </c>
      <c r="L212" s="21" t="n"/>
      <c r="M212" s="21" t="n"/>
      <c r="N212" s="21" t="n"/>
      <c r="O212" s="21" t="n"/>
      <c r="P212" s="21" t="n"/>
      <c r="Q212" s="21" t="n"/>
    </row>
    <row r="213">
      <c r="A213" s="21" t="n"/>
      <c r="B213" s="21" t="n"/>
      <c r="C213" s="21" t="n"/>
      <c r="D213" s="21" t="n"/>
      <c r="E213" s="22" t="n"/>
      <c r="F213" s="23" t="n"/>
      <c r="G213" s="24">
        <f>IF(AND(ISNUMBER(F213),ISNUMBER(E213)),EDATE(F213,E213),"")</f>
        <v/>
      </c>
      <c r="H213" s="22" t="n"/>
      <c r="I213" s="24">
        <f>IF(ISNUMBER(G213),G213-IF(ISNUMBER(H213),H213,30),"")</f>
        <v/>
      </c>
      <c r="J213" s="25">
        <f>IF(G213="","",IF(ISNUMBER(G213),G213-TODAY(),"Check date"))</f>
        <v/>
      </c>
      <c r="K213" s="26">
        <f>IF(J213="","",IF(ISNUMBER(J213),IF(J213&lt;0,"Expired",IF(J213&lt;=30,"Due ≤30 days",IF(J213&lt;=90,"Due ≤90 days","OK"))),"Check date"))</f>
        <v/>
      </c>
      <c r="L213" s="21" t="n"/>
      <c r="M213" s="21" t="n"/>
      <c r="N213" s="21" t="n"/>
      <c r="O213" s="21" t="n"/>
      <c r="P213" s="21" t="n"/>
      <c r="Q213" s="21" t="n"/>
    </row>
    <row r="214">
      <c r="A214" s="21" t="n"/>
      <c r="B214" s="21" t="n"/>
      <c r="C214" s="21" t="n"/>
      <c r="D214" s="21" t="n"/>
      <c r="E214" s="22" t="n"/>
      <c r="F214" s="23" t="n"/>
      <c r="G214" s="24">
        <f>IF(AND(ISNUMBER(F214),ISNUMBER(E214)),EDATE(F214,E214),"")</f>
        <v/>
      </c>
      <c r="H214" s="22" t="n"/>
      <c r="I214" s="24">
        <f>IF(ISNUMBER(G214),G214-IF(ISNUMBER(H214),H214,30),"")</f>
        <v/>
      </c>
      <c r="J214" s="25">
        <f>IF(G214="","",IF(ISNUMBER(G214),G214-TODAY(),"Check date"))</f>
        <v/>
      </c>
      <c r="K214" s="26">
        <f>IF(J214="","",IF(ISNUMBER(J214),IF(J214&lt;0,"Expired",IF(J214&lt;=30,"Due ≤30 days",IF(J214&lt;=90,"Due ≤90 days","OK"))),"Check date"))</f>
        <v/>
      </c>
      <c r="L214" s="21" t="n"/>
      <c r="M214" s="21" t="n"/>
      <c r="N214" s="21" t="n"/>
      <c r="O214" s="21" t="n"/>
      <c r="P214" s="21" t="n"/>
      <c r="Q214" s="21" t="n"/>
    </row>
    <row r="215">
      <c r="A215" s="21" t="n"/>
      <c r="B215" s="21" t="n"/>
      <c r="C215" s="21" t="n"/>
      <c r="D215" s="21" t="n"/>
      <c r="E215" s="22" t="n"/>
      <c r="F215" s="23" t="n"/>
      <c r="G215" s="24">
        <f>IF(AND(ISNUMBER(F215),ISNUMBER(E215)),EDATE(F215,E215),"")</f>
        <v/>
      </c>
      <c r="H215" s="22" t="n"/>
      <c r="I215" s="24">
        <f>IF(ISNUMBER(G215),G215-IF(ISNUMBER(H215),H215,30),"")</f>
        <v/>
      </c>
      <c r="J215" s="25">
        <f>IF(G215="","",IF(ISNUMBER(G215),G215-TODAY(),"Check date"))</f>
        <v/>
      </c>
      <c r="K215" s="26">
        <f>IF(J215="","",IF(ISNUMBER(J215),IF(J215&lt;0,"Expired",IF(J215&lt;=30,"Due ≤30 days",IF(J215&lt;=90,"Due ≤90 days","OK"))),"Check date"))</f>
        <v/>
      </c>
      <c r="L215" s="21" t="n"/>
      <c r="M215" s="21" t="n"/>
      <c r="N215" s="21" t="n"/>
      <c r="O215" s="21" t="n"/>
      <c r="P215" s="21" t="n"/>
      <c r="Q215" s="21" t="n"/>
    </row>
    <row r="216">
      <c r="A216" s="21" t="n"/>
      <c r="B216" s="21" t="n"/>
      <c r="C216" s="21" t="n"/>
      <c r="D216" s="21" t="n"/>
      <c r="E216" s="22" t="n"/>
      <c r="F216" s="23" t="n"/>
      <c r="G216" s="24">
        <f>IF(AND(ISNUMBER(F216),ISNUMBER(E216)),EDATE(F216,E216),"")</f>
        <v/>
      </c>
      <c r="H216" s="22" t="n"/>
      <c r="I216" s="24">
        <f>IF(ISNUMBER(G216),G216-IF(ISNUMBER(H216),H216,30),"")</f>
        <v/>
      </c>
      <c r="J216" s="25">
        <f>IF(G216="","",IF(ISNUMBER(G216),G216-TODAY(),"Check date"))</f>
        <v/>
      </c>
      <c r="K216" s="26">
        <f>IF(J216="","",IF(ISNUMBER(J216),IF(J216&lt;0,"Expired",IF(J216&lt;=30,"Due ≤30 days",IF(J216&lt;=90,"Due ≤90 days","OK"))),"Check date"))</f>
        <v/>
      </c>
      <c r="L216" s="21" t="n"/>
      <c r="M216" s="21" t="n"/>
      <c r="N216" s="21" t="n"/>
      <c r="O216" s="21" t="n"/>
      <c r="P216" s="21" t="n"/>
      <c r="Q216" s="21" t="n"/>
    </row>
    <row r="217">
      <c r="A217" s="21" t="n"/>
      <c r="B217" s="21" t="n"/>
      <c r="C217" s="21" t="n"/>
      <c r="D217" s="21" t="n"/>
      <c r="E217" s="22" t="n"/>
      <c r="F217" s="23" t="n"/>
      <c r="G217" s="24">
        <f>IF(AND(ISNUMBER(F217),ISNUMBER(E217)),EDATE(F217,E217),"")</f>
        <v/>
      </c>
      <c r="H217" s="22" t="n"/>
      <c r="I217" s="24">
        <f>IF(ISNUMBER(G217),G217-IF(ISNUMBER(H217),H217,30),"")</f>
        <v/>
      </c>
      <c r="J217" s="25">
        <f>IF(G217="","",IF(ISNUMBER(G217),G217-TODAY(),"Check date"))</f>
        <v/>
      </c>
      <c r="K217" s="26">
        <f>IF(J217="","",IF(ISNUMBER(J217),IF(J217&lt;0,"Expired",IF(J217&lt;=30,"Due ≤30 days",IF(J217&lt;=90,"Due ≤90 days","OK"))),"Check date"))</f>
        <v/>
      </c>
      <c r="L217" s="21" t="n"/>
      <c r="M217" s="21" t="n"/>
      <c r="N217" s="21" t="n"/>
      <c r="O217" s="21" t="n"/>
      <c r="P217" s="21" t="n"/>
      <c r="Q217" s="21" t="n"/>
    </row>
    <row r="218">
      <c r="A218" s="21" t="n"/>
      <c r="B218" s="21" t="n"/>
      <c r="C218" s="21" t="n"/>
      <c r="D218" s="21" t="n"/>
      <c r="E218" s="22" t="n"/>
      <c r="F218" s="23" t="n"/>
      <c r="G218" s="24">
        <f>IF(AND(ISNUMBER(F218),ISNUMBER(E218)),EDATE(F218,E218),"")</f>
        <v/>
      </c>
      <c r="H218" s="22" t="n"/>
      <c r="I218" s="24">
        <f>IF(ISNUMBER(G218),G218-IF(ISNUMBER(H218),H218,30),"")</f>
        <v/>
      </c>
      <c r="J218" s="25">
        <f>IF(G218="","",IF(ISNUMBER(G218),G218-TODAY(),"Check date"))</f>
        <v/>
      </c>
      <c r="K218" s="26">
        <f>IF(J218="","",IF(ISNUMBER(J218),IF(J218&lt;0,"Expired",IF(J218&lt;=30,"Due ≤30 days",IF(J218&lt;=90,"Due ≤90 days","OK"))),"Check date"))</f>
        <v/>
      </c>
      <c r="L218" s="21" t="n"/>
      <c r="M218" s="21" t="n"/>
      <c r="N218" s="21" t="n"/>
      <c r="O218" s="21" t="n"/>
      <c r="P218" s="21" t="n"/>
      <c r="Q218" s="21" t="n"/>
    </row>
    <row r="219">
      <c r="A219" s="21" t="n"/>
      <c r="B219" s="21" t="n"/>
      <c r="C219" s="21" t="n"/>
      <c r="D219" s="21" t="n"/>
      <c r="E219" s="22" t="n"/>
      <c r="F219" s="23" t="n"/>
      <c r="G219" s="24">
        <f>IF(AND(ISNUMBER(F219),ISNUMBER(E219)),EDATE(F219,E219),"")</f>
        <v/>
      </c>
      <c r="H219" s="22" t="n"/>
      <c r="I219" s="24">
        <f>IF(ISNUMBER(G219),G219-IF(ISNUMBER(H219),H219,30),"")</f>
        <v/>
      </c>
      <c r="J219" s="25">
        <f>IF(G219="","",IF(ISNUMBER(G219),G219-TODAY(),"Check date"))</f>
        <v/>
      </c>
      <c r="K219" s="26">
        <f>IF(J219="","",IF(ISNUMBER(J219),IF(J219&lt;0,"Expired",IF(J219&lt;=30,"Due ≤30 days",IF(J219&lt;=90,"Due ≤90 days","OK"))),"Check date"))</f>
        <v/>
      </c>
      <c r="L219" s="21" t="n"/>
      <c r="M219" s="21" t="n"/>
      <c r="N219" s="21" t="n"/>
      <c r="O219" s="21" t="n"/>
      <c r="P219" s="21" t="n"/>
      <c r="Q219" s="21" t="n"/>
    </row>
    <row r="220">
      <c r="A220" s="21" t="n"/>
      <c r="B220" s="21" t="n"/>
      <c r="C220" s="21" t="n"/>
      <c r="D220" s="21" t="n"/>
      <c r="E220" s="22" t="n"/>
      <c r="F220" s="23" t="n"/>
      <c r="G220" s="24">
        <f>IF(AND(ISNUMBER(F220),ISNUMBER(E220)),EDATE(F220,E220),"")</f>
        <v/>
      </c>
      <c r="H220" s="22" t="n"/>
      <c r="I220" s="24">
        <f>IF(ISNUMBER(G220),G220-IF(ISNUMBER(H220),H220,30),"")</f>
        <v/>
      </c>
      <c r="J220" s="25">
        <f>IF(G220="","",IF(ISNUMBER(G220),G220-TODAY(),"Check date"))</f>
        <v/>
      </c>
      <c r="K220" s="26">
        <f>IF(J220="","",IF(ISNUMBER(J220),IF(J220&lt;0,"Expired",IF(J220&lt;=30,"Due ≤30 days",IF(J220&lt;=90,"Due ≤90 days","OK"))),"Check date"))</f>
        <v/>
      </c>
      <c r="L220" s="21" t="n"/>
      <c r="M220" s="21" t="n"/>
      <c r="N220" s="21" t="n"/>
      <c r="O220" s="21" t="n"/>
      <c r="P220" s="21" t="n"/>
      <c r="Q220" s="21" t="n"/>
    </row>
    <row r="221">
      <c r="A221" s="21" t="n"/>
      <c r="B221" s="21" t="n"/>
      <c r="C221" s="21" t="n"/>
      <c r="D221" s="21" t="n"/>
      <c r="E221" s="22" t="n"/>
      <c r="F221" s="23" t="n"/>
      <c r="G221" s="24">
        <f>IF(AND(ISNUMBER(F221),ISNUMBER(E221)),EDATE(F221,E221),"")</f>
        <v/>
      </c>
      <c r="H221" s="22" t="n"/>
      <c r="I221" s="24">
        <f>IF(ISNUMBER(G221),G221-IF(ISNUMBER(H221),H221,30),"")</f>
        <v/>
      </c>
      <c r="J221" s="25">
        <f>IF(G221="","",IF(ISNUMBER(G221),G221-TODAY(),"Check date"))</f>
        <v/>
      </c>
      <c r="K221" s="26">
        <f>IF(J221="","",IF(ISNUMBER(J221),IF(J221&lt;0,"Expired",IF(J221&lt;=30,"Due ≤30 days",IF(J221&lt;=90,"Due ≤90 days","OK"))),"Check date"))</f>
        <v/>
      </c>
      <c r="L221" s="21" t="n"/>
      <c r="M221" s="21" t="n"/>
      <c r="N221" s="21" t="n"/>
      <c r="O221" s="21" t="n"/>
      <c r="P221" s="21" t="n"/>
      <c r="Q221" s="21" t="n"/>
    </row>
    <row r="222">
      <c r="A222" s="21" t="n"/>
      <c r="B222" s="21" t="n"/>
      <c r="C222" s="21" t="n"/>
      <c r="D222" s="21" t="n"/>
      <c r="E222" s="22" t="n"/>
      <c r="F222" s="23" t="n"/>
      <c r="G222" s="24">
        <f>IF(AND(ISNUMBER(F222),ISNUMBER(E222)),EDATE(F222,E222),"")</f>
        <v/>
      </c>
      <c r="H222" s="22" t="n"/>
      <c r="I222" s="24">
        <f>IF(ISNUMBER(G222),G222-IF(ISNUMBER(H222),H222,30),"")</f>
        <v/>
      </c>
      <c r="J222" s="25">
        <f>IF(G222="","",IF(ISNUMBER(G222),G222-TODAY(),"Check date"))</f>
        <v/>
      </c>
      <c r="K222" s="26">
        <f>IF(J222="","",IF(ISNUMBER(J222),IF(J222&lt;0,"Expired",IF(J222&lt;=30,"Due ≤30 days",IF(J222&lt;=90,"Due ≤90 days","OK"))),"Check date"))</f>
        <v/>
      </c>
      <c r="L222" s="21" t="n"/>
      <c r="M222" s="21" t="n"/>
      <c r="N222" s="21" t="n"/>
      <c r="O222" s="21" t="n"/>
      <c r="P222" s="21" t="n"/>
      <c r="Q222" s="21" t="n"/>
    </row>
    <row r="223">
      <c r="A223" s="21" t="n"/>
      <c r="B223" s="21" t="n"/>
      <c r="C223" s="21" t="n"/>
      <c r="D223" s="21" t="n"/>
      <c r="E223" s="22" t="n"/>
      <c r="F223" s="23" t="n"/>
      <c r="G223" s="24">
        <f>IF(AND(ISNUMBER(F223),ISNUMBER(E223)),EDATE(F223,E223),"")</f>
        <v/>
      </c>
      <c r="H223" s="22" t="n"/>
      <c r="I223" s="24">
        <f>IF(ISNUMBER(G223),G223-IF(ISNUMBER(H223),H223,30),"")</f>
        <v/>
      </c>
      <c r="J223" s="25">
        <f>IF(G223="","",IF(ISNUMBER(G223),G223-TODAY(),"Check date"))</f>
        <v/>
      </c>
      <c r="K223" s="26">
        <f>IF(J223="","",IF(ISNUMBER(J223),IF(J223&lt;0,"Expired",IF(J223&lt;=30,"Due ≤30 days",IF(J223&lt;=90,"Due ≤90 days","OK"))),"Check date"))</f>
        <v/>
      </c>
      <c r="L223" s="21" t="n"/>
      <c r="M223" s="21" t="n"/>
      <c r="N223" s="21" t="n"/>
      <c r="O223" s="21" t="n"/>
      <c r="P223" s="21" t="n"/>
      <c r="Q223" s="21" t="n"/>
    </row>
    <row r="224">
      <c r="A224" s="21" t="n"/>
      <c r="B224" s="21" t="n"/>
      <c r="C224" s="21" t="n"/>
      <c r="D224" s="21" t="n"/>
      <c r="E224" s="22" t="n"/>
      <c r="F224" s="23" t="n"/>
      <c r="G224" s="24">
        <f>IF(AND(ISNUMBER(F224),ISNUMBER(E224)),EDATE(F224,E224),"")</f>
        <v/>
      </c>
      <c r="H224" s="22" t="n"/>
      <c r="I224" s="24">
        <f>IF(ISNUMBER(G224),G224-IF(ISNUMBER(H224),H224,30),"")</f>
        <v/>
      </c>
      <c r="J224" s="25">
        <f>IF(G224="","",IF(ISNUMBER(G224),G224-TODAY(),"Check date"))</f>
        <v/>
      </c>
      <c r="K224" s="26">
        <f>IF(J224="","",IF(ISNUMBER(J224),IF(J224&lt;0,"Expired",IF(J224&lt;=30,"Due ≤30 days",IF(J224&lt;=90,"Due ≤90 days","OK"))),"Check date"))</f>
        <v/>
      </c>
      <c r="L224" s="21" t="n"/>
      <c r="M224" s="21" t="n"/>
      <c r="N224" s="21" t="n"/>
      <c r="O224" s="21" t="n"/>
      <c r="P224" s="21" t="n"/>
      <c r="Q224" s="21" t="n"/>
    </row>
    <row r="225">
      <c r="A225" s="21" t="n"/>
      <c r="B225" s="21" t="n"/>
      <c r="C225" s="21" t="n"/>
      <c r="D225" s="21" t="n"/>
      <c r="E225" s="22" t="n"/>
      <c r="F225" s="23" t="n"/>
      <c r="G225" s="24">
        <f>IF(AND(ISNUMBER(F225),ISNUMBER(E225)),EDATE(F225,E225),"")</f>
        <v/>
      </c>
      <c r="H225" s="22" t="n"/>
      <c r="I225" s="24">
        <f>IF(ISNUMBER(G225),G225-IF(ISNUMBER(H225),H225,30),"")</f>
        <v/>
      </c>
      <c r="J225" s="25">
        <f>IF(G225="","",IF(ISNUMBER(G225),G225-TODAY(),"Check date"))</f>
        <v/>
      </c>
      <c r="K225" s="26">
        <f>IF(J225="","",IF(ISNUMBER(J225),IF(J225&lt;0,"Expired",IF(J225&lt;=30,"Due ≤30 days",IF(J225&lt;=90,"Due ≤90 days","OK"))),"Check date"))</f>
        <v/>
      </c>
      <c r="L225" s="21" t="n"/>
      <c r="M225" s="21" t="n"/>
      <c r="N225" s="21" t="n"/>
      <c r="O225" s="21" t="n"/>
      <c r="P225" s="21" t="n"/>
      <c r="Q225" s="21" t="n"/>
    </row>
    <row r="226">
      <c r="A226" s="21" t="n"/>
      <c r="B226" s="21" t="n"/>
      <c r="C226" s="21" t="n"/>
      <c r="D226" s="21" t="n"/>
      <c r="E226" s="22" t="n"/>
      <c r="F226" s="23" t="n"/>
      <c r="G226" s="24">
        <f>IF(AND(ISNUMBER(F226),ISNUMBER(E226)),EDATE(F226,E226),"")</f>
        <v/>
      </c>
      <c r="H226" s="22" t="n"/>
      <c r="I226" s="24">
        <f>IF(ISNUMBER(G226),G226-IF(ISNUMBER(H226),H226,30),"")</f>
        <v/>
      </c>
      <c r="J226" s="25">
        <f>IF(G226="","",IF(ISNUMBER(G226),G226-TODAY(),"Check date"))</f>
        <v/>
      </c>
      <c r="K226" s="26">
        <f>IF(J226="","",IF(ISNUMBER(J226),IF(J226&lt;0,"Expired",IF(J226&lt;=30,"Due ≤30 days",IF(J226&lt;=90,"Due ≤90 days","OK"))),"Check date"))</f>
        <v/>
      </c>
      <c r="L226" s="21" t="n"/>
      <c r="M226" s="21" t="n"/>
      <c r="N226" s="21" t="n"/>
      <c r="O226" s="21" t="n"/>
      <c r="P226" s="21" t="n"/>
      <c r="Q226" s="21" t="n"/>
    </row>
    <row r="227">
      <c r="A227" s="21" t="n"/>
      <c r="B227" s="21" t="n"/>
      <c r="C227" s="21" t="n"/>
      <c r="D227" s="21" t="n"/>
      <c r="E227" s="22" t="n"/>
      <c r="F227" s="23" t="n"/>
      <c r="G227" s="24">
        <f>IF(AND(ISNUMBER(F227),ISNUMBER(E227)),EDATE(F227,E227),"")</f>
        <v/>
      </c>
      <c r="H227" s="22" t="n"/>
      <c r="I227" s="24">
        <f>IF(ISNUMBER(G227),G227-IF(ISNUMBER(H227),H227,30),"")</f>
        <v/>
      </c>
      <c r="J227" s="25">
        <f>IF(G227="","",IF(ISNUMBER(G227),G227-TODAY(),"Check date"))</f>
        <v/>
      </c>
      <c r="K227" s="26">
        <f>IF(J227="","",IF(ISNUMBER(J227),IF(J227&lt;0,"Expired",IF(J227&lt;=30,"Due ≤30 days",IF(J227&lt;=90,"Due ≤90 days","OK"))),"Check date"))</f>
        <v/>
      </c>
      <c r="L227" s="21" t="n"/>
      <c r="M227" s="21" t="n"/>
      <c r="N227" s="21" t="n"/>
      <c r="O227" s="21" t="n"/>
      <c r="P227" s="21" t="n"/>
      <c r="Q227" s="21" t="n"/>
    </row>
    <row r="228">
      <c r="A228" s="21" t="n"/>
      <c r="B228" s="21" t="n"/>
      <c r="C228" s="21" t="n"/>
      <c r="D228" s="21" t="n"/>
      <c r="E228" s="22" t="n"/>
      <c r="F228" s="23" t="n"/>
      <c r="G228" s="24">
        <f>IF(AND(ISNUMBER(F228),ISNUMBER(E228)),EDATE(F228,E228),"")</f>
        <v/>
      </c>
      <c r="H228" s="22" t="n"/>
      <c r="I228" s="24">
        <f>IF(ISNUMBER(G228),G228-IF(ISNUMBER(H228),H228,30),"")</f>
        <v/>
      </c>
      <c r="J228" s="25">
        <f>IF(G228="","",IF(ISNUMBER(G228),G228-TODAY(),"Check date"))</f>
        <v/>
      </c>
      <c r="K228" s="26">
        <f>IF(J228="","",IF(ISNUMBER(J228),IF(J228&lt;0,"Expired",IF(J228&lt;=30,"Due ≤30 days",IF(J228&lt;=90,"Due ≤90 days","OK"))),"Check date"))</f>
        <v/>
      </c>
      <c r="L228" s="21" t="n"/>
      <c r="M228" s="21" t="n"/>
      <c r="N228" s="21" t="n"/>
      <c r="O228" s="21" t="n"/>
      <c r="P228" s="21" t="n"/>
      <c r="Q228" s="21" t="n"/>
    </row>
    <row r="229">
      <c r="A229" s="21" t="n"/>
      <c r="B229" s="21" t="n"/>
      <c r="C229" s="21" t="n"/>
      <c r="D229" s="21" t="n"/>
      <c r="E229" s="22" t="n"/>
      <c r="F229" s="23" t="n"/>
      <c r="G229" s="24">
        <f>IF(AND(ISNUMBER(F229),ISNUMBER(E229)),EDATE(F229,E229),"")</f>
        <v/>
      </c>
      <c r="H229" s="22" t="n"/>
      <c r="I229" s="24">
        <f>IF(ISNUMBER(G229),G229-IF(ISNUMBER(H229),H229,30),"")</f>
        <v/>
      </c>
      <c r="J229" s="25">
        <f>IF(G229="","",IF(ISNUMBER(G229),G229-TODAY(),"Check date"))</f>
        <v/>
      </c>
      <c r="K229" s="26">
        <f>IF(J229="","",IF(ISNUMBER(J229),IF(J229&lt;0,"Expired",IF(J229&lt;=30,"Due ≤30 days",IF(J229&lt;=90,"Due ≤90 days","OK"))),"Check date"))</f>
        <v/>
      </c>
      <c r="L229" s="21" t="n"/>
      <c r="M229" s="21" t="n"/>
      <c r="N229" s="21" t="n"/>
      <c r="O229" s="21" t="n"/>
      <c r="P229" s="21" t="n"/>
      <c r="Q229" s="21" t="n"/>
    </row>
    <row r="230">
      <c r="A230" s="21" t="n"/>
      <c r="B230" s="21" t="n"/>
      <c r="C230" s="21" t="n"/>
      <c r="D230" s="21" t="n"/>
      <c r="E230" s="22" t="n"/>
      <c r="F230" s="23" t="n"/>
      <c r="G230" s="24">
        <f>IF(AND(ISNUMBER(F230),ISNUMBER(E230)),EDATE(F230,E230),"")</f>
        <v/>
      </c>
      <c r="H230" s="22" t="n"/>
      <c r="I230" s="24">
        <f>IF(ISNUMBER(G230),G230-IF(ISNUMBER(H230),H230,30),"")</f>
        <v/>
      </c>
      <c r="J230" s="25">
        <f>IF(G230="","",IF(ISNUMBER(G230),G230-TODAY(),"Check date"))</f>
        <v/>
      </c>
      <c r="K230" s="26">
        <f>IF(J230="","",IF(ISNUMBER(J230),IF(J230&lt;0,"Expired",IF(J230&lt;=30,"Due ≤30 days",IF(J230&lt;=90,"Due ≤90 days","OK"))),"Check date"))</f>
        <v/>
      </c>
      <c r="L230" s="21" t="n"/>
      <c r="M230" s="21" t="n"/>
      <c r="N230" s="21" t="n"/>
      <c r="O230" s="21" t="n"/>
      <c r="P230" s="21" t="n"/>
      <c r="Q230" s="21" t="n"/>
    </row>
    <row r="231">
      <c r="A231" s="21" t="n"/>
      <c r="B231" s="21" t="n"/>
      <c r="C231" s="21" t="n"/>
      <c r="D231" s="21" t="n"/>
      <c r="E231" s="22" t="n"/>
      <c r="F231" s="23" t="n"/>
      <c r="G231" s="24">
        <f>IF(AND(ISNUMBER(F231),ISNUMBER(E231)),EDATE(F231,E231),"")</f>
        <v/>
      </c>
      <c r="H231" s="22" t="n"/>
      <c r="I231" s="24">
        <f>IF(ISNUMBER(G231),G231-IF(ISNUMBER(H231),H231,30),"")</f>
        <v/>
      </c>
      <c r="J231" s="25">
        <f>IF(G231="","",IF(ISNUMBER(G231),G231-TODAY(),"Check date"))</f>
        <v/>
      </c>
      <c r="K231" s="26">
        <f>IF(J231="","",IF(ISNUMBER(J231),IF(J231&lt;0,"Expired",IF(J231&lt;=30,"Due ≤30 days",IF(J231&lt;=90,"Due ≤90 days","OK"))),"Check date"))</f>
        <v/>
      </c>
      <c r="L231" s="21" t="n"/>
      <c r="M231" s="21" t="n"/>
      <c r="N231" s="21" t="n"/>
      <c r="O231" s="21" t="n"/>
      <c r="P231" s="21" t="n"/>
      <c r="Q231" s="21" t="n"/>
    </row>
    <row r="232">
      <c r="A232" s="21" t="n"/>
      <c r="B232" s="21" t="n"/>
      <c r="C232" s="21" t="n"/>
      <c r="D232" s="21" t="n"/>
      <c r="E232" s="22" t="n"/>
      <c r="F232" s="23" t="n"/>
      <c r="G232" s="24">
        <f>IF(AND(ISNUMBER(F232),ISNUMBER(E232)),EDATE(F232,E232),"")</f>
        <v/>
      </c>
      <c r="H232" s="22" t="n"/>
      <c r="I232" s="24">
        <f>IF(ISNUMBER(G232),G232-IF(ISNUMBER(H232),H232,30),"")</f>
        <v/>
      </c>
      <c r="J232" s="25">
        <f>IF(G232="","",IF(ISNUMBER(G232),G232-TODAY(),"Check date"))</f>
        <v/>
      </c>
      <c r="K232" s="26">
        <f>IF(J232="","",IF(ISNUMBER(J232),IF(J232&lt;0,"Expired",IF(J232&lt;=30,"Due ≤30 days",IF(J232&lt;=90,"Due ≤90 days","OK"))),"Check date"))</f>
        <v/>
      </c>
      <c r="L232" s="21" t="n"/>
      <c r="M232" s="21" t="n"/>
      <c r="N232" s="21" t="n"/>
      <c r="O232" s="21" t="n"/>
      <c r="P232" s="21" t="n"/>
      <c r="Q232" s="21" t="n"/>
    </row>
    <row r="233">
      <c r="A233" s="21" t="n"/>
      <c r="B233" s="21" t="n"/>
      <c r="C233" s="21" t="n"/>
      <c r="D233" s="21" t="n"/>
      <c r="E233" s="22" t="n"/>
      <c r="F233" s="23" t="n"/>
      <c r="G233" s="24">
        <f>IF(AND(ISNUMBER(F233),ISNUMBER(E233)),EDATE(F233,E233),"")</f>
        <v/>
      </c>
      <c r="H233" s="22" t="n"/>
      <c r="I233" s="24">
        <f>IF(ISNUMBER(G233),G233-IF(ISNUMBER(H233),H233,30),"")</f>
        <v/>
      </c>
      <c r="J233" s="25">
        <f>IF(G233="","",IF(ISNUMBER(G233),G233-TODAY(),"Check date"))</f>
        <v/>
      </c>
      <c r="K233" s="26">
        <f>IF(J233="","",IF(ISNUMBER(J233),IF(J233&lt;0,"Expired",IF(J233&lt;=30,"Due ≤30 days",IF(J233&lt;=90,"Due ≤90 days","OK"))),"Check date"))</f>
        <v/>
      </c>
      <c r="L233" s="21" t="n"/>
      <c r="M233" s="21" t="n"/>
      <c r="N233" s="21" t="n"/>
      <c r="O233" s="21" t="n"/>
      <c r="P233" s="21" t="n"/>
      <c r="Q233" s="21" t="n"/>
    </row>
    <row r="234">
      <c r="A234" s="21" t="n"/>
      <c r="B234" s="21" t="n"/>
      <c r="C234" s="21" t="n"/>
      <c r="D234" s="21" t="n"/>
      <c r="E234" s="22" t="n"/>
      <c r="F234" s="23" t="n"/>
      <c r="G234" s="24">
        <f>IF(AND(ISNUMBER(F234),ISNUMBER(E234)),EDATE(F234,E234),"")</f>
        <v/>
      </c>
      <c r="H234" s="22" t="n"/>
      <c r="I234" s="24">
        <f>IF(ISNUMBER(G234),G234-IF(ISNUMBER(H234),H234,30),"")</f>
        <v/>
      </c>
      <c r="J234" s="25">
        <f>IF(G234="","",IF(ISNUMBER(G234),G234-TODAY(),"Check date"))</f>
        <v/>
      </c>
      <c r="K234" s="26">
        <f>IF(J234="","",IF(ISNUMBER(J234),IF(J234&lt;0,"Expired",IF(J234&lt;=30,"Due ≤30 days",IF(J234&lt;=90,"Due ≤90 days","OK"))),"Check date"))</f>
        <v/>
      </c>
      <c r="L234" s="21" t="n"/>
      <c r="M234" s="21" t="n"/>
      <c r="N234" s="21" t="n"/>
      <c r="O234" s="21" t="n"/>
      <c r="P234" s="21" t="n"/>
      <c r="Q234" s="21" t="n"/>
    </row>
    <row r="235">
      <c r="A235" s="21" t="n"/>
      <c r="B235" s="21" t="n"/>
      <c r="C235" s="21" t="n"/>
      <c r="D235" s="21" t="n"/>
      <c r="E235" s="22" t="n"/>
      <c r="F235" s="23" t="n"/>
      <c r="G235" s="24">
        <f>IF(AND(ISNUMBER(F235),ISNUMBER(E235)),EDATE(F235,E235),"")</f>
        <v/>
      </c>
      <c r="H235" s="22" t="n"/>
      <c r="I235" s="24">
        <f>IF(ISNUMBER(G235),G235-IF(ISNUMBER(H235),H235,30),"")</f>
        <v/>
      </c>
      <c r="J235" s="25">
        <f>IF(G235="","",IF(ISNUMBER(G235),G235-TODAY(),"Check date"))</f>
        <v/>
      </c>
      <c r="K235" s="26">
        <f>IF(J235="","",IF(ISNUMBER(J235),IF(J235&lt;0,"Expired",IF(J235&lt;=30,"Due ≤30 days",IF(J235&lt;=90,"Due ≤90 days","OK"))),"Check date"))</f>
        <v/>
      </c>
      <c r="L235" s="21" t="n"/>
      <c r="M235" s="21" t="n"/>
      <c r="N235" s="21" t="n"/>
      <c r="O235" s="21" t="n"/>
      <c r="P235" s="21" t="n"/>
      <c r="Q235" s="21" t="n"/>
    </row>
    <row r="236">
      <c r="A236" s="21" t="n"/>
      <c r="B236" s="21" t="n"/>
      <c r="C236" s="21" t="n"/>
      <c r="D236" s="21" t="n"/>
      <c r="E236" s="22" t="n"/>
      <c r="F236" s="23" t="n"/>
      <c r="G236" s="24">
        <f>IF(AND(ISNUMBER(F236),ISNUMBER(E236)),EDATE(F236,E236),"")</f>
        <v/>
      </c>
      <c r="H236" s="22" t="n"/>
      <c r="I236" s="24">
        <f>IF(ISNUMBER(G236),G236-IF(ISNUMBER(H236),H236,30),"")</f>
        <v/>
      </c>
      <c r="J236" s="25">
        <f>IF(G236="","",IF(ISNUMBER(G236),G236-TODAY(),"Check date"))</f>
        <v/>
      </c>
      <c r="K236" s="26">
        <f>IF(J236="","",IF(ISNUMBER(J236),IF(J236&lt;0,"Expired",IF(J236&lt;=30,"Due ≤30 days",IF(J236&lt;=90,"Due ≤90 days","OK"))),"Check date"))</f>
        <v/>
      </c>
      <c r="L236" s="21" t="n"/>
      <c r="M236" s="21" t="n"/>
      <c r="N236" s="21" t="n"/>
      <c r="O236" s="21" t="n"/>
      <c r="P236" s="21" t="n"/>
      <c r="Q236" s="21" t="n"/>
    </row>
    <row r="237">
      <c r="A237" s="21" t="n"/>
      <c r="B237" s="21" t="n"/>
      <c r="C237" s="21" t="n"/>
      <c r="D237" s="21" t="n"/>
      <c r="E237" s="22" t="n"/>
      <c r="F237" s="23" t="n"/>
      <c r="G237" s="24">
        <f>IF(AND(ISNUMBER(F237),ISNUMBER(E237)),EDATE(F237,E237),"")</f>
        <v/>
      </c>
      <c r="H237" s="22" t="n"/>
      <c r="I237" s="24">
        <f>IF(ISNUMBER(G237),G237-IF(ISNUMBER(H237),H237,30),"")</f>
        <v/>
      </c>
      <c r="J237" s="25">
        <f>IF(G237="","",IF(ISNUMBER(G237),G237-TODAY(),"Check date"))</f>
        <v/>
      </c>
      <c r="K237" s="26">
        <f>IF(J237="","",IF(ISNUMBER(J237),IF(J237&lt;0,"Expired",IF(J237&lt;=30,"Due ≤30 days",IF(J237&lt;=90,"Due ≤90 days","OK"))),"Check date"))</f>
        <v/>
      </c>
      <c r="L237" s="21" t="n"/>
      <c r="M237" s="21" t="n"/>
      <c r="N237" s="21" t="n"/>
      <c r="O237" s="21" t="n"/>
      <c r="P237" s="21" t="n"/>
      <c r="Q237" s="21" t="n"/>
    </row>
    <row r="238">
      <c r="A238" s="21" t="n"/>
      <c r="B238" s="21" t="n"/>
      <c r="C238" s="21" t="n"/>
      <c r="D238" s="21" t="n"/>
      <c r="E238" s="22" t="n"/>
      <c r="F238" s="23" t="n"/>
      <c r="G238" s="24">
        <f>IF(AND(ISNUMBER(F238),ISNUMBER(E238)),EDATE(F238,E238),"")</f>
        <v/>
      </c>
      <c r="H238" s="22" t="n"/>
      <c r="I238" s="24">
        <f>IF(ISNUMBER(G238),G238-IF(ISNUMBER(H238),H238,30),"")</f>
        <v/>
      </c>
      <c r="J238" s="25">
        <f>IF(G238="","",IF(ISNUMBER(G238),G238-TODAY(),"Check date"))</f>
        <v/>
      </c>
      <c r="K238" s="26">
        <f>IF(J238="","",IF(ISNUMBER(J238),IF(J238&lt;0,"Expired",IF(J238&lt;=30,"Due ≤30 days",IF(J238&lt;=90,"Due ≤90 days","OK"))),"Check date"))</f>
        <v/>
      </c>
      <c r="L238" s="21" t="n"/>
      <c r="M238" s="21" t="n"/>
      <c r="N238" s="21" t="n"/>
      <c r="O238" s="21" t="n"/>
      <c r="P238" s="21" t="n"/>
      <c r="Q238" s="21" t="n"/>
    </row>
    <row r="239">
      <c r="A239" s="21" t="n"/>
      <c r="B239" s="21" t="n"/>
      <c r="C239" s="21" t="n"/>
      <c r="D239" s="21" t="n"/>
      <c r="E239" s="22" t="n"/>
      <c r="F239" s="23" t="n"/>
      <c r="G239" s="24">
        <f>IF(AND(ISNUMBER(F239),ISNUMBER(E239)),EDATE(F239,E239),"")</f>
        <v/>
      </c>
      <c r="H239" s="22" t="n"/>
      <c r="I239" s="24">
        <f>IF(ISNUMBER(G239),G239-IF(ISNUMBER(H239),H239,30),"")</f>
        <v/>
      </c>
      <c r="J239" s="25">
        <f>IF(G239="","",IF(ISNUMBER(G239),G239-TODAY(),"Check date"))</f>
        <v/>
      </c>
      <c r="K239" s="26">
        <f>IF(J239="","",IF(ISNUMBER(J239),IF(J239&lt;0,"Expired",IF(J239&lt;=30,"Due ≤30 days",IF(J239&lt;=90,"Due ≤90 days","OK"))),"Check date"))</f>
        <v/>
      </c>
      <c r="L239" s="21" t="n"/>
      <c r="M239" s="21" t="n"/>
      <c r="N239" s="21" t="n"/>
      <c r="O239" s="21" t="n"/>
      <c r="P239" s="21" t="n"/>
      <c r="Q239" s="21" t="n"/>
    </row>
    <row r="240">
      <c r="A240" s="21" t="n"/>
      <c r="B240" s="21" t="n"/>
      <c r="C240" s="21" t="n"/>
      <c r="D240" s="21" t="n"/>
      <c r="E240" s="22" t="n"/>
      <c r="F240" s="23" t="n"/>
      <c r="G240" s="24">
        <f>IF(AND(ISNUMBER(F240),ISNUMBER(E240)),EDATE(F240,E240),"")</f>
        <v/>
      </c>
      <c r="H240" s="22" t="n"/>
      <c r="I240" s="24">
        <f>IF(ISNUMBER(G240),G240-IF(ISNUMBER(H240),H240,30),"")</f>
        <v/>
      </c>
      <c r="J240" s="25">
        <f>IF(G240="","",IF(ISNUMBER(G240),G240-TODAY(),"Check date"))</f>
        <v/>
      </c>
      <c r="K240" s="26">
        <f>IF(J240="","",IF(ISNUMBER(J240),IF(J240&lt;0,"Expired",IF(J240&lt;=30,"Due ≤30 days",IF(J240&lt;=90,"Due ≤90 days","OK"))),"Check date"))</f>
        <v/>
      </c>
      <c r="L240" s="21" t="n"/>
      <c r="M240" s="21" t="n"/>
      <c r="N240" s="21" t="n"/>
      <c r="O240" s="21" t="n"/>
      <c r="P240" s="21" t="n"/>
      <c r="Q240" s="21" t="n"/>
    </row>
    <row r="241">
      <c r="A241" s="21" t="n"/>
      <c r="B241" s="21" t="n"/>
      <c r="C241" s="21" t="n"/>
      <c r="D241" s="21" t="n"/>
      <c r="E241" s="22" t="n"/>
      <c r="F241" s="23" t="n"/>
      <c r="G241" s="24">
        <f>IF(AND(ISNUMBER(F241),ISNUMBER(E241)),EDATE(F241,E241),"")</f>
        <v/>
      </c>
      <c r="H241" s="22" t="n"/>
      <c r="I241" s="24">
        <f>IF(ISNUMBER(G241),G241-IF(ISNUMBER(H241),H241,30),"")</f>
        <v/>
      </c>
      <c r="J241" s="25">
        <f>IF(G241="","",IF(ISNUMBER(G241),G241-TODAY(),"Check date"))</f>
        <v/>
      </c>
      <c r="K241" s="26">
        <f>IF(J241="","",IF(ISNUMBER(J241),IF(J241&lt;0,"Expired",IF(J241&lt;=30,"Due ≤30 days",IF(J241&lt;=90,"Due ≤90 days","OK"))),"Check date"))</f>
        <v/>
      </c>
      <c r="L241" s="21" t="n"/>
      <c r="M241" s="21" t="n"/>
      <c r="N241" s="21" t="n"/>
      <c r="O241" s="21" t="n"/>
      <c r="P241" s="21" t="n"/>
      <c r="Q241" s="21" t="n"/>
    </row>
    <row r="242">
      <c r="A242" s="21" t="n"/>
      <c r="B242" s="21" t="n"/>
      <c r="C242" s="21" t="n"/>
      <c r="D242" s="21" t="n"/>
      <c r="E242" s="22" t="n"/>
      <c r="F242" s="23" t="n"/>
      <c r="G242" s="24">
        <f>IF(AND(ISNUMBER(F242),ISNUMBER(E242)),EDATE(F242,E242),"")</f>
        <v/>
      </c>
      <c r="H242" s="22" t="n"/>
      <c r="I242" s="24">
        <f>IF(ISNUMBER(G242),G242-IF(ISNUMBER(H242),H242,30),"")</f>
        <v/>
      </c>
      <c r="J242" s="25">
        <f>IF(G242="","",IF(ISNUMBER(G242),G242-TODAY(),"Check date"))</f>
        <v/>
      </c>
      <c r="K242" s="26">
        <f>IF(J242="","",IF(ISNUMBER(J242),IF(J242&lt;0,"Expired",IF(J242&lt;=30,"Due ≤30 days",IF(J242&lt;=90,"Due ≤90 days","OK"))),"Check date"))</f>
        <v/>
      </c>
      <c r="L242" s="21" t="n"/>
      <c r="M242" s="21" t="n"/>
      <c r="N242" s="21" t="n"/>
      <c r="O242" s="21" t="n"/>
      <c r="P242" s="21" t="n"/>
      <c r="Q242" s="21" t="n"/>
    </row>
    <row r="243">
      <c r="A243" s="21" t="n"/>
      <c r="B243" s="21" t="n"/>
      <c r="C243" s="21" t="n"/>
      <c r="D243" s="21" t="n"/>
      <c r="E243" s="22" t="n"/>
      <c r="F243" s="23" t="n"/>
      <c r="G243" s="24">
        <f>IF(AND(ISNUMBER(F243),ISNUMBER(E243)),EDATE(F243,E243),"")</f>
        <v/>
      </c>
      <c r="H243" s="22" t="n"/>
      <c r="I243" s="24">
        <f>IF(ISNUMBER(G243),G243-IF(ISNUMBER(H243),H243,30),"")</f>
        <v/>
      </c>
      <c r="J243" s="25">
        <f>IF(G243="","",IF(ISNUMBER(G243),G243-TODAY(),"Check date"))</f>
        <v/>
      </c>
      <c r="K243" s="26">
        <f>IF(J243="","",IF(ISNUMBER(J243),IF(J243&lt;0,"Expired",IF(J243&lt;=30,"Due ≤30 days",IF(J243&lt;=90,"Due ≤90 days","OK"))),"Check date"))</f>
        <v/>
      </c>
      <c r="L243" s="21" t="n"/>
      <c r="M243" s="21" t="n"/>
      <c r="N243" s="21" t="n"/>
      <c r="O243" s="21" t="n"/>
      <c r="P243" s="21" t="n"/>
      <c r="Q243" s="21" t="n"/>
    </row>
    <row r="244">
      <c r="A244" s="21" t="n"/>
      <c r="B244" s="21" t="n"/>
      <c r="C244" s="21" t="n"/>
      <c r="D244" s="21" t="n"/>
      <c r="E244" s="22" t="n"/>
      <c r="F244" s="23" t="n"/>
      <c r="G244" s="24">
        <f>IF(AND(ISNUMBER(F244),ISNUMBER(E244)),EDATE(F244,E244),"")</f>
        <v/>
      </c>
      <c r="H244" s="22" t="n"/>
      <c r="I244" s="24">
        <f>IF(ISNUMBER(G244),G244-IF(ISNUMBER(H244),H244,30),"")</f>
        <v/>
      </c>
      <c r="J244" s="25">
        <f>IF(G244="","",IF(ISNUMBER(G244),G244-TODAY(),"Check date"))</f>
        <v/>
      </c>
      <c r="K244" s="26">
        <f>IF(J244="","",IF(ISNUMBER(J244),IF(J244&lt;0,"Expired",IF(J244&lt;=30,"Due ≤30 days",IF(J244&lt;=90,"Due ≤90 days","OK"))),"Check date"))</f>
        <v/>
      </c>
      <c r="L244" s="21" t="n"/>
      <c r="M244" s="21" t="n"/>
      <c r="N244" s="21" t="n"/>
      <c r="O244" s="21" t="n"/>
      <c r="P244" s="21" t="n"/>
      <c r="Q244" s="21" t="n"/>
    </row>
    <row r="245">
      <c r="A245" s="21" t="n"/>
      <c r="B245" s="21" t="n"/>
      <c r="C245" s="21" t="n"/>
      <c r="D245" s="21" t="n"/>
      <c r="E245" s="22" t="n"/>
      <c r="F245" s="23" t="n"/>
      <c r="G245" s="24">
        <f>IF(AND(ISNUMBER(F245),ISNUMBER(E245)),EDATE(F245,E245),"")</f>
        <v/>
      </c>
      <c r="H245" s="22" t="n"/>
      <c r="I245" s="24">
        <f>IF(ISNUMBER(G245),G245-IF(ISNUMBER(H245),H245,30),"")</f>
        <v/>
      </c>
      <c r="J245" s="25">
        <f>IF(G245="","",IF(ISNUMBER(G245),G245-TODAY(),"Check date"))</f>
        <v/>
      </c>
      <c r="K245" s="26">
        <f>IF(J245="","",IF(ISNUMBER(J245),IF(J245&lt;0,"Expired",IF(J245&lt;=30,"Due ≤30 days",IF(J245&lt;=90,"Due ≤90 days","OK"))),"Check date"))</f>
        <v/>
      </c>
      <c r="L245" s="21" t="n"/>
      <c r="M245" s="21" t="n"/>
      <c r="N245" s="21" t="n"/>
      <c r="O245" s="21" t="n"/>
      <c r="P245" s="21" t="n"/>
      <c r="Q245" s="21" t="n"/>
    </row>
    <row r="246">
      <c r="A246" s="21" t="n"/>
      <c r="B246" s="21" t="n"/>
      <c r="C246" s="21" t="n"/>
      <c r="D246" s="21" t="n"/>
      <c r="E246" s="22" t="n"/>
      <c r="F246" s="23" t="n"/>
      <c r="G246" s="24">
        <f>IF(AND(ISNUMBER(F246),ISNUMBER(E246)),EDATE(F246,E246),"")</f>
        <v/>
      </c>
      <c r="H246" s="22" t="n"/>
      <c r="I246" s="24">
        <f>IF(ISNUMBER(G246),G246-IF(ISNUMBER(H246),H246,30),"")</f>
        <v/>
      </c>
      <c r="J246" s="25">
        <f>IF(G246="","",IF(ISNUMBER(G246),G246-TODAY(),"Check date"))</f>
        <v/>
      </c>
      <c r="K246" s="26">
        <f>IF(J246="","",IF(ISNUMBER(J246),IF(J246&lt;0,"Expired",IF(J246&lt;=30,"Due ≤30 days",IF(J246&lt;=90,"Due ≤90 days","OK"))),"Check date"))</f>
        <v/>
      </c>
      <c r="L246" s="21" t="n"/>
      <c r="M246" s="21" t="n"/>
      <c r="N246" s="21" t="n"/>
      <c r="O246" s="21" t="n"/>
      <c r="P246" s="21" t="n"/>
      <c r="Q246" s="21" t="n"/>
    </row>
    <row r="247">
      <c r="A247" s="21" t="n"/>
      <c r="B247" s="21" t="n"/>
      <c r="C247" s="21" t="n"/>
      <c r="D247" s="21" t="n"/>
      <c r="E247" s="22" t="n"/>
      <c r="F247" s="23" t="n"/>
      <c r="G247" s="24">
        <f>IF(AND(ISNUMBER(F247),ISNUMBER(E247)),EDATE(F247,E247),"")</f>
        <v/>
      </c>
      <c r="H247" s="22" t="n"/>
      <c r="I247" s="24">
        <f>IF(ISNUMBER(G247),G247-IF(ISNUMBER(H247),H247,30),"")</f>
        <v/>
      </c>
      <c r="J247" s="25">
        <f>IF(G247="","",IF(ISNUMBER(G247),G247-TODAY(),"Check date"))</f>
        <v/>
      </c>
      <c r="K247" s="26">
        <f>IF(J247="","",IF(ISNUMBER(J247),IF(J247&lt;0,"Expired",IF(J247&lt;=30,"Due ≤30 days",IF(J247&lt;=90,"Due ≤90 days","OK"))),"Check date"))</f>
        <v/>
      </c>
      <c r="L247" s="21" t="n"/>
      <c r="M247" s="21" t="n"/>
      <c r="N247" s="21" t="n"/>
      <c r="O247" s="21" t="n"/>
      <c r="P247" s="21" t="n"/>
      <c r="Q247" s="21" t="n"/>
    </row>
    <row r="248">
      <c r="A248" s="21" t="n"/>
      <c r="B248" s="21" t="n"/>
      <c r="C248" s="21" t="n"/>
      <c r="D248" s="21" t="n"/>
      <c r="E248" s="22" t="n"/>
      <c r="F248" s="23" t="n"/>
      <c r="G248" s="24">
        <f>IF(AND(ISNUMBER(F248),ISNUMBER(E248)),EDATE(F248,E248),"")</f>
        <v/>
      </c>
      <c r="H248" s="22" t="n"/>
      <c r="I248" s="24">
        <f>IF(ISNUMBER(G248),G248-IF(ISNUMBER(H248),H248,30),"")</f>
        <v/>
      </c>
      <c r="J248" s="25">
        <f>IF(G248="","",IF(ISNUMBER(G248),G248-TODAY(),"Check date"))</f>
        <v/>
      </c>
      <c r="K248" s="26">
        <f>IF(J248="","",IF(ISNUMBER(J248),IF(J248&lt;0,"Expired",IF(J248&lt;=30,"Due ≤30 days",IF(J248&lt;=90,"Due ≤90 days","OK"))),"Check date"))</f>
        <v/>
      </c>
      <c r="L248" s="21" t="n"/>
      <c r="M248" s="21" t="n"/>
      <c r="N248" s="21" t="n"/>
      <c r="O248" s="21" t="n"/>
      <c r="P248" s="21" t="n"/>
      <c r="Q248" s="21" t="n"/>
    </row>
    <row r="249">
      <c r="A249" s="21" t="n"/>
      <c r="B249" s="21" t="n"/>
      <c r="C249" s="21" t="n"/>
      <c r="D249" s="21" t="n"/>
      <c r="E249" s="22" t="n"/>
      <c r="F249" s="23" t="n"/>
      <c r="G249" s="24">
        <f>IF(AND(ISNUMBER(F249),ISNUMBER(E249)),EDATE(F249,E249),"")</f>
        <v/>
      </c>
      <c r="H249" s="22" t="n"/>
      <c r="I249" s="24">
        <f>IF(ISNUMBER(G249),G249-IF(ISNUMBER(H249),H249,30),"")</f>
        <v/>
      </c>
      <c r="J249" s="25">
        <f>IF(G249="","",IF(ISNUMBER(G249),G249-TODAY(),"Check date"))</f>
        <v/>
      </c>
      <c r="K249" s="26">
        <f>IF(J249="","",IF(ISNUMBER(J249),IF(J249&lt;0,"Expired",IF(J249&lt;=30,"Due ≤30 days",IF(J249&lt;=90,"Due ≤90 days","OK"))),"Check date"))</f>
        <v/>
      </c>
      <c r="L249" s="21" t="n"/>
      <c r="M249" s="21" t="n"/>
      <c r="N249" s="21" t="n"/>
      <c r="O249" s="21" t="n"/>
      <c r="P249" s="21" t="n"/>
      <c r="Q249" s="21" t="n"/>
    </row>
    <row r="250">
      <c r="A250" s="21" t="n"/>
      <c r="B250" s="21" t="n"/>
      <c r="C250" s="21" t="n"/>
      <c r="D250" s="21" t="n"/>
      <c r="E250" s="22" t="n"/>
      <c r="F250" s="23" t="n"/>
      <c r="G250" s="24">
        <f>IF(AND(ISNUMBER(F250),ISNUMBER(E250)),EDATE(F250,E250),"")</f>
        <v/>
      </c>
      <c r="H250" s="22" t="n"/>
      <c r="I250" s="24">
        <f>IF(ISNUMBER(G250),G250-IF(ISNUMBER(H250),H250,30),"")</f>
        <v/>
      </c>
      <c r="J250" s="25">
        <f>IF(G250="","",IF(ISNUMBER(G250),G250-TODAY(),"Check date"))</f>
        <v/>
      </c>
      <c r="K250" s="26">
        <f>IF(J250="","",IF(ISNUMBER(J250),IF(J250&lt;0,"Expired",IF(J250&lt;=30,"Due ≤30 days",IF(J250&lt;=90,"Due ≤90 days","OK"))),"Check date"))</f>
        <v/>
      </c>
      <c r="L250" s="21" t="n"/>
      <c r="M250" s="21" t="n"/>
      <c r="N250" s="21" t="n"/>
      <c r="O250" s="21" t="n"/>
      <c r="P250" s="21" t="n"/>
      <c r="Q250" s="21" t="n"/>
    </row>
    <row r="251">
      <c r="A251" s="21" t="n"/>
      <c r="B251" s="21" t="n"/>
      <c r="C251" s="21" t="n"/>
      <c r="D251" s="21" t="n"/>
      <c r="E251" s="22" t="n"/>
      <c r="F251" s="23" t="n"/>
      <c r="G251" s="24">
        <f>IF(AND(ISNUMBER(F251),ISNUMBER(E251)),EDATE(F251,E251),"")</f>
        <v/>
      </c>
      <c r="H251" s="22" t="n"/>
      <c r="I251" s="24">
        <f>IF(ISNUMBER(G251),G251-IF(ISNUMBER(H251),H251,30),"")</f>
        <v/>
      </c>
      <c r="J251" s="25">
        <f>IF(G251="","",IF(ISNUMBER(G251),G251-TODAY(),"Check date"))</f>
        <v/>
      </c>
      <c r="K251" s="26">
        <f>IF(J251="","",IF(ISNUMBER(J251),IF(J251&lt;0,"Expired",IF(J251&lt;=30,"Due ≤30 days",IF(J251&lt;=90,"Due ≤90 days","OK"))),"Check date"))</f>
        <v/>
      </c>
      <c r="L251" s="21" t="n"/>
      <c r="M251" s="21" t="n"/>
      <c r="N251" s="21" t="n"/>
      <c r="O251" s="21" t="n"/>
      <c r="P251" s="21" t="n"/>
      <c r="Q251" s="21" t="n"/>
    </row>
    <row r="252">
      <c r="A252" s="21" t="n"/>
      <c r="B252" s="21" t="n"/>
      <c r="C252" s="21" t="n"/>
      <c r="D252" s="21" t="n"/>
      <c r="E252" s="22" t="n"/>
      <c r="F252" s="23" t="n"/>
      <c r="G252" s="24">
        <f>IF(AND(ISNUMBER(F252),ISNUMBER(E252)),EDATE(F252,E252),"")</f>
        <v/>
      </c>
      <c r="H252" s="22" t="n"/>
      <c r="I252" s="24">
        <f>IF(ISNUMBER(G252),G252-IF(ISNUMBER(H252),H252,30),"")</f>
        <v/>
      </c>
      <c r="J252" s="25">
        <f>IF(G252="","",IF(ISNUMBER(G252),G252-TODAY(),"Check date"))</f>
        <v/>
      </c>
      <c r="K252" s="26">
        <f>IF(J252="","",IF(ISNUMBER(J252),IF(J252&lt;0,"Expired",IF(J252&lt;=30,"Due ≤30 days",IF(J252&lt;=90,"Due ≤90 days","OK"))),"Check date"))</f>
        <v/>
      </c>
      <c r="L252" s="21" t="n"/>
      <c r="M252" s="21" t="n"/>
      <c r="N252" s="21" t="n"/>
      <c r="O252" s="21" t="n"/>
      <c r="P252" s="21" t="n"/>
      <c r="Q252" s="21" t="n"/>
    </row>
    <row r="253">
      <c r="A253" s="21" t="n"/>
      <c r="B253" s="21" t="n"/>
      <c r="C253" s="21" t="n"/>
      <c r="D253" s="21" t="n"/>
      <c r="E253" s="22" t="n"/>
      <c r="F253" s="23" t="n"/>
      <c r="G253" s="24">
        <f>IF(AND(ISNUMBER(F253),ISNUMBER(E253)),EDATE(F253,E253),"")</f>
        <v/>
      </c>
      <c r="H253" s="22" t="n"/>
      <c r="I253" s="24">
        <f>IF(ISNUMBER(G253),G253-IF(ISNUMBER(H253),H253,30),"")</f>
        <v/>
      </c>
      <c r="J253" s="25">
        <f>IF(G253="","",IF(ISNUMBER(G253),G253-TODAY(),"Check date"))</f>
        <v/>
      </c>
      <c r="K253" s="26">
        <f>IF(J253="","",IF(ISNUMBER(J253),IF(J253&lt;0,"Expired",IF(J253&lt;=30,"Due ≤30 days",IF(J253&lt;=90,"Due ≤90 days","OK"))),"Check date"))</f>
        <v/>
      </c>
      <c r="L253" s="21" t="n"/>
      <c r="M253" s="21" t="n"/>
      <c r="N253" s="21" t="n"/>
      <c r="O253" s="21" t="n"/>
      <c r="P253" s="21" t="n"/>
      <c r="Q253" s="21" t="n"/>
    </row>
    <row r="254">
      <c r="A254" s="21" t="n"/>
      <c r="B254" s="21" t="n"/>
      <c r="C254" s="21" t="n"/>
      <c r="D254" s="21" t="n"/>
      <c r="E254" s="22" t="n"/>
      <c r="F254" s="23" t="n"/>
      <c r="G254" s="24">
        <f>IF(AND(ISNUMBER(F254),ISNUMBER(E254)),EDATE(F254,E254),"")</f>
        <v/>
      </c>
      <c r="H254" s="22" t="n"/>
      <c r="I254" s="24">
        <f>IF(ISNUMBER(G254),G254-IF(ISNUMBER(H254),H254,30),"")</f>
        <v/>
      </c>
      <c r="J254" s="25">
        <f>IF(G254="","",IF(ISNUMBER(G254),G254-TODAY(),"Check date"))</f>
        <v/>
      </c>
      <c r="K254" s="26">
        <f>IF(J254="","",IF(ISNUMBER(J254),IF(J254&lt;0,"Expired",IF(J254&lt;=30,"Due ≤30 days",IF(J254&lt;=90,"Due ≤90 days","OK"))),"Check date"))</f>
        <v/>
      </c>
      <c r="L254" s="21" t="n"/>
      <c r="M254" s="21" t="n"/>
      <c r="N254" s="21" t="n"/>
      <c r="O254" s="21" t="n"/>
      <c r="P254" s="21" t="n"/>
      <c r="Q254" s="21" t="n"/>
    </row>
    <row r="255">
      <c r="A255" s="21" t="n"/>
      <c r="B255" s="21" t="n"/>
      <c r="C255" s="21" t="n"/>
      <c r="D255" s="21" t="n"/>
      <c r="E255" s="22" t="n"/>
      <c r="F255" s="23" t="n"/>
      <c r="G255" s="24">
        <f>IF(AND(ISNUMBER(F255),ISNUMBER(E255)),EDATE(F255,E255),"")</f>
        <v/>
      </c>
      <c r="H255" s="22" t="n"/>
      <c r="I255" s="24">
        <f>IF(ISNUMBER(G255),G255-IF(ISNUMBER(H255),H255,30),"")</f>
        <v/>
      </c>
      <c r="J255" s="25">
        <f>IF(G255="","",IF(ISNUMBER(G255),G255-TODAY(),"Check date"))</f>
        <v/>
      </c>
      <c r="K255" s="26">
        <f>IF(J255="","",IF(ISNUMBER(J255),IF(J255&lt;0,"Expired",IF(J255&lt;=30,"Due ≤30 days",IF(J255&lt;=90,"Due ≤90 days","OK"))),"Check date"))</f>
        <v/>
      </c>
      <c r="L255" s="21" t="n"/>
      <c r="M255" s="21" t="n"/>
      <c r="N255" s="21" t="n"/>
      <c r="O255" s="21" t="n"/>
      <c r="P255" s="21" t="n"/>
      <c r="Q255" s="21" t="n"/>
    </row>
    <row r="256">
      <c r="A256" s="21" t="n"/>
      <c r="B256" s="21" t="n"/>
      <c r="C256" s="21" t="n"/>
      <c r="D256" s="21" t="n"/>
      <c r="E256" s="22" t="n"/>
      <c r="F256" s="23" t="n"/>
      <c r="G256" s="24">
        <f>IF(AND(ISNUMBER(F256),ISNUMBER(E256)),EDATE(F256,E256),"")</f>
        <v/>
      </c>
      <c r="H256" s="22" t="n"/>
      <c r="I256" s="24">
        <f>IF(ISNUMBER(G256),G256-IF(ISNUMBER(H256),H256,30),"")</f>
        <v/>
      </c>
      <c r="J256" s="25">
        <f>IF(G256="","",IF(ISNUMBER(G256),G256-TODAY(),"Check date"))</f>
        <v/>
      </c>
      <c r="K256" s="26">
        <f>IF(J256="","",IF(ISNUMBER(J256),IF(J256&lt;0,"Expired",IF(J256&lt;=30,"Due ≤30 days",IF(J256&lt;=90,"Due ≤90 days","OK"))),"Check date"))</f>
        <v/>
      </c>
      <c r="L256" s="21" t="n"/>
      <c r="M256" s="21" t="n"/>
      <c r="N256" s="21" t="n"/>
      <c r="O256" s="21" t="n"/>
      <c r="P256" s="21" t="n"/>
      <c r="Q256" s="21" t="n"/>
    </row>
    <row r="257">
      <c r="A257" s="21" t="n"/>
      <c r="B257" s="21" t="n"/>
      <c r="C257" s="21" t="n"/>
      <c r="D257" s="21" t="n"/>
      <c r="E257" s="22" t="n"/>
      <c r="F257" s="23" t="n"/>
      <c r="G257" s="24">
        <f>IF(AND(ISNUMBER(F257),ISNUMBER(E257)),EDATE(F257,E257),"")</f>
        <v/>
      </c>
      <c r="H257" s="22" t="n"/>
      <c r="I257" s="24">
        <f>IF(ISNUMBER(G257),G257-IF(ISNUMBER(H257),H257,30),"")</f>
        <v/>
      </c>
      <c r="J257" s="25">
        <f>IF(G257="","",IF(ISNUMBER(G257),G257-TODAY(),"Check date"))</f>
        <v/>
      </c>
      <c r="K257" s="26">
        <f>IF(J257="","",IF(ISNUMBER(J257),IF(J257&lt;0,"Expired",IF(J257&lt;=30,"Due ≤30 days",IF(J257&lt;=90,"Due ≤90 days","OK"))),"Check date"))</f>
        <v/>
      </c>
      <c r="L257" s="21" t="n"/>
      <c r="M257" s="21" t="n"/>
      <c r="N257" s="21" t="n"/>
      <c r="O257" s="21" t="n"/>
      <c r="P257" s="21" t="n"/>
      <c r="Q257" s="21" t="n"/>
    </row>
    <row r="258">
      <c r="A258" s="21" t="n"/>
      <c r="B258" s="21" t="n"/>
      <c r="C258" s="21" t="n"/>
      <c r="D258" s="21" t="n"/>
      <c r="E258" s="22" t="n"/>
      <c r="F258" s="23" t="n"/>
      <c r="G258" s="24">
        <f>IF(AND(ISNUMBER(F258),ISNUMBER(E258)),EDATE(F258,E258),"")</f>
        <v/>
      </c>
      <c r="H258" s="22" t="n"/>
      <c r="I258" s="24">
        <f>IF(ISNUMBER(G258),G258-IF(ISNUMBER(H258),H258,30),"")</f>
        <v/>
      </c>
      <c r="J258" s="25">
        <f>IF(G258="","",IF(ISNUMBER(G258),G258-TODAY(),"Check date"))</f>
        <v/>
      </c>
      <c r="K258" s="26">
        <f>IF(J258="","",IF(ISNUMBER(J258),IF(J258&lt;0,"Expired",IF(J258&lt;=30,"Due ≤30 days",IF(J258&lt;=90,"Due ≤90 days","OK"))),"Check date"))</f>
        <v/>
      </c>
      <c r="L258" s="21" t="n"/>
      <c r="M258" s="21" t="n"/>
      <c r="N258" s="21" t="n"/>
      <c r="O258" s="21" t="n"/>
      <c r="P258" s="21" t="n"/>
      <c r="Q258" s="21" t="n"/>
    </row>
    <row r="259">
      <c r="A259" s="21" t="n"/>
      <c r="B259" s="21" t="n"/>
      <c r="C259" s="21" t="n"/>
      <c r="D259" s="21" t="n"/>
      <c r="E259" s="22" t="n"/>
      <c r="F259" s="23" t="n"/>
      <c r="G259" s="24">
        <f>IF(AND(ISNUMBER(F259),ISNUMBER(E259)),EDATE(F259,E259),"")</f>
        <v/>
      </c>
      <c r="H259" s="22" t="n"/>
      <c r="I259" s="24">
        <f>IF(ISNUMBER(G259),G259-IF(ISNUMBER(H259),H259,30),"")</f>
        <v/>
      </c>
      <c r="J259" s="25">
        <f>IF(G259="","",IF(ISNUMBER(G259),G259-TODAY(),"Check date"))</f>
        <v/>
      </c>
      <c r="K259" s="26">
        <f>IF(J259="","",IF(ISNUMBER(J259),IF(J259&lt;0,"Expired",IF(J259&lt;=30,"Due ≤30 days",IF(J259&lt;=90,"Due ≤90 days","OK"))),"Check date"))</f>
        <v/>
      </c>
      <c r="L259" s="21" t="n"/>
      <c r="M259" s="21" t="n"/>
      <c r="N259" s="21" t="n"/>
      <c r="O259" s="21" t="n"/>
      <c r="P259" s="21" t="n"/>
      <c r="Q259" s="21" t="n"/>
    </row>
    <row r="260">
      <c r="A260" s="21" t="n"/>
      <c r="B260" s="21" t="n"/>
      <c r="C260" s="21" t="n"/>
      <c r="D260" s="21" t="n"/>
      <c r="E260" s="22" t="n"/>
      <c r="F260" s="23" t="n"/>
      <c r="G260" s="24">
        <f>IF(AND(ISNUMBER(F260),ISNUMBER(E260)),EDATE(F260,E260),"")</f>
        <v/>
      </c>
      <c r="H260" s="22" t="n"/>
      <c r="I260" s="24">
        <f>IF(ISNUMBER(G260),G260-IF(ISNUMBER(H260),H260,30),"")</f>
        <v/>
      </c>
      <c r="J260" s="25">
        <f>IF(G260="","",IF(ISNUMBER(G260),G260-TODAY(),"Check date"))</f>
        <v/>
      </c>
      <c r="K260" s="26">
        <f>IF(J260="","",IF(ISNUMBER(J260),IF(J260&lt;0,"Expired",IF(J260&lt;=30,"Due ≤30 days",IF(J260&lt;=90,"Due ≤90 days","OK"))),"Check date"))</f>
        <v/>
      </c>
      <c r="L260" s="21" t="n"/>
      <c r="M260" s="21" t="n"/>
      <c r="N260" s="21" t="n"/>
      <c r="O260" s="21" t="n"/>
      <c r="P260" s="21" t="n"/>
      <c r="Q260" s="21" t="n"/>
    </row>
    <row r="261">
      <c r="A261" s="21" t="n"/>
      <c r="B261" s="21" t="n"/>
      <c r="C261" s="21" t="n"/>
      <c r="D261" s="21" t="n"/>
      <c r="E261" s="22" t="n"/>
      <c r="F261" s="23" t="n"/>
      <c r="G261" s="24">
        <f>IF(AND(ISNUMBER(F261),ISNUMBER(E261)),EDATE(F261,E261),"")</f>
        <v/>
      </c>
      <c r="H261" s="22" t="n"/>
      <c r="I261" s="24">
        <f>IF(ISNUMBER(G261),G261-IF(ISNUMBER(H261),H261,30),"")</f>
        <v/>
      </c>
      <c r="J261" s="25">
        <f>IF(G261="","",IF(ISNUMBER(G261),G261-TODAY(),"Check date"))</f>
        <v/>
      </c>
      <c r="K261" s="26">
        <f>IF(J261="","",IF(ISNUMBER(J261),IF(J261&lt;0,"Expired",IF(J261&lt;=30,"Due ≤30 days",IF(J261&lt;=90,"Due ≤90 days","OK"))),"Check date"))</f>
        <v/>
      </c>
      <c r="L261" s="21" t="n"/>
      <c r="M261" s="21" t="n"/>
      <c r="N261" s="21" t="n"/>
      <c r="O261" s="21" t="n"/>
      <c r="P261" s="21" t="n"/>
      <c r="Q261" s="21" t="n"/>
    </row>
    <row r="262">
      <c r="A262" s="21" t="n"/>
      <c r="B262" s="21" t="n"/>
      <c r="C262" s="21" t="n"/>
      <c r="D262" s="21" t="n"/>
      <c r="E262" s="22" t="n"/>
      <c r="F262" s="23" t="n"/>
      <c r="G262" s="24">
        <f>IF(AND(ISNUMBER(F262),ISNUMBER(E262)),EDATE(F262,E262),"")</f>
        <v/>
      </c>
      <c r="H262" s="22" t="n"/>
      <c r="I262" s="24">
        <f>IF(ISNUMBER(G262),G262-IF(ISNUMBER(H262),H262,30),"")</f>
        <v/>
      </c>
      <c r="J262" s="25">
        <f>IF(G262="","",IF(ISNUMBER(G262),G262-TODAY(),"Check date"))</f>
        <v/>
      </c>
      <c r="K262" s="26">
        <f>IF(J262="","",IF(ISNUMBER(J262),IF(J262&lt;0,"Expired",IF(J262&lt;=30,"Due ≤30 days",IF(J262&lt;=90,"Due ≤90 days","OK"))),"Check date"))</f>
        <v/>
      </c>
      <c r="L262" s="21" t="n"/>
      <c r="M262" s="21" t="n"/>
      <c r="N262" s="21" t="n"/>
      <c r="O262" s="21" t="n"/>
      <c r="P262" s="21" t="n"/>
      <c r="Q262" s="21" t="n"/>
    </row>
    <row r="263">
      <c r="A263" s="21" t="n"/>
      <c r="B263" s="21" t="n"/>
      <c r="C263" s="21" t="n"/>
      <c r="D263" s="21" t="n"/>
      <c r="E263" s="22" t="n"/>
      <c r="F263" s="23" t="n"/>
      <c r="G263" s="24">
        <f>IF(AND(ISNUMBER(F263),ISNUMBER(E263)),EDATE(F263,E263),"")</f>
        <v/>
      </c>
      <c r="H263" s="22" t="n"/>
      <c r="I263" s="24">
        <f>IF(ISNUMBER(G263),G263-IF(ISNUMBER(H263),H263,30),"")</f>
        <v/>
      </c>
      <c r="J263" s="25">
        <f>IF(G263="","",IF(ISNUMBER(G263),G263-TODAY(),"Check date"))</f>
        <v/>
      </c>
      <c r="K263" s="26">
        <f>IF(J263="","",IF(ISNUMBER(J263),IF(J263&lt;0,"Expired",IF(J263&lt;=30,"Due ≤30 days",IF(J263&lt;=90,"Due ≤90 days","OK"))),"Check date"))</f>
        <v/>
      </c>
      <c r="L263" s="21" t="n"/>
      <c r="M263" s="21" t="n"/>
      <c r="N263" s="21" t="n"/>
      <c r="O263" s="21" t="n"/>
      <c r="P263" s="21" t="n"/>
      <c r="Q263" s="21" t="n"/>
    </row>
    <row r="264">
      <c r="A264" s="21" t="n"/>
      <c r="B264" s="21" t="n"/>
      <c r="C264" s="21" t="n"/>
      <c r="D264" s="21" t="n"/>
      <c r="E264" s="22" t="n"/>
      <c r="F264" s="23" t="n"/>
      <c r="G264" s="24">
        <f>IF(AND(ISNUMBER(F264),ISNUMBER(E264)),EDATE(F264,E264),"")</f>
        <v/>
      </c>
      <c r="H264" s="22" t="n"/>
      <c r="I264" s="24">
        <f>IF(ISNUMBER(G264),G264-IF(ISNUMBER(H264),H264,30),"")</f>
        <v/>
      </c>
      <c r="J264" s="25">
        <f>IF(G264="","",IF(ISNUMBER(G264),G264-TODAY(),"Check date"))</f>
        <v/>
      </c>
      <c r="K264" s="26">
        <f>IF(J264="","",IF(ISNUMBER(J264),IF(J264&lt;0,"Expired",IF(J264&lt;=30,"Due ≤30 days",IF(J264&lt;=90,"Due ≤90 days","OK"))),"Check date"))</f>
        <v/>
      </c>
      <c r="L264" s="21" t="n"/>
      <c r="M264" s="21" t="n"/>
      <c r="N264" s="21" t="n"/>
      <c r="O264" s="21" t="n"/>
      <c r="P264" s="21" t="n"/>
      <c r="Q264" s="21" t="n"/>
    </row>
    <row r="265">
      <c r="A265" s="21" t="n"/>
      <c r="B265" s="21" t="n"/>
      <c r="C265" s="21" t="n"/>
      <c r="D265" s="21" t="n"/>
      <c r="E265" s="22" t="n"/>
      <c r="F265" s="23" t="n"/>
      <c r="G265" s="24">
        <f>IF(AND(ISNUMBER(F265),ISNUMBER(E265)),EDATE(F265,E265),"")</f>
        <v/>
      </c>
      <c r="H265" s="22" t="n"/>
      <c r="I265" s="24">
        <f>IF(ISNUMBER(G265),G265-IF(ISNUMBER(H265),H265,30),"")</f>
        <v/>
      </c>
      <c r="J265" s="25">
        <f>IF(G265="","",IF(ISNUMBER(G265),G265-TODAY(),"Check date"))</f>
        <v/>
      </c>
      <c r="K265" s="26">
        <f>IF(J265="","",IF(ISNUMBER(J265),IF(J265&lt;0,"Expired",IF(J265&lt;=30,"Due ≤30 days",IF(J265&lt;=90,"Due ≤90 days","OK"))),"Check date"))</f>
        <v/>
      </c>
      <c r="L265" s="21" t="n"/>
      <c r="M265" s="21" t="n"/>
      <c r="N265" s="21" t="n"/>
      <c r="O265" s="21" t="n"/>
      <c r="P265" s="21" t="n"/>
      <c r="Q265" s="21" t="n"/>
    </row>
    <row r="266">
      <c r="A266" s="21" t="n"/>
      <c r="B266" s="21" t="n"/>
      <c r="C266" s="21" t="n"/>
      <c r="D266" s="21" t="n"/>
      <c r="E266" s="22" t="n"/>
      <c r="F266" s="23" t="n"/>
      <c r="G266" s="24">
        <f>IF(AND(ISNUMBER(F266),ISNUMBER(E266)),EDATE(F266,E266),"")</f>
        <v/>
      </c>
      <c r="H266" s="22" t="n"/>
      <c r="I266" s="24">
        <f>IF(ISNUMBER(G266),G266-IF(ISNUMBER(H266),H266,30),"")</f>
        <v/>
      </c>
      <c r="J266" s="25">
        <f>IF(G266="","",IF(ISNUMBER(G266),G266-TODAY(),"Check date"))</f>
        <v/>
      </c>
      <c r="K266" s="26">
        <f>IF(J266="","",IF(ISNUMBER(J266),IF(J266&lt;0,"Expired",IF(J266&lt;=30,"Due ≤30 days",IF(J266&lt;=90,"Due ≤90 days","OK"))),"Check date"))</f>
        <v/>
      </c>
      <c r="L266" s="21" t="n"/>
      <c r="M266" s="21" t="n"/>
      <c r="N266" s="21" t="n"/>
      <c r="O266" s="21" t="n"/>
      <c r="P266" s="21" t="n"/>
      <c r="Q266" s="21" t="n"/>
    </row>
    <row r="267">
      <c r="A267" s="21" t="n"/>
      <c r="B267" s="21" t="n"/>
      <c r="C267" s="21" t="n"/>
      <c r="D267" s="21" t="n"/>
      <c r="E267" s="22" t="n"/>
      <c r="F267" s="23" t="n"/>
      <c r="G267" s="24">
        <f>IF(AND(ISNUMBER(F267),ISNUMBER(E267)),EDATE(F267,E267),"")</f>
        <v/>
      </c>
      <c r="H267" s="22" t="n"/>
      <c r="I267" s="24">
        <f>IF(ISNUMBER(G267),G267-IF(ISNUMBER(H267),H267,30),"")</f>
        <v/>
      </c>
      <c r="J267" s="25">
        <f>IF(G267="","",IF(ISNUMBER(G267),G267-TODAY(),"Check date"))</f>
        <v/>
      </c>
      <c r="K267" s="26">
        <f>IF(J267="","",IF(ISNUMBER(J267),IF(J267&lt;0,"Expired",IF(J267&lt;=30,"Due ≤30 days",IF(J267&lt;=90,"Due ≤90 days","OK"))),"Check date"))</f>
        <v/>
      </c>
      <c r="L267" s="21" t="n"/>
      <c r="M267" s="21" t="n"/>
      <c r="N267" s="21" t="n"/>
      <c r="O267" s="21" t="n"/>
      <c r="P267" s="21" t="n"/>
      <c r="Q267" s="21" t="n"/>
    </row>
    <row r="268">
      <c r="A268" s="21" t="n"/>
      <c r="B268" s="21" t="n"/>
      <c r="C268" s="21" t="n"/>
      <c r="D268" s="21" t="n"/>
      <c r="E268" s="22" t="n"/>
      <c r="F268" s="23" t="n"/>
      <c r="G268" s="24">
        <f>IF(AND(ISNUMBER(F268),ISNUMBER(E268)),EDATE(F268,E268),"")</f>
        <v/>
      </c>
      <c r="H268" s="22" t="n"/>
      <c r="I268" s="24">
        <f>IF(ISNUMBER(G268),G268-IF(ISNUMBER(H268),H268,30),"")</f>
        <v/>
      </c>
      <c r="J268" s="25">
        <f>IF(G268="","",IF(ISNUMBER(G268),G268-TODAY(),"Check date"))</f>
        <v/>
      </c>
      <c r="K268" s="26">
        <f>IF(J268="","",IF(ISNUMBER(J268),IF(J268&lt;0,"Expired",IF(J268&lt;=30,"Due ≤30 days",IF(J268&lt;=90,"Due ≤90 days","OK"))),"Check date"))</f>
        <v/>
      </c>
      <c r="L268" s="21" t="n"/>
      <c r="M268" s="21" t="n"/>
      <c r="N268" s="21" t="n"/>
      <c r="O268" s="21" t="n"/>
      <c r="P268" s="21" t="n"/>
      <c r="Q268" s="21" t="n"/>
    </row>
    <row r="269">
      <c r="A269" s="21" t="n"/>
      <c r="B269" s="21" t="n"/>
      <c r="C269" s="21" t="n"/>
      <c r="D269" s="21" t="n"/>
      <c r="E269" s="22" t="n"/>
      <c r="F269" s="23" t="n"/>
      <c r="G269" s="24">
        <f>IF(AND(ISNUMBER(F269),ISNUMBER(E269)),EDATE(F269,E269),"")</f>
        <v/>
      </c>
      <c r="H269" s="22" t="n"/>
      <c r="I269" s="24">
        <f>IF(ISNUMBER(G269),G269-IF(ISNUMBER(H269),H269,30),"")</f>
        <v/>
      </c>
      <c r="J269" s="25">
        <f>IF(G269="","",IF(ISNUMBER(G269),G269-TODAY(),"Check date"))</f>
        <v/>
      </c>
      <c r="K269" s="26">
        <f>IF(J269="","",IF(ISNUMBER(J269),IF(J269&lt;0,"Expired",IF(J269&lt;=30,"Due ≤30 days",IF(J269&lt;=90,"Due ≤90 days","OK"))),"Check date"))</f>
        <v/>
      </c>
      <c r="L269" s="21" t="n"/>
      <c r="M269" s="21" t="n"/>
      <c r="N269" s="21" t="n"/>
      <c r="O269" s="21" t="n"/>
      <c r="P269" s="21" t="n"/>
      <c r="Q269" s="21" t="n"/>
    </row>
    <row r="270">
      <c r="A270" s="21" t="n"/>
      <c r="B270" s="21" t="n"/>
      <c r="C270" s="21" t="n"/>
      <c r="D270" s="21" t="n"/>
      <c r="E270" s="22" t="n"/>
      <c r="F270" s="23" t="n"/>
      <c r="G270" s="24">
        <f>IF(AND(ISNUMBER(F270),ISNUMBER(E270)),EDATE(F270,E270),"")</f>
        <v/>
      </c>
      <c r="H270" s="22" t="n"/>
      <c r="I270" s="24">
        <f>IF(ISNUMBER(G270),G270-IF(ISNUMBER(H270),H270,30),"")</f>
        <v/>
      </c>
      <c r="J270" s="25">
        <f>IF(G270="","",IF(ISNUMBER(G270),G270-TODAY(),"Check date"))</f>
        <v/>
      </c>
      <c r="K270" s="26">
        <f>IF(J270="","",IF(ISNUMBER(J270),IF(J270&lt;0,"Expired",IF(J270&lt;=30,"Due ≤30 days",IF(J270&lt;=90,"Due ≤90 days","OK"))),"Check date"))</f>
        <v/>
      </c>
      <c r="L270" s="21" t="n"/>
      <c r="M270" s="21" t="n"/>
      <c r="N270" s="21" t="n"/>
      <c r="O270" s="21" t="n"/>
      <c r="P270" s="21" t="n"/>
      <c r="Q270" s="21" t="n"/>
    </row>
    <row r="271">
      <c r="A271" s="21" t="n"/>
      <c r="B271" s="21" t="n"/>
      <c r="C271" s="21" t="n"/>
      <c r="D271" s="21" t="n"/>
      <c r="E271" s="22" t="n"/>
      <c r="F271" s="23" t="n"/>
      <c r="G271" s="24">
        <f>IF(AND(ISNUMBER(F271),ISNUMBER(E271)),EDATE(F271,E271),"")</f>
        <v/>
      </c>
      <c r="H271" s="22" t="n"/>
      <c r="I271" s="24">
        <f>IF(ISNUMBER(G271),G271-IF(ISNUMBER(H271),H271,30),"")</f>
        <v/>
      </c>
      <c r="J271" s="25">
        <f>IF(G271="","",IF(ISNUMBER(G271),G271-TODAY(),"Check date"))</f>
        <v/>
      </c>
      <c r="K271" s="26">
        <f>IF(J271="","",IF(ISNUMBER(J271),IF(J271&lt;0,"Expired",IF(J271&lt;=30,"Due ≤30 days",IF(J271&lt;=90,"Due ≤90 days","OK"))),"Check date"))</f>
        <v/>
      </c>
      <c r="L271" s="21" t="n"/>
      <c r="M271" s="21" t="n"/>
      <c r="N271" s="21" t="n"/>
      <c r="O271" s="21" t="n"/>
      <c r="P271" s="21" t="n"/>
      <c r="Q271" s="21" t="n"/>
    </row>
    <row r="272">
      <c r="A272" s="21" t="n"/>
      <c r="B272" s="21" t="n"/>
      <c r="C272" s="21" t="n"/>
      <c r="D272" s="21" t="n"/>
      <c r="E272" s="22" t="n"/>
      <c r="F272" s="23" t="n"/>
      <c r="G272" s="24">
        <f>IF(AND(ISNUMBER(F272),ISNUMBER(E272)),EDATE(F272,E272),"")</f>
        <v/>
      </c>
      <c r="H272" s="22" t="n"/>
      <c r="I272" s="24">
        <f>IF(ISNUMBER(G272),G272-IF(ISNUMBER(H272),H272,30),"")</f>
        <v/>
      </c>
      <c r="J272" s="25">
        <f>IF(G272="","",IF(ISNUMBER(G272),G272-TODAY(),"Check date"))</f>
        <v/>
      </c>
      <c r="K272" s="26">
        <f>IF(J272="","",IF(ISNUMBER(J272),IF(J272&lt;0,"Expired",IF(J272&lt;=30,"Due ≤30 days",IF(J272&lt;=90,"Due ≤90 days","OK"))),"Check date"))</f>
        <v/>
      </c>
      <c r="L272" s="21" t="n"/>
      <c r="M272" s="21" t="n"/>
      <c r="N272" s="21" t="n"/>
      <c r="O272" s="21" t="n"/>
      <c r="P272" s="21" t="n"/>
      <c r="Q272" s="21" t="n"/>
    </row>
    <row r="273">
      <c r="A273" s="21" t="n"/>
      <c r="B273" s="21" t="n"/>
      <c r="C273" s="21" t="n"/>
      <c r="D273" s="21" t="n"/>
      <c r="E273" s="22" t="n"/>
      <c r="F273" s="23" t="n"/>
      <c r="G273" s="24">
        <f>IF(AND(ISNUMBER(F273),ISNUMBER(E273)),EDATE(F273,E273),"")</f>
        <v/>
      </c>
      <c r="H273" s="22" t="n"/>
      <c r="I273" s="24">
        <f>IF(ISNUMBER(G273),G273-IF(ISNUMBER(H273),H273,30),"")</f>
        <v/>
      </c>
      <c r="J273" s="25">
        <f>IF(G273="","",IF(ISNUMBER(G273),G273-TODAY(),"Check date"))</f>
        <v/>
      </c>
      <c r="K273" s="26">
        <f>IF(J273="","",IF(ISNUMBER(J273),IF(J273&lt;0,"Expired",IF(J273&lt;=30,"Due ≤30 days",IF(J273&lt;=90,"Due ≤90 days","OK"))),"Check date"))</f>
        <v/>
      </c>
      <c r="L273" s="21" t="n"/>
      <c r="M273" s="21" t="n"/>
      <c r="N273" s="21" t="n"/>
      <c r="O273" s="21" t="n"/>
      <c r="P273" s="21" t="n"/>
      <c r="Q273" s="21" t="n"/>
    </row>
    <row r="274">
      <c r="A274" s="21" t="n"/>
      <c r="B274" s="21" t="n"/>
      <c r="C274" s="21" t="n"/>
      <c r="D274" s="21" t="n"/>
      <c r="E274" s="22" t="n"/>
      <c r="F274" s="23" t="n"/>
      <c r="G274" s="24">
        <f>IF(AND(ISNUMBER(F274),ISNUMBER(E274)),EDATE(F274,E274),"")</f>
        <v/>
      </c>
      <c r="H274" s="22" t="n"/>
      <c r="I274" s="24">
        <f>IF(ISNUMBER(G274),G274-IF(ISNUMBER(H274),H274,30),"")</f>
        <v/>
      </c>
      <c r="J274" s="25">
        <f>IF(G274="","",IF(ISNUMBER(G274),G274-TODAY(),"Check date"))</f>
        <v/>
      </c>
      <c r="K274" s="26">
        <f>IF(J274="","",IF(ISNUMBER(J274),IF(J274&lt;0,"Expired",IF(J274&lt;=30,"Due ≤30 days",IF(J274&lt;=90,"Due ≤90 days","OK"))),"Check date"))</f>
        <v/>
      </c>
      <c r="L274" s="21" t="n"/>
      <c r="M274" s="21" t="n"/>
      <c r="N274" s="21" t="n"/>
      <c r="O274" s="21" t="n"/>
      <c r="P274" s="21" t="n"/>
      <c r="Q274" s="21" t="n"/>
    </row>
    <row r="275">
      <c r="A275" s="21" t="n"/>
      <c r="B275" s="21" t="n"/>
      <c r="C275" s="21" t="n"/>
      <c r="D275" s="21" t="n"/>
      <c r="E275" s="22" t="n"/>
      <c r="F275" s="23" t="n"/>
      <c r="G275" s="24">
        <f>IF(AND(ISNUMBER(F275),ISNUMBER(E275)),EDATE(F275,E275),"")</f>
        <v/>
      </c>
      <c r="H275" s="22" t="n"/>
      <c r="I275" s="24">
        <f>IF(ISNUMBER(G275),G275-IF(ISNUMBER(H275),H275,30),"")</f>
        <v/>
      </c>
      <c r="J275" s="25">
        <f>IF(G275="","",IF(ISNUMBER(G275),G275-TODAY(),"Check date"))</f>
        <v/>
      </c>
      <c r="K275" s="26">
        <f>IF(J275="","",IF(ISNUMBER(J275),IF(J275&lt;0,"Expired",IF(J275&lt;=30,"Due ≤30 days",IF(J275&lt;=90,"Due ≤90 days","OK"))),"Check date"))</f>
        <v/>
      </c>
      <c r="L275" s="21" t="n"/>
      <c r="M275" s="21" t="n"/>
      <c r="N275" s="21" t="n"/>
      <c r="O275" s="21" t="n"/>
      <c r="P275" s="21" t="n"/>
      <c r="Q275" s="21" t="n"/>
    </row>
    <row r="276">
      <c r="A276" s="21" t="n"/>
      <c r="B276" s="21" t="n"/>
      <c r="C276" s="21" t="n"/>
      <c r="D276" s="21" t="n"/>
      <c r="E276" s="22" t="n"/>
      <c r="F276" s="23" t="n"/>
      <c r="G276" s="24">
        <f>IF(AND(ISNUMBER(F276),ISNUMBER(E276)),EDATE(F276,E276),"")</f>
        <v/>
      </c>
      <c r="H276" s="22" t="n"/>
      <c r="I276" s="24">
        <f>IF(ISNUMBER(G276),G276-IF(ISNUMBER(H276),H276,30),"")</f>
        <v/>
      </c>
      <c r="J276" s="25">
        <f>IF(G276="","",IF(ISNUMBER(G276),G276-TODAY(),"Check date"))</f>
        <v/>
      </c>
      <c r="K276" s="26">
        <f>IF(J276="","",IF(ISNUMBER(J276),IF(J276&lt;0,"Expired",IF(J276&lt;=30,"Due ≤30 days",IF(J276&lt;=90,"Due ≤90 days","OK"))),"Check date"))</f>
        <v/>
      </c>
      <c r="L276" s="21" t="n"/>
      <c r="M276" s="21" t="n"/>
      <c r="N276" s="21" t="n"/>
      <c r="O276" s="21" t="n"/>
      <c r="P276" s="21" t="n"/>
      <c r="Q276" s="21" t="n"/>
    </row>
    <row r="277">
      <c r="A277" s="21" t="n"/>
      <c r="B277" s="21" t="n"/>
      <c r="C277" s="21" t="n"/>
      <c r="D277" s="21" t="n"/>
      <c r="E277" s="22" t="n"/>
      <c r="F277" s="23" t="n"/>
      <c r="G277" s="24">
        <f>IF(AND(ISNUMBER(F277),ISNUMBER(E277)),EDATE(F277,E277),"")</f>
        <v/>
      </c>
      <c r="H277" s="22" t="n"/>
      <c r="I277" s="24">
        <f>IF(ISNUMBER(G277),G277-IF(ISNUMBER(H277),H277,30),"")</f>
        <v/>
      </c>
      <c r="J277" s="25">
        <f>IF(G277="","",IF(ISNUMBER(G277),G277-TODAY(),"Check date"))</f>
        <v/>
      </c>
      <c r="K277" s="26">
        <f>IF(J277="","",IF(ISNUMBER(J277),IF(J277&lt;0,"Expired",IF(J277&lt;=30,"Due ≤30 days",IF(J277&lt;=90,"Due ≤90 days","OK"))),"Check date"))</f>
        <v/>
      </c>
      <c r="L277" s="21" t="n"/>
      <c r="M277" s="21" t="n"/>
      <c r="N277" s="21" t="n"/>
      <c r="O277" s="21" t="n"/>
      <c r="P277" s="21" t="n"/>
      <c r="Q277" s="21" t="n"/>
    </row>
    <row r="278">
      <c r="A278" s="21" t="n"/>
      <c r="B278" s="21" t="n"/>
      <c r="C278" s="21" t="n"/>
      <c r="D278" s="21" t="n"/>
      <c r="E278" s="22" t="n"/>
      <c r="F278" s="23" t="n"/>
      <c r="G278" s="24">
        <f>IF(AND(ISNUMBER(F278),ISNUMBER(E278)),EDATE(F278,E278),"")</f>
        <v/>
      </c>
      <c r="H278" s="22" t="n"/>
      <c r="I278" s="24">
        <f>IF(ISNUMBER(G278),G278-IF(ISNUMBER(H278),H278,30),"")</f>
        <v/>
      </c>
      <c r="J278" s="25">
        <f>IF(G278="","",IF(ISNUMBER(G278),G278-TODAY(),"Check date"))</f>
        <v/>
      </c>
      <c r="K278" s="26">
        <f>IF(J278="","",IF(ISNUMBER(J278),IF(J278&lt;0,"Expired",IF(J278&lt;=30,"Due ≤30 days",IF(J278&lt;=90,"Due ≤90 days","OK"))),"Check date"))</f>
        <v/>
      </c>
      <c r="L278" s="21" t="n"/>
      <c r="M278" s="21" t="n"/>
      <c r="N278" s="21" t="n"/>
      <c r="O278" s="21" t="n"/>
      <c r="P278" s="21" t="n"/>
      <c r="Q278" s="21" t="n"/>
    </row>
    <row r="279">
      <c r="A279" s="21" t="n"/>
      <c r="B279" s="21" t="n"/>
      <c r="C279" s="21" t="n"/>
      <c r="D279" s="21" t="n"/>
      <c r="E279" s="22" t="n"/>
      <c r="F279" s="23" t="n"/>
      <c r="G279" s="24">
        <f>IF(AND(ISNUMBER(F279),ISNUMBER(E279)),EDATE(F279,E279),"")</f>
        <v/>
      </c>
      <c r="H279" s="22" t="n"/>
      <c r="I279" s="24">
        <f>IF(ISNUMBER(G279),G279-IF(ISNUMBER(H279),H279,30),"")</f>
        <v/>
      </c>
      <c r="J279" s="25">
        <f>IF(G279="","",IF(ISNUMBER(G279),G279-TODAY(),"Check date"))</f>
        <v/>
      </c>
      <c r="K279" s="26">
        <f>IF(J279="","",IF(ISNUMBER(J279),IF(J279&lt;0,"Expired",IF(J279&lt;=30,"Due ≤30 days",IF(J279&lt;=90,"Due ≤90 days","OK"))),"Check date"))</f>
        <v/>
      </c>
      <c r="L279" s="21" t="n"/>
      <c r="M279" s="21" t="n"/>
      <c r="N279" s="21" t="n"/>
      <c r="O279" s="21" t="n"/>
      <c r="P279" s="21" t="n"/>
      <c r="Q279" s="21" t="n"/>
    </row>
    <row r="280">
      <c r="A280" s="21" t="n"/>
      <c r="B280" s="21" t="n"/>
      <c r="C280" s="21" t="n"/>
      <c r="D280" s="21" t="n"/>
      <c r="E280" s="22" t="n"/>
      <c r="F280" s="23" t="n"/>
      <c r="G280" s="24">
        <f>IF(AND(ISNUMBER(F280),ISNUMBER(E280)),EDATE(F280,E280),"")</f>
        <v/>
      </c>
      <c r="H280" s="22" t="n"/>
      <c r="I280" s="24">
        <f>IF(ISNUMBER(G280),G280-IF(ISNUMBER(H280),H280,30),"")</f>
        <v/>
      </c>
      <c r="J280" s="25">
        <f>IF(G280="","",IF(ISNUMBER(G280),G280-TODAY(),"Check date"))</f>
        <v/>
      </c>
      <c r="K280" s="26">
        <f>IF(J280="","",IF(ISNUMBER(J280),IF(J280&lt;0,"Expired",IF(J280&lt;=30,"Due ≤30 days",IF(J280&lt;=90,"Due ≤90 days","OK"))),"Check date"))</f>
        <v/>
      </c>
      <c r="L280" s="21" t="n"/>
      <c r="M280" s="21" t="n"/>
      <c r="N280" s="21" t="n"/>
      <c r="O280" s="21" t="n"/>
      <c r="P280" s="21" t="n"/>
      <c r="Q280" s="21" t="n"/>
    </row>
    <row r="281">
      <c r="A281" s="21" t="n"/>
      <c r="B281" s="21" t="n"/>
      <c r="C281" s="21" t="n"/>
      <c r="D281" s="21" t="n"/>
      <c r="E281" s="22" t="n"/>
      <c r="F281" s="23" t="n"/>
      <c r="G281" s="24">
        <f>IF(AND(ISNUMBER(F281),ISNUMBER(E281)),EDATE(F281,E281),"")</f>
        <v/>
      </c>
      <c r="H281" s="22" t="n"/>
      <c r="I281" s="24">
        <f>IF(ISNUMBER(G281),G281-IF(ISNUMBER(H281),H281,30),"")</f>
        <v/>
      </c>
      <c r="J281" s="25">
        <f>IF(G281="","",IF(ISNUMBER(G281),G281-TODAY(),"Check date"))</f>
        <v/>
      </c>
      <c r="K281" s="26">
        <f>IF(J281="","",IF(ISNUMBER(J281),IF(J281&lt;0,"Expired",IF(J281&lt;=30,"Due ≤30 days",IF(J281&lt;=90,"Due ≤90 days","OK"))),"Check date"))</f>
        <v/>
      </c>
      <c r="L281" s="21" t="n"/>
      <c r="M281" s="21" t="n"/>
      <c r="N281" s="21" t="n"/>
      <c r="O281" s="21" t="n"/>
      <c r="P281" s="21" t="n"/>
      <c r="Q281" s="21" t="n"/>
    </row>
    <row r="282">
      <c r="A282" s="21" t="n"/>
      <c r="B282" s="21" t="n"/>
      <c r="C282" s="21" t="n"/>
      <c r="D282" s="21" t="n"/>
      <c r="E282" s="22" t="n"/>
      <c r="F282" s="23" t="n"/>
      <c r="G282" s="24">
        <f>IF(AND(ISNUMBER(F282),ISNUMBER(E282)),EDATE(F282,E282),"")</f>
        <v/>
      </c>
      <c r="H282" s="22" t="n"/>
      <c r="I282" s="24">
        <f>IF(ISNUMBER(G282),G282-IF(ISNUMBER(H282),H282,30),"")</f>
        <v/>
      </c>
      <c r="J282" s="25">
        <f>IF(G282="","",IF(ISNUMBER(G282),G282-TODAY(),"Check date"))</f>
        <v/>
      </c>
      <c r="K282" s="26">
        <f>IF(J282="","",IF(ISNUMBER(J282),IF(J282&lt;0,"Expired",IF(J282&lt;=30,"Due ≤30 days",IF(J282&lt;=90,"Due ≤90 days","OK"))),"Check date"))</f>
        <v/>
      </c>
      <c r="L282" s="21" t="n"/>
      <c r="M282" s="21" t="n"/>
      <c r="N282" s="21" t="n"/>
      <c r="O282" s="21" t="n"/>
      <c r="P282" s="21" t="n"/>
      <c r="Q282" s="21" t="n"/>
    </row>
    <row r="283">
      <c r="A283" s="21" t="n"/>
      <c r="B283" s="21" t="n"/>
      <c r="C283" s="21" t="n"/>
      <c r="D283" s="21" t="n"/>
      <c r="E283" s="22" t="n"/>
      <c r="F283" s="23" t="n"/>
      <c r="G283" s="24">
        <f>IF(AND(ISNUMBER(F283),ISNUMBER(E283)),EDATE(F283,E283),"")</f>
        <v/>
      </c>
      <c r="H283" s="22" t="n"/>
      <c r="I283" s="24">
        <f>IF(ISNUMBER(G283),G283-IF(ISNUMBER(H283),H283,30),"")</f>
        <v/>
      </c>
      <c r="J283" s="25">
        <f>IF(G283="","",IF(ISNUMBER(G283),G283-TODAY(),"Check date"))</f>
        <v/>
      </c>
      <c r="K283" s="26">
        <f>IF(J283="","",IF(ISNUMBER(J283),IF(J283&lt;0,"Expired",IF(J283&lt;=30,"Due ≤30 days",IF(J283&lt;=90,"Due ≤90 days","OK"))),"Check date"))</f>
        <v/>
      </c>
      <c r="L283" s="21" t="n"/>
      <c r="M283" s="21" t="n"/>
      <c r="N283" s="21" t="n"/>
      <c r="O283" s="21" t="n"/>
      <c r="P283" s="21" t="n"/>
      <c r="Q283" s="21" t="n"/>
    </row>
    <row r="284">
      <c r="A284" s="21" t="n"/>
      <c r="B284" s="21" t="n"/>
      <c r="C284" s="21" t="n"/>
      <c r="D284" s="21" t="n"/>
      <c r="E284" s="22" t="n"/>
      <c r="F284" s="23" t="n"/>
      <c r="G284" s="24">
        <f>IF(AND(ISNUMBER(F284),ISNUMBER(E284)),EDATE(F284,E284),"")</f>
        <v/>
      </c>
      <c r="H284" s="22" t="n"/>
      <c r="I284" s="24">
        <f>IF(ISNUMBER(G284),G284-IF(ISNUMBER(H284),H284,30),"")</f>
        <v/>
      </c>
      <c r="J284" s="25">
        <f>IF(G284="","",IF(ISNUMBER(G284),G284-TODAY(),"Check date"))</f>
        <v/>
      </c>
      <c r="K284" s="26">
        <f>IF(J284="","",IF(ISNUMBER(J284),IF(J284&lt;0,"Expired",IF(J284&lt;=30,"Due ≤30 days",IF(J284&lt;=90,"Due ≤90 days","OK"))),"Check date"))</f>
        <v/>
      </c>
      <c r="L284" s="21" t="n"/>
      <c r="M284" s="21" t="n"/>
      <c r="N284" s="21" t="n"/>
      <c r="O284" s="21" t="n"/>
      <c r="P284" s="21" t="n"/>
      <c r="Q284" s="21" t="n"/>
    </row>
    <row r="285">
      <c r="A285" s="21" t="n"/>
      <c r="B285" s="21" t="n"/>
      <c r="C285" s="21" t="n"/>
      <c r="D285" s="21" t="n"/>
      <c r="E285" s="22" t="n"/>
      <c r="F285" s="23" t="n"/>
      <c r="G285" s="24">
        <f>IF(AND(ISNUMBER(F285),ISNUMBER(E285)),EDATE(F285,E285),"")</f>
        <v/>
      </c>
      <c r="H285" s="22" t="n"/>
      <c r="I285" s="24">
        <f>IF(ISNUMBER(G285),G285-IF(ISNUMBER(H285),H285,30),"")</f>
        <v/>
      </c>
      <c r="J285" s="25">
        <f>IF(G285="","",IF(ISNUMBER(G285),G285-TODAY(),"Check date"))</f>
        <v/>
      </c>
      <c r="K285" s="26">
        <f>IF(J285="","",IF(ISNUMBER(J285),IF(J285&lt;0,"Expired",IF(J285&lt;=30,"Due ≤30 days",IF(J285&lt;=90,"Due ≤90 days","OK"))),"Check date"))</f>
        <v/>
      </c>
      <c r="L285" s="21" t="n"/>
      <c r="M285" s="21" t="n"/>
      <c r="N285" s="21" t="n"/>
      <c r="O285" s="21" t="n"/>
      <c r="P285" s="21" t="n"/>
      <c r="Q285" s="21" t="n"/>
    </row>
    <row r="286">
      <c r="A286" s="21" t="n"/>
      <c r="B286" s="21" t="n"/>
      <c r="C286" s="21" t="n"/>
      <c r="D286" s="21" t="n"/>
      <c r="E286" s="22" t="n"/>
      <c r="F286" s="23" t="n"/>
      <c r="G286" s="24">
        <f>IF(AND(ISNUMBER(F286),ISNUMBER(E286)),EDATE(F286,E286),"")</f>
        <v/>
      </c>
      <c r="H286" s="22" t="n"/>
      <c r="I286" s="24">
        <f>IF(ISNUMBER(G286),G286-IF(ISNUMBER(H286),H286,30),"")</f>
        <v/>
      </c>
      <c r="J286" s="25">
        <f>IF(G286="","",IF(ISNUMBER(G286),G286-TODAY(),"Check date"))</f>
        <v/>
      </c>
      <c r="K286" s="26">
        <f>IF(J286="","",IF(ISNUMBER(J286),IF(J286&lt;0,"Expired",IF(J286&lt;=30,"Due ≤30 days",IF(J286&lt;=90,"Due ≤90 days","OK"))),"Check date"))</f>
        <v/>
      </c>
      <c r="L286" s="21" t="n"/>
      <c r="M286" s="21" t="n"/>
      <c r="N286" s="21" t="n"/>
      <c r="O286" s="21" t="n"/>
      <c r="P286" s="21" t="n"/>
      <c r="Q286" s="21" t="n"/>
    </row>
    <row r="287">
      <c r="A287" s="21" t="n"/>
      <c r="B287" s="21" t="n"/>
      <c r="C287" s="21" t="n"/>
      <c r="D287" s="21" t="n"/>
      <c r="E287" s="22" t="n"/>
      <c r="F287" s="23" t="n"/>
      <c r="G287" s="24">
        <f>IF(AND(ISNUMBER(F287),ISNUMBER(E287)),EDATE(F287,E287),"")</f>
        <v/>
      </c>
      <c r="H287" s="22" t="n"/>
      <c r="I287" s="24">
        <f>IF(ISNUMBER(G287),G287-IF(ISNUMBER(H287),H287,30),"")</f>
        <v/>
      </c>
      <c r="J287" s="25">
        <f>IF(G287="","",IF(ISNUMBER(G287),G287-TODAY(),"Check date"))</f>
        <v/>
      </c>
      <c r="K287" s="26">
        <f>IF(J287="","",IF(ISNUMBER(J287),IF(J287&lt;0,"Expired",IF(J287&lt;=30,"Due ≤30 days",IF(J287&lt;=90,"Due ≤90 days","OK"))),"Check date"))</f>
        <v/>
      </c>
      <c r="L287" s="21" t="n"/>
      <c r="M287" s="21" t="n"/>
      <c r="N287" s="21" t="n"/>
      <c r="O287" s="21" t="n"/>
      <c r="P287" s="21" t="n"/>
      <c r="Q287" s="21" t="n"/>
    </row>
    <row r="288">
      <c r="A288" s="21" t="n"/>
      <c r="B288" s="21" t="n"/>
      <c r="C288" s="21" t="n"/>
      <c r="D288" s="21" t="n"/>
      <c r="E288" s="22" t="n"/>
      <c r="F288" s="23" t="n"/>
      <c r="G288" s="24">
        <f>IF(AND(ISNUMBER(F288),ISNUMBER(E288)),EDATE(F288,E288),"")</f>
        <v/>
      </c>
      <c r="H288" s="22" t="n"/>
      <c r="I288" s="24">
        <f>IF(ISNUMBER(G288),G288-IF(ISNUMBER(H288),H288,30),"")</f>
        <v/>
      </c>
      <c r="J288" s="25">
        <f>IF(G288="","",IF(ISNUMBER(G288),G288-TODAY(),"Check date"))</f>
        <v/>
      </c>
      <c r="K288" s="26">
        <f>IF(J288="","",IF(ISNUMBER(J288),IF(J288&lt;0,"Expired",IF(J288&lt;=30,"Due ≤30 days",IF(J288&lt;=90,"Due ≤90 days","OK"))),"Check date"))</f>
        <v/>
      </c>
      <c r="L288" s="21" t="n"/>
      <c r="M288" s="21" t="n"/>
      <c r="N288" s="21" t="n"/>
      <c r="O288" s="21" t="n"/>
      <c r="P288" s="21" t="n"/>
      <c r="Q288" s="21" t="n"/>
    </row>
    <row r="289">
      <c r="A289" s="21" t="n"/>
      <c r="B289" s="21" t="n"/>
      <c r="C289" s="21" t="n"/>
      <c r="D289" s="21" t="n"/>
      <c r="E289" s="22" t="n"/>
      <c r="F289" s="23" t="n"/>
      <c r="G289" s="24">
        <f>IF(AND(ISNUMBER(F289),ISNUMBER(E289)),EDATE(F289,E289),"")</f>
        <v/>
      </c>
      <c r="H289" s="22" t="n"/>
      <c r="I289" s="24">
        <f>IF(ISNUMBER(G289),G289-IF(ISNUMBER(H289),H289,30),"")</f>
        <v/>
      </c>
      <c r="J289" s="25">
        <f>IF(G289="","",IF(ISNUMBER(G289),G289-TODAY(),"Check date"))</f>
        <v/>
      </c>
      <c r="K289" s="26">
        <f>IF(J289="","",IF(ISNUMBER(J289),IF(J289&lt;0,"Expired",IF(J289&lt;=30,"Due ≤30 days",IF(J289&lt;=90,"Due ≤90 days","OK"))),"Check date"))</f>
        <v/>
      </c>
      <c r="L289" s="21" t="n"/>
      <c r="M289" s="21" t="n"/>
      <c r="N289" s="21" t="n"/>
      <c r="O289" s="21" t="n"/>
      <c r="P289" s="21" t="n"/>
      <c r="Q289" s="21" t="n"/>
    </row>
    <row r="290">
      <c r="A290" s="21" t="n"/>
      <c r="B290" s="21" t="n"/>
      <c r="C290" s="21" t="n"/>
      <c r="D290" s="21" t="n"/>
      <c r="E290" s="22" t="n"/>
      <c r="F290" s="23" t="n"/>
      <c r="G290" s="24">
        <f>IF(AND(ISNUMBER(F290),ISNUMBER(E290)),EDATE(F290,E290),"")</f>
        <v/>
      </c>
      <c r="H290" s="22" t="n"/>
      <c r="I290" s="24">
        <f>IF(ISNUMBER(G290),G290-IF(ISNUMBER(H290),H290,30),"")</f>
        <v/>
      </c>
      <c r="J290" s="25">
        <f>IF(G290="","",IF(ISNUMBER(G290),G290-TODAY(),"Check date"))</f>
        <v/>
      </c>
      <c r="K290" s="26">
        <f>IF(J290="","",IF(ISNUMBER(J290),IF(J290&lt;0,"Expired",IF(J290&lt;=30,"Due ≤30 days",IF(J290&lt;=90,"Due ≤90 days","OK"))),"Check date"))</f>
        <v/>
      </c>
      <c r="L290" s="21" t="n"/>
      <c r="M290" s="21" t="n"/>
      <c r="N290" s="21" t="n"/>
      <c r="O290" s="21" t="n"/>
      <c r="P290" s="21" t="n"/>
      <c r="Q290" s="21" t="n"/>
    </row>
    <row r="291">
      <c r="A291" s="21" t="n"/>
      <c r="B291" s="21" t="n"/>
      <c r="C291" s="21" t="n"/>
      <c r="D291" s="21" t="n"/>
      <c r="E291" s="22" t="n"/>
      <c r="F291" s="23" t="n"/>
      <c r="G291" s="24">
        <f>IF(AND(ISNUMBER(F291),ISNUMBER(E291)),EDATE(F291,E291),"")</f>
        <v/>
      </c>
      <c r="H291" s="22" t="n"/>
      <c r="I291" s="24">
        <f>IF(ISNUMBER(G291),G291-IF(ISNUMBER(H291),H291,30),"")</f>
        <v/>
      </c>
      <c r="J291" s="25">
        <f>IF(G291="","",IF(ISNUMBER(G291),G291-TODAY(),"Check date"))</f>
        <v/>
      </c>
      <c r="K291" s="26">
        <f>IF(J291="","",IF(ISNUMBER(J291),IF(J291&lt;0,"Expired",IF(J291&lt;=30,"Due ≤30 days",IF(J291&lt;=90,"Due ≤90 days","OK"))),"Check date"))</f>
        <v/>
      </c>
      <c r="L291" s="21" t="n"/>
      <c r="M291" s="21" t="n"/>
      <c r="N291" s="21" t="n"/>
      <c r="O291" s="21" t="n"/>
      <c r="P291" s="21" t="n"/>
      <c r="Q291" s="21" t="n"/>
    </row>
    <row r="292">
      <c r="A292" s="21" t="n"/>
      <c r="B292" s="21" t="n"/>
      <c r="C292" s="21" t="n"/>
      <c r="D292" s="21" t="n"/>
      <c r="E292" s="22" t="n"/>
      <c r="F292" s="23" t="n"/>
      <c r="G292" s="24">
        <f>IF(AND(ISNUMBER(F292),ISNUMBER(E292)),EDATE(F292,E292),"")</f>
        <v/>
      </c>
      <c r="H292" s="22" t="n"/>
      <c r="I292" s="24">
        <f>IF(ISNUMBER(G292),G292-IF(ISNUMBER(H292),H292,30),"")</f>
        <v/>
      </c>
      <c r="J292" s="25">
        <f>IF(G292="","",IF(ISNUMBER(G292),G292-TODAY(),"Check date"))</f>
        <v/>
      </c>
      <c r="K292" s="26">
        <f>IF(J292="","",IF(ISNUMBER(J292),IF(J292&lt;0,"Expired",IF(J292&lt;=30,"Due ≤30 days",IF(J292&lt;=90,"Due ≤90 days","OK"))),"Check date"))</f>
        <v/>
      </c>
      <c r="L292" s="21" t="n"/>
      <c r="M292" s="21" t="n"/>
      <c r="N292" s="21" t="n"/>
      <c r="O292" s="21" t="n"/>
      <c r="P292" s="21" t="n"/>
      <c r="Q292" s="21" t="n"/>
    </row>
    <row r="293">
      <c r="A293" s="21" t="n"/>
      <c r="B293" s="21" t="n"/>
      <c r="C293" s="21" t="n"/>
      <c r="D293" s="21" t="n"/>
      <c r="E293" s="22" t="n"/>
      <c r="F293" s="23" t="n"/>
      <c r="G293" s="24">
        <f>IF(AND(ISNUMBER(F293),ISNUMBER(E293)),EDATE(F293,E293),"")</f>
        <v/>
      </c>
      <c r="H293" s="22" t="n"/>
      <c r="I293" s="24">
        <f>IF(ISNUMBER(G293),G293-IF(ISNUMBER(H293),H293,30),"")</f>
        <v/>
      </c>
      <c r="J293" s="25">
        <f>IF(G293="","",IF(ISNUMBER(G293),G293-TODAY(),"Check date"))</f>
        <v/>
      </c>
      <c r="K293" s="26">
        <f>IF(J293="","",IF(ISNUMBER(J293),IF(J293&lt;0,"Expired",IF(J293&lt;=30,"Due ≤30 days",IF(J293&lt;=90,"Due ≤90 days","OK"))),"Check date"))</f>
        <v/>
      </c>
      <c r="L293" s="21" t="n"/>
      <c r="M293" s="21" t="n"/>
      <c r="N293" s="21" t="n"/>
      <c r="O293" s="21" t="n"/>
      <c r="P293" s="21" t="n"/>
      <c r="Q293" s="21" t="n"/>
    </row>
    <row r="294">
      <c r="A294" s="21" t="n"/>
      <c r="B294" s="21" t="n"/>
      <c r="C294" s="21" t="n"/>
      <c r="D294" s="21" t="n"/>
      <c r="E294" s="22" t="n"/>
      <c r="F294" s="23" t="n"/>
      <c r="G294" s="24">
        <f>IF(AND(ISNUMBER(F294),ISNUMBER(E294)),EDATE(F294,E294),"")</f>
        <v/>
      </c>
      <c r="H294" s="22" t="n"/>
      <c r="I294" s="24">
        <f>IF(ISNUMBER(G294),G294-IF(ISNUMBER(H294),H294,30),"")</f>
        <v/>
      </c>
      <c r="J294" s="25">
        <f>IF(G294="","",IF(ISNUMBER(G294),G294-TODAY(),"Check date"))</f>
        <v/>
      </c>
      <c r="K294" s="26">
        <f>IF(J294="","",IF(ISNUMBER(J294),IF(J294&lt;0,"Expired",IF(J294&lt;=30,"Due ≤30 days",IF(J294&lt;=90,"Due ≤90 days","OK"))),"Check date"))</f>
        <v/>
      </c>
      <c r="L294" s="21" t="n"/>
      <c r="M294" s="21" t="n"/>
      <c r="N294" s="21" t="n"/>
      <c r="O294" s="21" t="n"/>
      <c r="P294" s="21" t="n"/>
      <c r="Q294" s="21" t="n"/>
    </row>
    <row r="295">
      <c r="A295" s="21" t="n"/>
      <c r="B295" s="21" t="n"/>
      <c r="C295" s="21" t="n"/>
      <c r="D295" s="21" t="n"/>
      <c r="E295" s="22" t="n"/>
      <c r="F295" s="23" t="n"/>
      <c r="G295" s="24">
        <f>IF(AND(ISNUMBER(F295),ISNUMBER(E295)),EDATE(F295,E295),"")</f>
        <v/>
      </c>
      <c r="H295" s="22" t="n"/>
      <c r="I295" s="24">
        <f>IF(ISNUMBER(G295),G295-IF(ISNUMBER(H295),H295,30),"")</f>
        <v/>
      </c>
      <c r="J295" s="25">
        <f>IF(G295="","",IF(ISNUMBER(G295),G295-TODAY(),"Check date"))</f>
        <v/>
      </c>
      <c r="K295" s="26">
        <f>IF(J295="","",IF(ISNUMBER(J295),IF(J295&lt;0,"Expired",IF(J295&lt;=30,"Due ≤30 days",IF(J295&lt;=90,"Due ≤90 days","OK"))),"Check date"))</f>
        <v/>
      </c>
      <c r="L295" s="21" t="n"/>
      <c r="M295" s="21" t="n"/>
      <c r="N295" s="21" t="n"/>
      <c r="O295" s="21" t="n"/>
      <c r="P295" s="21" t="n"/>
      <c r="Q295" s="21" t="n"/>
    </row>
    <row r="296">
      <c r="A296" s="21" t="n"/>
      <c r="B296" s="21" t="n"/>
      <c r="C296" s="21" t="n"/>
      <c r="D296" s="21" t="n"/>
      <c r="E296" s="22" t="n"/>
      <c r="F296" s="23" t="n"/>
      <c r="G296" s="24">
        <f>IF(AND(ISNUMBER(F296),ISNUMBER(E296)),EDATE(F296,E296),"")</f>
        <v/>
      </c>
      <c r="H296" s="22" t="n"/>
      <c r="I296" s="24">
        <f>IF(ISNUMBER(G296),G296-IF(ISNUMBER(H296),H296,30),"")</f>
        <v/>
      </c>
      <c r="J296" s="25">
        <f>IF(G296="","",IF(ISNUMBER(G296),G296-TODAY(),"Check date"))</f>
        <v/>
      </c>
      <c r="K296" s="26">
        <f>IF(J296="","",IF(ISNUMBER(J296),IF(J296&lt;0,"Expired",IF(J296&lt;=30,"Due ≤30 days",IF(J296&lt;=90,"Due ≤90 days","OK"))),"Check date"))</f>
        <v/>
      </c>
      <c r="L296" s="21" t="n"/>
      <c r="M296" s="21" t="n"/>
      <c r="N296" s="21" t="n"/>
      <c r="O296" s="21" t="n"/>
      <c r="P296" s="21" t="n"/>
      <c r="Q296" s="21" t="n"/>
    </row>
    <row r="297">
      <c r="A297" s="21" t="n"/>
      <c r="B297" s="21" t="n"/>
      <c r="C297" s="21" t="n"/>
      <c r="D297" s="21" t="n"/>
      <c r="E297" s="22" t="n"/>
      <c r="F297" s="23" t="n"/>
      <c r="G297" s="24">
        <f>IF(AND(ISNUMBER(F297),ISNUMBER(E297)),EDATE(F297,E297),"")</f>
        <v/>
      </c>
      <c r="H297" s="22" t="n"/>
      <c r="I297" s="24">
        <f>IF(ISNUMBER(G297),G297-IF(ISNUMBER(H297),H297,30),"")</f>
        <v/>
      </c>
      <c r="J297" s="25">
        <f>IF(G297="","",IF(ISNUMBER(G297),G297-TODAY(),"Check date"))</f>
        <v/>
      </c>
      <c r="K297" s="26">
        <f>IF(J297="","",IF(ISNUMBER(J297),IF(J297&lt;0,"Expired",IF(J297&lt;=30,"Due ≤30 days",IF(J297&lt;=90,"Due ≤90 days","OK"))),"Check date"))</f>
        <v/>
      </c>
      <c r="L297" s="21" t="n"/>
      <c r="M297" s="21" t="n"/>
      <c r="N297" s="21" t="n"/>
      <c r="O297" s="21" t="n"/>
      <c r="P297" s="21" t="n"/>
      <c r="Q297" s="21" t="n"/>
    </row>
    <row r="298">
      <c r="A298" s="21" t="n"/>
      <c r="B298" s="21" t="n"/>
      <c r="C298" s="21" t="n"/>
      <c r="D298" s="21" t="n"/>
      <c r="E298" s="22" t="n"/>
      <c r="F298" s="23" t="n"/>
      <c r="G298" s="24">
        <f>IF(AND(ISNUMBER(F298),ISNUMBER(E298)),EDATE(F298,E298),"")</f>
        <v/>
      </c>
      <c r="H298" s="22" t="n"/>
      <c r="I298" s="24">
        <f>IF(ISNUMBER(G298),G298-IF(ISNUMBER(H298),H298,30),"")</f>
        <v/>
      </c>
      <c r="J298" s="25">
        <f>IF(G298="","",IF(ISNUMBER(G298),G298-TODAY(),"Check date"))</f>
        <v/>
      </c>
      <c r="K298" s="26">
        <f>IF(J298="","",IF(ISNUMBER(J298),IF(J298&lt;0,"Expired",IF(J298&lt;=30,"Due ≤30 days",IF(J298&lt;=90,"Due ≤90 days","OK"))),"Check date"))</f>
        <v/>
      </c>
      <c r="L298" s="21" t="n"/>
      <c r="M298" s="21" t="n"/>
      <c r="N298" s="21" t="n"/>
      <c r="O298" s="21" t="n"/>
      <c r="P298" s="21" t="n"/>
      <c r="Q298" s="21" t="n"/>
    </row>
    <row r="299">
      <c r="A299" s="21" t="n"/>
      <c r="B299" s="21" t="n"/>
      <c r="C299" s="21" t="n"/>
      <c r="D299" s="21" t="n"/>
      <c r="E299" s="22" t="n"/>
      <c r="F299" s="23" t="n"/>
      <c r="G299" s="24">
        <f>IF(AND(ISNUMBER(F299),ISNUMBER(E299)),EDATE(F299,E299),"")</f>
        <v/>
      </c>
      <c r="H299" s="22" t="n"/>
      <c r="I299" s="24">
        <f>IF(ISNUMBER(G299),G299-IF(ISNUMBER(H299),H299,30),"")</f>
        <v/>
      </c>
      <c r="J299" s="25">
        <f>IF(G299="","",IF(ISNUMBER(G299),G299-TODAY(),"Check date"))</f>
        <v/>
      </c>
      <c r="K299" s="26">
        <f>IF(J299="","",IF(ISNUMBER(J299),IF(J299&lt;0,"Expired",IF(J299&lt;=30,"Due ≤30 days",IF(J299&lt;=90,"Due ≤90 days","OK"))),"Check date"))</f>
        <v/>
      </c>
      <c r="L299" s="21" t="n"/>
      <c r="M299" s="21" t="n"/>
      <c r="N299" s="21" t="n"/>
      <c r="O299" s="21" t="n"/>
      <c r="P299" s="21" t="n"/>
      <c r="Q299" s="21" t="n"/>
    </row>
    <row r="300">
      <c r="A300" s="21" t="n"/>
      <c r="B300" s="21" t="n"/>
      <c r="C300" s="21" t="n"/>
      <c r="D300" s="21" t="n"/>
      <c r="E300" s="22" t="n"/>
      <c r="F300" s="23" t="n"/>
      <c r="G300" s="24">
        <f>IF(AND(ISNUMBER(F300),ISNUMBER(E300)),EDATE(F300,E300),"")</f>
        <v/>
      </c>
      <c r="H300" s="22" t="n"/>
      <c r="I300" s="24">
        <f>IF(ISNUMBER(G300),G300-IF(ISNUMBER(H300),H300,30),"")</f>
        <v/>
      </c>
      <c r="J300" s="25">
        <f>IF(G300="","",IF(ISNUMBER(G300),G300-TODAY(),"Check date"))</f>
        <v/>
      </c>
      <c r="K300" s="26">
        <f>IF(J300="","",IF(ISNUMBER(J300),IF(J300&lt;0,"Expired",IF(J300&lt;=30,"Due ≤30 days",IF(J300&lt;=90,"Due ≤90 days","OK"))),"Check date"))</f>
        <v/>
      </c>
      <c r="L300" s="21" t="n"/>
      <c r="M300" s="21" t="n"/>
      <c r="N300" s="21" t="n"/>
      <c r="O300" s="21" t="n"/>
      <c r="P300" s="21" t="n"/>
      <c r="Q300" s="21" t="n"/>
    </row>
    <row r="301">
      <c r="A301" s="21" t="n"/>
      <c r="B301" s="21" t="n"/>
      <c r="C301" s="21" t="n"/>
      <c r="D301" s="21" t="n"/>
      <c r="E301" s="22" t="n"/>
      <c r="F301" s="23" t="n"/>
      <c r="G301" s="24">
        <f>IF(AND(ISNUMBER(F301),ISNUMBER(E301)),EDATE(F301,E301),"")</f>
        <v/>
      </c>
      <c r="H301" s="22" t="n"/>
      <c r="I301" s="24">
        <f>IF(ISNUMBER(G301),G301-IF(ISNUMBER(H301),H301,30),"")</f>
        <v/>
      </c>
      <c r="J301" s="25">
        <f>IF(G301="","",IF(ISNUMBER(G301),G301-TODAY(),"Check date"))</f>
        <v/>
      </c>
      <c r="K301" s="26">
        <f>IF(J301="","",IF(ISNUMBER(J301),IF(J301&lt;0,"Expired",IF(J301&lt;=30,"Due ≤30 days",IF(J301&lt;=90,"Due ≤90 days","OK"))),"Check date"))</f>
        <v/>
      </c>
      <c r="L301" s="21" t="n"/>
      <c r="M301" s="21" t="n"/>
      <c r="N301" s="21" t="n"/>
      <c r="O301" s="21" t="n"/>
      <c r="P301" s="21" t="n"/>
      <c r="Q301" s="21" t="n"/>
    </row>
    <row r="302">
      <c r="A302" s="21" t="n"/>
      <c r="B302" s="21" t="n"/>
      <c r="C302" s="21" t="n"/>
      <c r="D302" s="21" t="n"/>
      <c r="E302" s="22" t="n"/>
      <c r="F302" s="23" t="n"/>
      <c r="G302" s="24">
        <f>IF(AND(ISNUMBER(F302),ISNUMBER(E302)),EDATE(F302,E302),"")</f>
        <v/>
      </c>
      <c r="H302" s="22" t="n"/>
      <c r="I302" s="24">
        <f>IF(ISNUMBER(G302),G302-IF(ISNUMBER(H302),H302,30),"")</f>
        <v/>
      </c>
      <c r="J302" s="25">
        <f>IF(G302="","",IF(ISNUMBER(G302),G302-TODAY(),"Check date"))</f>
        <v/>
      </c>
      <c r="K302" s="26">
        <f>IF(J302="","",IF(ISNUMBER(J302),IF(J302&lt;0,"Expired",IF(J302&lt;=30,"Due ≤30 days",IF(J302&lt;=90,"Due ≤90 days","OK"))),"Check date"))</f>
        <v/>
      </c>
      <c r="L302" s="21" t="n"/>
      <c r="M302" s="21" t="n"/>
      <c r="N302" s="21" t="n"/>
      <c r="O302" s="21" t="n"/>
      <c r="P302" s="21" t="n"/>
      <c r="Q302" s="21" t="n"/>
    </row>
    <row r="303">
      <c r="A303" s="21" t="n"/>
      <c r="B303" s="21" t="n"/>
      <c r="C303" s="21" t="n"/>
      <c r="D303" s="21" t="n"/>
      <c r="E303" s="22" t="n"/>
      <c r="F303" s="23" t="n"/>
      <c r="G303" s="24">
        <f>IF(AND(ISNUMBER(F303),ISNUMBER(E303)),EDATE(F303,E303),"")</f>
        <v/>
      </c>
      <c r="H303" s="22" t="n"/>
      <c r="I303" s="24">
        <f>IF(ISNUMBER(G303),G303-IF(ISNUMBER(H303),H303,30),"")</f>
        <v/>
      </c>
      <c r="J303" s="25">
        <f>IF(G303="","",IF(ISNUMBER(G303),G303-TODAY(),"Check date"))</f>
        <v/>
      </c>
      <c r="K303" s="26">
        <f>IF(J303="","",IF(ISNUMBER(J303),IF(J303&lt;0,"Expired",IF(J303&lt;=30,"Due ≤30 days",IF(J303&lt;=90,"Due ≤90 days","OK"))),"Check date"))</f>
        <v/>
      </c>
      <c r="L303" s="21" t="n"/>
      <c r="M303" s="21" t="n"/>
      <c r="N303" s="21" t="n"/>
      <c r="O303" s="21" t="n"/>
      <c r="P303" s="21" t="n"/>
      <c r="Q303" s="21" t="n"/>
    </row>
    <row r="304">
      <c r="A304" s="21" t="n"/>
      <c r="B304" s="21" t="n"/>
      <c r="C304" s="21" t="n"/>
      <c r="D304" s="21" t="n"/>
      <c r="E304" s="22" t="n"/>
      <c r="F304" s="23" t="n"/>
      <c r="G304" s="24">
        <f>IF(AND(ISNUMBER(F304),ISNUMBER(E304)),EDATE(F304,E304),"")</f>
        <v/>
      </c>
      <c r="H304" s="22" t="n"/>
      <c r="I304" s="24">
        <f>IF(ISNUMBER(G304),G304-IF(ISNUMBER(H304),H304,30),"")</f>
        <v/>
      </c>
      <c r="J304" s="25">
        <f>IF(G304="","",IF(ISNUMBER(G304),G304-TODAY(),"Check date"))</f>
        <v/>
      </c>
      <c r="K304" s="26">
        <f>IF(J304="","",IF(ISNUMBER(J304),IF(J304&lt;0,"Expired",IF(J304&lt;=30,"Due ≤30 days",IF(J304&lt;=90,"Due ≤90 days","OK"))),"Check date"))</f>
        <v/>
      </c>
      <c r="L304" s="21" t="n"/>
      <c r="M304" s="21" t="n"/>
      <c r="N304" s="21" t="n"/>
      <c r="O304" s="21" t="n"/>
      <c r="P304" s="21" t="n"/>
      <c r="Q304" s="21" t="n"/>
    </row>
    <row r="305">
      <c r="A305" s="21" t="n"/>
      <c r="B305" s="21" t="n"/>
      <c r="C305" s="21" t="n"/>
      <c r="D305" s="21" t="n"/>
      <c r="E305" s="22" t="n"/>
      <c r="F305" s="23" t="n"/>
      <c r="G305" s="24">
        <f>IF(AND(ISNUMBER(F305),ISNUMBER(E305)),EDATE(F305,E305),"")</f>
        <v/>
      </c>
      <c r="H305" s="22" t="n"/>
      <c r="I305" s="24">
        <f>IF(ISNUMBER(G305),G305-IF(ISNUMBER(H305),H305,30),"")</f>
        <v/>
      </c>
      <c r="J305" s="25">
        <f>IF(G305="","",IF(ISNUMBER(G305),G305-TODAY(),"Check date"))</f>
        <v/>
      </c>
      <c r="K305" s="26">
        <f>IF(J305="","",IF(ISNUMBER(J305),IF(J305&lt;0,"Expired",IF(J305&lt;=30,"Due ≤30 days",IF(J305&lt;=90,"Due ≤90 days","OK"))),"Check date"))</f>
        <v/>
      </c>
      <c r="L305" s="21" t="n"/>
      <c r="M305" s="21" t="n"/>
      <c r="N305" s="21" t="n"/>
      <c r="O305" s="21" t="n"/>
      <c r="P305" s="21" t="n"/>
      <c r="Q305" s="21" t="n"/>
    </row>
    <row r="306">
      <c r="A306" s="21" t="n"/>
      <c r="B306" s="21" t="n"/>
      <c r="C306" s="21" t="n"/>
      <c r="D306" s="21" t="n"/>
      <c r="E306" s="22" t="n"/>
      <c r="F306" s="23" t="n"/>
      <c r="G306" s="24">
        <f>IF(AND(ISNUMBER(F306),ISNUMBER(E306)),EDATE(F306,E306),"")</f>
        <v/>
      </c>
      <c r="H306" s="22" t="n"/>
      <c r="I306" s="24">
        <f>IF(ISNUMBER(G306),G306-IF(ISNUMBER(H306),H306,30),"")</f>
        <v/>
      </c>
      <c r="J306" s="25">
        <f>IF(G306="","",IF(ISNUMBER(G306),G306-TODAY(),"Check date"))</f>
        <v/>
      </c>
      <c r="K306" s="26">
        <f>IF(J306="","",IF(ISNUMBER(J306),IF(J306&lt;0,"Expired",IF(J306&lt;=30,"Due ≤30 days",IF(J306&lt;=90,"Due ≤90 days","OK"))),"Check date"))</f>
        <v/>
      </c>
      <c r="L306" s="21" t="n"/>
      <c r="M306" s="21" t="n"/>
      <c r="N306" s="21" t="n"/>
      <c r="O306" s="21" t="n"/>
      <c r="P306" s="21" t="n"/>
      <c r="Q306" s="21" t="n"/>
    </row>
    <row r="307">
      <c r="A307" s="21" t="n"/>
      <c r="B307" s="21" t="n"/>
      <c r="C307" s="21" t="n"/>
      <c r="D307" s="21" t="n"/>
      <c r="E307" s="22" t="n"/>
      <c r="F307" s="23" t="n"/>
      <c r="G307" s="24">
        <f>IF(AND(ISNUMBER(F307),ISNUMBER(E307)),EDATE(F307,E307),"")</f>
        <v/>
      </c>
      <c r="H307" s="22" t="n"/>
      <c r="I307" s="24">
        <f>IF(ISNUMBER(G307),G307-IF(ISNUMBER(H307),H307,30),"")</f>
        <v/>
      </c>
      <c r="J307" s="25">
        <f>IF(G307="","",IF(ISNUMBER(G307),G307-TODAY(),"Check date"))</f>
        <v/>
      </c>
      <c r="K307" s="26">
        <f>IF(J307="","",IF(ISNUMBER(J307),IF(J307&lt;0,"Expired",IF(J307&lt;=30,"Due ≤30 days",IF(J307&lt;=90,"Due ≤90 days","OK"))),"Check date"))</f>
        <v/>
      </c>
      <c r="L307" s="21" t="n"/>
      <c r="M307" s="21" t="n"/>
      <c r="N307" s="21" t="n"/>
      <c r="O307" s="21" t="n"/>
      <c r="P307" s="21" t="n"/>
      <c r="Q307" s="21" t="n"/>
    </row>
    <row r="308">
      <c r="A308" s="21" t="n"/>
      <c r="B308" s="21" t="n"/>
      <c r="C308" s="21" t="n"/>
      <c r="D308" s="21" t="n"/>
      <c r="E308" s="22" t="n"/>
      <c r="F308" s="23" t="n"/>
      <c r="G308" s="24">
        <f>IF(AND(ISNUMBER(F308),ISNUMBER(E308)),EDATE(F308,E308),"")</f>
        <v/>
      </c>
      <c r="H308" s="22" t="n"/>
      <c r="I308" s="24">
        <f>IF(ISNUMBER(G308),G308-IF(ISNUMBER(H308),H308,30),"")</f>
        <v/>
      </c>
      <c r="J308" s="25">
        <f>IF(G308="","",IF(ISNUMBER(G308),G308-TODAY(),"Check date"))</f>
        <v/>
      </c>
      <c r="K308" s="26">
        <f>IF(J308="","",IF(ISNUMBER(J308),IF(J308&lt;0,"Expired",IF(J308&lt;=30,"Due ≤30 days",IF(J308&lt;=90,"Due ≤90 days","OK"))),"Check date"))</f>
        <v/>
      </c>
      <c r="L308" s="21" t="n"/>
      <c r="M308" s="21" t="n"/>
      <c r="N308" s="21" t="n"/>
      <c r="O308" s="21" t="n"/>
      <c r="P308" s="21" t="n"/>
      <c r="Q308" s="21" t="n"/>
    </row>
    <row r="309">
      <c r="A309" s="21" t="n"/>
      <c r="B309" s="21" t="n"/>
      <c r="C309" s="21" t="n"/>
      <c r="D309" s="21" t="n"/>
      <c r="E309" s="22" t="n"/>
      <c r="F309" s="23" t="n"/>
      <c r="G309" s="24">
        <f>IF(AND(ISNUMBER(F309),ISNUMBER(E309)),EDATE(F309,E309),"")</f>
        <v/>
      </c>
      <c r="H309" s="22" t="n"/>
      <c r="I309" s="24">
        <f>IF(ISNUMBER(G309),G309-IF(ISNUMBER(H309),H309,30),"")</f>
        <v/>
      </c>
      <c r="J309" s="25">
        <f>IF(G309="","",IF(ISNUMBER(G309),G309-TODAY(),"Check date"))</f>
        <v/>
      </c>
      <c r="K309" s="26">
        <f>IF(J309="","",IF(ISNUMBER(J309),IF(J309&lt;0,"Expired",IF(J309&lt;=30,"Due ≤30 days",IF(J309&lt;=90,"Due ≤90 days","OK"))),"Check date"))</f>
        <v/>
      </c>
      <c r="L309" s="21" t="n"/>
      <c r="M309" s="21" t="n"/>
      <c r="N309" s="21" t="n"/>
      <c r="O309" s="21" t="n"/>
      <c r="P309" s="21" t="n"/>
      <c r="Q309" s="21" t="n"/>
    </row>
    <row r="310">
      <c r="A310" s="21" t="n"/>
      <c r="B310" s="21" t="n"/>
      <c r="C310" s="21" t="n"/>
      <c r="D310" s="21" t="n"/>
      <c r="E310" s="22" t="n"/>
      <c r="F310" s="23" t="n"/>
      <c r="G310" s="24">
        <f>IF(AND(ISNUMBER(F310),ISNUMBER(E310)),EDATE(F310,E310),"")</f>
        <v/>
      </c>
      <c r="H310" s="22" t="n"/>
      <c r="I310" s="24">
        <f>IF(ISNUMBER(G310),G310-IF(ISNUMBER(H310),H310,30),"")</f>
        <v/>
      </c>
      <c r="J310" s="25">
        <f>IF(G310="","",IF(ISNUMBER(G310),G310-TODAY(),"Check date"))</f>
        <v/>
      </c>
      <c r="K310" s="26">
        <f>IF(J310="","",IF(ISNUMBER(J310),IF(J310&lt;0,"Expired",IF(J310&lt;=30,"Due ≤30 days",IF(J310&lt;=90,"Due ≤90 days","OK"))),"Check date"))</f>
        <v/>
      </c>
      <c r="L310" s="21" t="n"/>
      <c r="M310" s="21" t="n"/>
      <c r="N310" s="21" t="n"/>
      <c r="O310" s="21" t="n"/>
      <c r="P310" s="21" t="n"/>
      <c r="Q310" s="21" t="n"/>
    </row>
    <row r="311">
      <c r="A311" s="21" t="n"/>
      <c r="B311" s="21" t="n"/>
      <c r="C311" s="21" t="n"/>
      <c r="D311" s="21" t="n"/>
      <c r="E311" s="22" t="n"/>
      <c r="F311" s="23" t="n"/>
      <c r="G311" s="24">
        <f>IF(AND(ISNUMBER(F311),ISNUMBER(E311)),EDATE(F311,E311),"")</f>
        <v/>
      </c>
      <c r="H311" s="22" t="n"/>
      <c r="I311" s="24">
        <f>IF(ISNUMBER(G311),G311-IF(ISNUMBER(H311),H311,30),"")</f>
        <v/>
      </c>
      <c r="J311" s="25">
        <f>IF(G311="","",IF(ISNUMBER(G311),G311-TODAY(),"Check date"))</f>
        <v/>
      </c>
      <c r="K311" s="26">
        <f>IF(J311="","",IF(ISNUMBER(J311),IF(J311&lt;0,"Expired",IF(J311&lt;=30,"Due ≤30 days",IF(J311&lt;=90,"Due ≤90 days","OK"))),"Check date"))</f>
        <v/>
      </c>
      <c r="L311" s="21" t="n"/>
      <c r="M311" s="21" t="n"/>
      <c r="N311" s="21" t="n"/>
      <c r="O311" s="21" t="n"/>
      <c r="P311" s="21" t="n"/>
      <c r="Q311" s="21" t="n"/>
    </row>
    <row r="312">
      <c r="A312" s="21" t="n"/>
      <c r="B312" s="21" t="n"/>
      <c r="C312" s="21" t="n"/>
      <c r="D312" s="21" t="n"/>
      <c r="E312" s="22" t="n"/>
      <c r="F312" s="23" t="n"/>
      <c r="G312" s="24">
        <f>IF(AND(ISNUMBER(F312),ISNUMBER(E312)),EDATE(F312,E312),"")</f>
        <v/>
      </c>
      <c r="H312" s="22" t="n"/>
      <c r="I312" s="24">
        <f>IF(ISNUMBER(G312),G312-IF(ISNUMBER(H312),H312,30),"")</f>
        <v/>
      </c>
      <c r="J312" s="25">
        <f>IF(G312="","",IF(ISNUMBER(G312),G312-TODAY(),"Check date"))</f>
        <v/>
      </c>
      <c r="K312" s="26">
        <f>IF(J312="","",IF(ISNUMBER(J312),IF(J312&lt;0,"Expired",IF(J312&lt;=30,"Due ≤30 days",IF(J312&lt;=90,"Due ≤90 days","OK"))),"Check date"))</f>
        <v/>
      </c>
      <c r="L312" s="21" t="n"/>
      <c r="M312" s="21" t="n"/>
      <c r="N312" s="21" t="n"/>
      <c r="O312" s="21" t="n"/>
      <c r="P312" s="21" t="n"/>
      <c r="Q312" s="21" t="n"/>
    </row>
    <row r="313">
      <c r="A313" s="21" t="n"/>
      <c r="B313" s="21" t="n"/>
      <c r="C313" s="21" t="n"/>
      <c r="D313" s="21" t="n"/>
      <c r="E313" s="22" t="n"/>
      <c r="F313" s="23" t="n"/>
      <c r="G313" s="24">
        <f>IF(AND(ISNUMBER(F313),ISNUMBER(E313)),EDATE(F313,E313),"")</f>
        <v/>
      </c>
      <c r="H313" s="22" t="n"/>
      <c r="I313" s="24">
        <f>IF(ISNUMBER(G313),G313-IF(ISNUMBER(H313),H313,30),"")</f>
        <v/>
      </c>
      <c r="J313" s="25">
        <f>IF(G313="","",IF(ISNUMBER(G313),G313-TODAY(),"Check date"))</f>
        <v/>
      </c>
      <c r="K313" s="26">
        <f>IF(J313="","",IF(ISNUMBER(J313),IF(J313&lt;0,"Expired",IF(J313&lt;=30,"Due ≤30 days",IF(J313&lt;=90,"Due ≤90 days","OK"))),"Check date"))</f>
        <v/>
      </c>
      <c r="L313" s="21" t="n"/>
      <c r="M313" s="21" t="n"/>
      <c r="N313" s="21" t="n"/>
      <c r="O313" s="21" t="n"/>
      <c r="P313" s="21" t="n"/>
      <c r="Q313" s="21" t="n"/>
    </row>
    <row r="314">
      <c r="A314" s="21" t="n"/>
      <c r="B314" s="21" t="n"/>
      <c r="C314" s="21" t="n"/>
      <c r="D314" s="21" t="n"/>
      <c r="E314" s="22" t="n"/>
      <c r="F314" s="23" t="n"/>
      <c r="G314" s="24">
        <f>IF(AND(ISNUMBER(F314),ISNUMBER(E314)),EDATE(F314,E314),"")</f>
        <v/>
      </c>
      <c r="H314" s="22" t="n"/>
      <c r="I314" s="24">
        <f>IF(ISNUMBER(G314),G314-IF(ISNUMBER(H314),H314,30),"")</f>
        <v/>
      </c>
      <c r="J314" s="25">
        <f>IF(G314="","",IF(ISNUMBER(G314),G314-TODAY(),"Check date"))</f>
        <v/>
      </c>
      <c r="K314" s="26">
        <f>IF(J314="","",IF(ISNUMBER(J314),IF(J314&lt;0,"Expired",IF(J314&lt;=30,"Due ≤30 days",IF(J314&lt;=90,"Due ≤90 days","OK"))),"Check date"))</f>
        <v/>
      </c>
      <c r="L314" s="21" t="n"/>
      <c r="M314" s="21" t="n"/>
      <c r="N314" s="21" t="n"/>
      <c r="O314" s="21" t="n"/>
      <c r="P314" s="21" t="n"/>
      <c r="Q314" s="21" t="n"/>
    </row>
    <row r="315">
      <c r="A315" s="21" t="n"/>
      <c r="B315" s="21" t="n"/>
      <c r="C315" s="21" t="n"/>
      <c r="D315" s="21" t="n"/>
      <c r="E315" s="22" t="n"/>
      <c r="F315" s="23" t="n"/>
      <c r="G315" s="24">
        <f>IF(AND(ISNUMBER(F315),ISNUMBER(E315)),EDATE(F315,E315),"")</f>
        <v/>
      </c>
      <c r="H315" s="22" t="n"/>
      <c r="I315" s="24">
        <f>IF(ISNUMBER(G315),G315-IF(ISNUMBER(H315),H315,30),"")</f>
        <v/>
      </c>
      <c r="J315" s="25">
        <f>IF(G315="","",IF(ISNUMBER(G315),G315-TODAY(),"Check date"))</f>
        <v/>
      </c>
      <c r="K315" s="26">
        <f>IF(J315="","",IF(ISNUMBER(J315),IF(J315&lt;0,"Expired",IF(J315&lt;=30,"Due ≤30 days",IF(J315&lt;=90,"Due ≤90 days","OK"))),"Check date"))</f>
        <v/>
      </c>
      <c r="L315" s="21" t="n"/>
      <c r="M315" s="21" t="n"/>
      <c r="N315" s="21" t="n"/>
      <c r="O315" s="21" t="n"/>
      <c r="P315" s="21" t="n"/>
      <c r="Q315" s="21" t="n"/>
    </row>
    <row r="316">
      <c r="A316" s="21" t="n"/>
      <c r="B316" s="21" t="n"/>
      <c r="C316" s="21" t="n"/>
      <c r="D316" s="21" t="n"/>
      <c r="E316" s="22" t="n"/>
      <c r="F316" s="23" t="n"/>
      <c r="G316" s="24">
        <f>IF(AND(ISNUMBER(F316),ISNUMBER(E316)),EDATE(F316,E316),"")</f>
        <v/>
      </c>
      <c r="H316" s="22" t="n"/>
      <c r="I316" s="24">
        <f>IF(ISNUMBER(G316),G316-IF(ISNUMBER(H316),H316,30),"")</f>
        <v/>
      </c>
      <c r="J316" s="25">
        <f>IF(G316="","",IF(ISNUMBER(G316),G316-TODAY(),"Check date"))</f>
        <v/>
      </c>
      <c r="K316" s="26">
        <f>IF(J316="","",IF(ISNUMBER(J316),IF(J316&lt;0,"Expired",IF(J316&lt;=30,"Due ≤30 days",IF(J316&lt;=90,"Due ≤90 days","OK"))),"Check date"))</f>
        <v/>
      </c>
      <c r="L316" s="21" t="n"/>
      <c r="M316" s="21" t="n"/>
      <c r="N316" s="21" t="n"/>
      <c r="O316" s="21" t="n"/>
      <c r="P316" s="21" t="n"/>
      <c r="Q316" s="21" t="n"/>
    </row>
    <row r="317">
      <c r="A317" s="21" t="n"/>
      <c r="B317" s="21" t="n"/>
      <c r="C317" s="21" t="n"/>
      <c r="D317" s="21" t="n"/>
      <c r="E317" s="22" t="n"/>
      <c r="F317" s="23" t="n"/>
      <c r="G317" s="24">
        <f>IF(AND(ISNUMBER(F317),ISNUMBER(E317)),EDATE(F317,E317),"")</f>
        <v/>
      </c>
      <c r="H317" s="22" t="n"/>
      <c r="I317" s="24">
        <f>IF(ISNUMBER(G317),G317-IF(ISNUMBER(H317),H317,30),"")</f>
        <v/>
      </c>
      <c r="J317" s="25">
        <f>IF(G317="","",IF(ISNUMBER(G317),G317-TODAY(),"Check date"))</f>
        <v/>
      </c>
      <c r="K317" s="26">
        <f>IF(J317="","",IF(ISNUMBER(J317),IF(J317&lt;0,"Expired",IF(J317&lt;=30,"Due ≤30 days",IF(J317&lt;=90,"Due ≤90 days","OK"))),"Check date"))</f>
        <v/>
      </c>
      <c r="L317" s="21" t="n"/>
      <c r="M317" s="21" t="n"/>
      <c r="N317" s="21" t="n"/>
      <c r="O317" s="21" t="n"/>
      <c r="P317" s="21" t="n"/>
      <c r="Q317" s="21" t="n"/>
    </row>
    <row r="318">
      <c r="A318" s="21" t="n"/>
      <c r="B318" s="21" t="n"/>
      <c r="C318" s="21" t="n"/>
      <c r="D318" s="21" t="n"/>
      <c r="E318" s="22" t="n"/>
      <c r="F318" s="23" t="n"/>
      <c r="G318" s="24">
        <f>IF(AND(ISNUMBER(F318),ISNUMBER(E318)),EDATE(F318,E318),"")</f>
        <v/>
      </c>
      <c r="H318" s="22" t="n"/>
      <c r="I318" s="24">
        <f>IF(ISNUMBER(G318),G318-IF(ISNUMBER(H318),H318,30),"")</f>
        <v/>
      </c>
      <c r="J318" s="25">
        <f>IF(G318="","",IF(ISNUMBER(G318),G318-TODAY(),"Check date"))</f>
        <v/>
      </c>
      <c r="K318" s="26">
        <f>IF(J318="","",IF(ISNUMBER(J318),IF(J318&lt;0,"Expired",IF(J318&lt;=30,"Due ≤30 days",IF(J318&lt;=90,"Due ≤90 days","OK"))),"Check date"))</f>
        <v/>
      </c>
      <c r="L318" s="21" t="n"/>
      <c r="M318" s="21" t="n"/>
      <c r="N318" s="21" t="n"/>
      <c r="O318" s="21" t="n"/>
      <c r="P318" s="21" t="n"/>
      <c r="Q318" s="21" t="n"/>
    </row>
    <row r="319">
      <c r="A319" s="21" t="n"/>
      <c r="B319" s="21" t="n"/>
      <c r="C319" s="21" t="n"/>
      <c r="D319" s="21" t="n"/>
      <c r="E319" s="22" t="n"/>
      <c r="F319" s="23" t="n"/>
      <c r="G319" s="24">
        <f>IF(AND(ISNUMBER(F319),ISNUMBER(E319)),EDATE(F319,E319),"")</f>
        <v/>
      </c>
      <c r="H319" s="22" t="n"/>
      <c r="I319" s="24">
        <f>IF(ISNUMBER(G319),G319-IF(ISNUMBER(H319),H319,30),"")</f>
        <v/>
      </c>
      <c r="J319" s="25">
        <f>IF(G319="","",IF(ISNUMBER(G319),G319-TODAY(),"Check date"))</f>
        <v/>
      </c>
      <c r="K319" s="26">
        <f>IF(J319="","",IF(ISNUMBER(J319),IF(J319&lt;0,"Expired",IF(J319&lt;=30,"Due ≤30 days",IF(J319&lt;=90,"Due ≤90 days","OK"))),"Check date"))</f>
        <v/>
      </c>
      <c r="L319" s="21" t="n"/>
      <c r="M319" s="21" t="n"/>
      <c r="N319" s="21" t="n"/>
      <c r="O319" s="21" t="n"/>
      <c r="P319" s="21" t="n"/>
      <c r="Q319" s="21" t="n"/>
    </row>
    <row r="320">
      <c r="A320" s="21" t="n"/>
      <c r="B320" s="21" t="n"/>
      <c r="C320" s="21" t="n"/>
      <c r="D320" s="21" t="n"/>
      <c r="E320" s="22" t="n"/>
      <c r="F320" s="23" t="n"/>
      <c r="G320" s="24">
        <f>IF(AND(ISNUMBER(F320),ISNUMBER(E320)),EDATE(F320,E320),"")</f>
        <v/>
      </c>
      <c r="H320" s="22" t="n"/>
      <c r="I320" s="24">
        <f>IF(ISNUMBER(G320),G320-IF(ISNUMBER(H320),H320,30),"")</f>
        <v/>
      </c>
      <c r="J320" s="25">
        <f>IF(G320="","",IF(ISNUMBER(G320),G320-TODAY(),"Check date"))</f>
        <v/>
      </c>
      <c r="K320" s="26">
        <f>IF(J320="","",IF(ISNUMBER(J320),IF(J320&lt;0,"Expired",IF(J320&lt;=30,"Due ≤30 days",IF(J320&lt;=90,"Due ≤90 days","OK"))),"Check date"))</f>
        <v/>
      </c>
      <c r="L320" s="21" t="n"/>
      <c r="M320" s="21" t="n"/>
      <c r="N320" s="21" t="n"/>
      <c r="O320" s="21" t="n"/>
      <c r="P320" s="21" t="n"/>
      <c r="Q320" s="21" t="n"/>
    </row>
    <row r="321">
      <c r="A321" s="21" t="n"/>
      <c r="B321" s="21" t="n"/>
      <c r="C321" s="21" t="n"/>
      <c r="D321" s="21" t="n"/>
      <c r="E321" s="22" t="n"/>
      <c r="F321" s="23" t="n"/>
      <c r="G321" s="24">
        <f>IF(AND(ISNUMBER(F321),ISNUMBER(E321)),EDATE(F321,E321),"")</f>
        <v/>
      </c>
      <c r="H321" s="22" t="n"/>
      <c r="I321" s="24">
        <f>IF(ISNUMBER(G321),G321-IF(ISNUMBER(H321),H321,30),"")</f>
        <v/>
      </c>
      <c r="J321" s="25">
        <f>IF(G321="","",IF(ISNUMBER(G321),G321-TODAY(),"Check date"))</f>
        <v/>
      </c>
      <c r="K321" s="26">
        <f>IF(J321="","",IF(ISNUMBER(J321),IF(J321&lt;0,"Expired",IF(J321&lt;=30,"Due ≤30 days",IF(J321&lt;=90,"Due ≤90 days","OK"))),"Check date"))</f>
        <v/>
      </c>
      <c r="L321" s="21" t="n"/>
      <c r="M321" s="21" t="n"/>
      <c r="N321" s="21" t="n"/>
      <c r="O321" s="21" t="n"/>
      <c r="P321" s="21" t="n"/>
      <c r="Q321" s="21" t="n"/>
    </row>
    <row r="322">
      <c r="A322" s="21" t="n"/>
      <c r="B322" s="21" t="n"/>
      <c r="C322" s="21" t="n"/>
      <c r="D322" s="21" t="n"/>
      <c r="E322" s="22" t="n"/>
      <c r="F322" s="23" t="n"/>
      <c r="G322" s="24">
        <f>IF(AND(ISNUMBER(F322),ISNUMBER(E322)),EDATE(F322,E322),"")</f>
        <v/>
      </c>
      <c r="H322" s="22" t="n"/>
      <c r="I322" s="24">
        <f>IF(ISNUMBER(G322),G322-IF(ISNUMBER(H322),H322,30),"")</f>
        <v/>
      </c>
      <c r="J322" s="25">
        <f>IF(G322="","",IF(ISNUMBER(G322),G322-TODAY(),"Check date"))</f>
        <v/>
      </c>
      <c r="K322" s="26">
        <f>IF(J322="","",IF(ISNUMBER(J322),IF(J322&lt;0,"Expired",IF(J322&lt;=30,"Due ≤30 days",IF(J322&lt;=90,"Due ≤90 days","OK"))),"Check date"))</f>
        <v/>
      </c>
      <c r="L322" s="21" t="n"/>
      <c r="M322" s="21" t="n"/>
      <c r="N322" s="21" t="n"/>
      <c r="O322" s="21" t="n"/>
      <c r="P322" s="21" t="n"/>
      <c r="Q322" s="21" t="n"/>
    </row>
    <row r="323">
      <c r="A323" s="21" t="n"/>
      <c r="B323" s="21" t="n"/>
      <c r="C323" s="21" t="n"/>
      <c r="D323" s="21" t="n"/>
      <c r="E323" s="22" t="n"/>
      <c r="F323" s="23" t="n"/>
      <c r="G323" s="24">
        <f>IF(AND(ISNUMBER(F323),ISNUMBER(E323)),EDATE(F323,E323),"")</f>
        <v/>
      </c>
      <c r="H323" s="22" t="n"/>
      <c r="I323" s="24">
        <f>IF(ISNUMBER(G323),G323-IF(ISNUMBER(H323),H323,30),"")</f>
        <v/>
      </c>
      <c r="J323" s="25">
        <f>IF(G323="","",IF(ISNUMBER(G323),G323-TODAY(),"Check date"))</f>
        <v/>
      </c>
      <c r="K323" s="26">
        <f>IF(J323="","",IF(ISNUMBER(J323),IF(J323&lt;0,"Expired",IF(J323&lt;=30,"Due ≤30 days",IF(J323&lt;=90,"Due ≤90 days","OK"))),"Check date"))</f>
        <v/>
      </c>
      <c r="L323" s="21" t="n"/>
      <c r="M323" s="21" t="n"/>
      <c r="N323" s="21" t="n"/>
      <c r="O323" s="21" t="n"/>
      <c r="P323" s="21" t="n"/>
      <c r="Q323" s="21" t="n"/>
    </row>
    <row r="324">
      <c r="A324" s="21" t="n"/>
      <c r="B324" s="21" t="n"/>
      <c r="C324" s="21" t="n"/>
      <c r="D324" s="21" t="n"/>
      <c r="E324" s="22" t="n"/>
      <c r="F324" s="23" t="n"/>
      <c r="G324" s="24">
        <f>IF(AND(ISNUMBER(F324),ISNUMBER(E324)),EDATE(F324,E324),"")</f>
        <v/>
      </c>
      <c r="H324" s="22" t="n"/>
      <c r="I324" s="24">
        <f>IF(ISNUMBER(G324),G324-IF(ISNUMBER(H324),H324,30),"")</f>
        <v/>
      </c>
      <c r="J324" s="25">
        <f>IF(G324="","",IF(ISNUMBER(G324),G324-TODAY(),"Check date"))</f>
        <v/>
      </c>
      <c r="K324" s="26">
        <f>IF(J324="","",IF(ISNUMBER(J324),IF(J324&lt;0,"Expired",IF(J324&lt;=30,"Due ≤30 days",IF(J324&lt;=90,"Due ≤90 days","OK"))),"Check date"))</f>
        <v/>
      </c>
      <c r="L324" s="21" t="n"/>
      <c r="M324" s="21" t="n"/>
      <c r="N324" s="21" t="n"/>
      <c r="O324" s="21" t="n"/>
      <c r="P324" s="21" t="n"/>
      <c r="Q324" s="21" t="n"/>
    </row>
    <row r="325">
      <c r="A325" s="21" t="n"/>
      <c r="B325" s="21" t="n"/>
      <c r="C325" s="21" t="n"/>
      <c r="D325" s="21" t="n"/>
      <c r="E325" s="22" t="n"/>
      <c r="F325" s="23" t="n"/>
      <c r="G325" s="24">
        <f>IF(AND(ISNUMBER(F325),ISNUMBER(E325)),EDATE(F325,E325),"")</f>
        <v/>
      </c>
      <c r="H325" s="22" t="n"/>
      <c r="I325" s="24">
        <f>IF(ISNUMBER(G325),G325-IF(ISNUMBER(H325),H325,30),"")</f>
        <v/>
      </c>
      <c r="J325" s="25">
        <f>IF(G325="","",IF(ISNUMBER(G325),G325-TODAY(),"Check date"))</f>
        <v/>
      </c>
      <c r="K325" s="26">
        <f>IF(J325="","",IF(ISNUMBER(J325),IF(J325&lt;0,"Expired",IF(J325&lt;=30,"Due ≤30 days",IF(J325&lt;=90,"Due ≤90 days","OK"))),"Check date"))</f>
        <v/>
      </c>
      <c r="L325" s="21" t="n"/>
      <c r="M325" s="21" t="n"/>
      <c r="N325" s="21" t="n"/>
      <c r="O325" s="21" t="n"/>
      <c r="P325" s="21" t="n"/>
      <c r="Q325" s="21" t="n"/>
    </row>
    <row r="326">
      <c r="A326" s="21" t="n"/>
      <c r="B326" s="21" t="n"/>
      <c r="C326" s="21" t="n"/>
      <c r="D326" s="21" t="n"/>
      <c r="E326" s="22" t="n"/>
      <c r="F326" s="23" t="n"/>
      <c r="G326" s="24">
        <f>IF(AND(ISNUMBER(F326),ISNUMBER(E326)),EDATE(F326,E326),"")</f>
        <v/>
      </c>
      <c r="H326" s="22" t="n"/>
      <c r="I326" s="24">
        <f>IF(ISNUMBER(G326),G326-IF(ISNUMBER(H326),H326,30),"")</f>
        <v/>
      </c>
      <c r="J326" s="25">
        <f>IF(G326="","",IF(ISNUMBER(G326),G326-TODAY(),"Check date"))</f>
        <v/>
      </c>
      <c r="K326" s="26">
        <f>IF(J326="","",IF(ISNUMBER(J326),IF(J326&lt;0,"Expired",IF(J326&lt;=30,"Due ≤30 days",IF(J326&lt;=90,"Due ≤90 days","OK"))),"Check date"))</f>
        <v/>
      </c>
      <c r="L326" s="21" t="n"/>
      <c r="M326" s="21" t="n"/>
      <c r="N326" s="21" t="n"/>
      <c r="O326" s="21" t="n"/>
      <c r="P326" s="21" t="n"/>
      <c r="Q326" s="21" t="n"/>
    </row>
    <row r="327">
      <c r="A327" s="21" t="n"/>
      <c r="B327" s="21" t="n"/>
      <c r="C327" s="21" t="n"/>
      <c r="D327" s="21" t="n"/>
      <c r="E327" s="22" t="n"/>
      <c r="F327" s="23" t="n"/>
      <c r="G327" s="24">
        <f>IF(AND(ISNUMBER(F327),ISNUMBER(E327)),EDATE(F327,E327),"")</f>
        <v/>
      </c>
      <c r="H327" s="22" t="n"/>
      <c r="I327" s="24">
        <f>IF(ISNUMBER(G327),G327-IF(ISNUMBER(H327),H327,30),"")</f>
        <v/>
      </c>
      <c r="J327" s="25">
        <f>IF(G327="","",IF(ISNUMBER(G327),G327-TODAY(),"Check date"))</f>
        <v/>
      </c>
      <c r="K327" s="26">
        <f>IF(J327="","",IF(ISNUMBER(J327),IF(J327&lt;0,"Expired",IF(J327&lt;=30,"Due ≤30 days",IF(J327&lt;=90,"Due ≤90 days","OK"))),"Check date"))</f>
        <v/>
      </c>
      <c r="L327" s="21" t="n"/>
      <c r="M327" s="21" t="n"/>
      <c r="N327" s="21" t="n"/>
      <c r="O327" s="21" t="n"/>
      <c r="P327" s="21" t="n"/>
      <c r="Q327" s="21" t="n"/>
    </row>
    <row r="328">
      <c r="A328" s="21" t="n"/>
      <c r="B328" s="21" t="n"/>
      <c r="C328" s="21" t="n"/>
      <c r="D328" s="21" t="n"/>
      <c r="E328" s="22" t="n"/>
      <c r="F328" s="23" t="n"/>
      <c r="G328" s="24">
        <f>IF(AND(ISNUMBER(F328),ISNUMBER(E328)),EDATE(F328,E328),"")</f>
        <v/>
      </c>
      <c r="H328" s="22" t="n"/>
      <c r="I328" s="24">
        <f>IF(ISNUMBER(G328),G328-IF(ISNUMBER(H328),H328,30),"")</f>
        <v/>
      </c>
      <c r="J328" s="25">
        <f>IF(G328="","",IF(ISNUMBER(G328),G328-TODAY(),"Check date"))</f>
        <v/>
      </c>
      <c r="K328" s="26">
        <f>IF(J328="","",IF(ISNUMBER(J328),IF(J328&lt;0,"Expired",IF(J328&lt;=30,"Due ≤30 days",IF(J328&lt;=90,"Due ≤90 days","OK"))),"Check date"))</f>
        <v/>
      </c>
      <c r="L328" s="21" t="n"/>
      <c r="M328" s="21" t="n"/>
      <c r="N328" s="21" t="n"/>
      <c r="O328" s="21" t="n"/>
      <c r="P328" s="21" t="n"/>
      <c r="Q328" s="21" t="n"/>
    </row>
    <row r="329">
      <c r="A329" s="21" t="n"/>
      <c r="B329" s="21" t="n"/>
      <c r="C329" s="21" t="n"/>
      <c r="D329" s="21" t="n"/>
      <c r="E329" s="22" t="n"/>
      <c r="F329" s="23" t="n"/>
      <c r="G329" s="24">
        <f>IF(AND(ISNUMBER(F329),ISNUMBER(E329)),EDATE(F329,E329),"")</f>
        <v/>
      </c>
      <c r="H329" s="22" t="n"/>
      <c r="I329" s="24">
        <f>IF(ISNUMBER(G329),G329-IF(ISNUMBER(H329),H329,30),"")</f>
        <v/>
      </c>
      <c r="J329" s="25">
        <f>IF(G329="","",IF(ISNUMBER(G329),G329-TODAY(),"Check date"))</f>
        <v/>
      </c>
      <c r="K329" s="26">
        <f>IF(J329="","",IF(ISNUMBER(J329),IF(J329&lt;0,"Expired",IF(J329&lt;=30,"Due ≤30 days",IF(J329&lt;=90,"Due ≤90 days","OK"))),"Check date"))</f>
        <v/>
      </c>
      <c r="L329" s="21" t="n"/>
      <c r="M329" s="21" t="n"/>
      <c r="N329" s="21" t="n"/>
      <c r="O329" s="21" t="n"/>
      <c r="P329" s="21" t="n"/>
      <c r="Q329" s="21" t="n"/>
    </row>
    <row r="330">
      <c r="A330" s="21" t="n"/>
      <c r="B330" s="21" t="n"/>
      <c r="C330" s="21" t="n"/>
      <c r="D330" s="21" t="n"/>
      <c r="E330" s="22" t="n"/>
      <c r="F330" s="23" t="n"/>
      <c r="G330" s="24">
        <f>IF(AND(ISNUMBER(F330),ISNUMBER(E330)),EDATE(F330,E330),"")</f>
        <v/>
      </c>
      <c r="H330" s="22" t="n"/>
      <c r="I330" s="24">
        <f>IF(ISNUMBER(G330),G330-IF(ISNUMBER(H330),H330,30),"")</f>
        <v/>
      </c>
      <c r="J330" s="25">
        <f>IF(G330="","",IF(ISNUMBER(G330),G330-TODAY(),"Check date"))</f>
        <v/>
      </c>
      <c r="K330" s="26">
        <f>IF(J330="","",IF(ISNUMBER(J330),IF(J330&lt;0,"Expired",IF(J330&lt;=30,"Due ≤30 days",IF(J330&lt;=90,"Due ≤90 days","OK"))),"Check date"))</f>
        <v/>
      </c>
      <c r="L330" s="21" t="n"/>
      <c r="M330" s="21" t="n"/>
      <c r="N330" s="21" t="n"/>
      <c r="O330" s="21" t="n"/>
      <c r="P330" s="21" t="n"/>
      <c r="Q330" s="21" t="n"/>
    </row>
    <row r="331">
      <c r="A331" s="21" t="n"/>
      <c r="B331" s="21" t="n"/>
      <c r="C331" s="21" t="n"/>
      <c r="D331" s="21" t="n"/>
      <c r="E331" s="22" t="n"/>
      <c r="F331" s="23" t="n"/>
      <c r="G331" s="24">
        <f>IF(AND(ISNUMBER(F331),ISNUMBER(E331)),EDATE(F331,E331),"")</f>
        <v/>
      </c>
      <c r="H331" s="22" t="n"/>
      <c r="I331" s="24">
        <f>IF(ISNUMBER(G331),G331-IF(ISNUMBER(H331),H331,30),"")</f>
        <v/>
      </c>
      <c r="J331" s="25">
        <f>IF(G331="","",IF(ISNUMBER(G331),G331-TODAY(),"Check date"))</f>
        <v/>
      </c>
      <c r="K331" s="26">
        <f>IF(J331="","",IF(ISNUMBER(J331),IF(J331&lt;0,"Expired",IF(J331&lt;=30,"Due ≤30 days",IF(J331&lt;=90,"Due ≤90 days","OK"))),"Check date"))</f>
        <v/>
      </c>
      <c r="L331" s="21" t="n"/>
      <c r="M331" s="21" t="n"/>
      <c r="N331" s="21" t="n"/>
      <c r="O331" s="21" t="n"/>
      <c r="P331" s="21" t="n"/>
      <c r="Q331" s="21" t="n"/>
    </row>
    <row r="332">
      <c r="A332" s="21" t="n"/>
      <c r="B332" s="21" t="n"/>
      <c r="C332" s="21" t="n"/>
      <c r="D332" s="21" t="n"/>
      <c r="E332" s="22" t="n"/>
      <c r="F332" s="23" t="n"/>
      <c r="G332" s="24">
        <f>IF(AND(ISNUMBER(F332),ISNUMBER(E332)),EDATE(F332,E332),"")</f>
        <v/>
      </c>
      <c r="H332" s="22" t="n"/>
      <c r="I332" s="24">
        <f>IF(ISNUMBER(G332),G332-IF(ISNUMBER(H332),H332,30),"")</f>
        <v/>
      </c>
      <c r="J332" s="25">
        <f>IF(G332="","",IF(ISNUMBER(G332),G332-TODAY(),"Check date"))</f>
        <v/>
      </c>
      <c r="K332" s="26">
        <f>IF(J332="","",IF(ISNUMBER(J332),IF(J332&lt;0,"Expired",IF(J332&lt;=30,"Due ≤30 days",IF(J332&lt;=90,"Due ≤90 days","OK"))),"Check date"))</f>
        <v/>
      </c>
      <c r="L332" s="21" t="n"/>
      <c r="M332" s="21" t="n"/>
      <c r="N332" s="21" t="n"/>
      <c r="O332" s="21" t="n"/>
      <c r="P332" s="21" t="n"/>
      <c r="Q332" s="21" t="n"/>
    </row>
    <row r="333">
      <c r="A333" s="21" t="n"/>
      <c r="B333" s="21" t="n"/>
      <c r="C333" s="21" t="n"/>
      <c r="D333" s="21" t="n"/>
      <c r="E333" s="22" t="n"/>
      <c r="F333" s="23" t="n"/>
      <c r="G333" s="24">
        <f>IF(AND(ISNUMBER(F333),ISNUMBER(E333)),EDATE(F333,E333),"")</f>
        <v/>
      </c>
      <c r="H333" s="22" t="n"/>
      <c r="I333" s="24">
        <f>IF(ISNUMBER(G333),G333-IF(ISNUMBER(H333),H333,30),"")</f>
        <v/>
      </c>
      <c r="J333" s="25">
        <f>IF(G333="","",IF(ISNUMBER(G333),G333-TODAY(),"Check date"))</f>
        <v/>
      </c>
      <c r="K333" s="26">
        <f>IF(J333="","",IF(ISNUMBER(J333),IF(J333&lt;0,"Expired",IF(J333&lt;=30,"Due ≤30 days",IF(J333&lt;=90,"Due ≤90 days","OK"))),"Check date"))</f>
        <v/>
      </c>
      <c r="L333" s="21" t="n"/>
      <c r="M333" s="21" t="n"/>
      <c r="N333" s="21" t="n"/>
      <c r="O333" s="21" t="n"/>
      <c r="P333" s="21" t="n"/>
      <c r="Q333" s="21" t="n"/>
    </row>
    <row r="334">
      <c r="A334" s="21" t="n"/>
      <c r="B334" s="21" t="n"/>
      <c r="C334" s="21" t="n"/>
      <c r="D334" s="21" t="n"/>
      <c r="E334" s="22" t="n"/>
      <c r="F334" s="23" t="n"/>
      <c r="G334" s="24">
        <f>IF(AND(ISNUMBER(F334),ISNUMBER(E334)),EDATE(F334,E334),"")</f>
        <v/>
      </c>
      <c r="H334" s="22" t="n"/>
      <c r="I334" s="24">
        <f>IF(ISNUMBER(G334),G334-IF(ISNUMBER(H334),H334,30),"")</f>
        <v/>
      </c>
      <c r="J334" s="25">
        <f>IF(G334="","",IF(ISNUMBER(G334),G334-TODAY(),"Check date"))</f>
        <v/>
      </c>
      <c r="K334" s="26">
        <f>IF(J334="","",IF(ISNUMBER(J334),IF(J334&lt;0,"Expired",IF(J334&lt;=30,"Due ≤30 days",IF(J334&lt;=90,"Due ≤90 days","OK"))),"Check date"))</f>
        <v/>
      </c>
      <c r="L334" s="21" t="n"/>
      <c r="M334" s="21" t="n"/>
      <c r="N334" s="21" t="n"/>
      <c r="O334" s="21" t="n"/>
      <c r="P334" s="21" t="n"/>
      <c r="Q334" s="21" t="n"/>
    </row>
    <row r="335">
      <c r="A335" s="21" t="n"/>
      <c r="B335" s="21" t="n"/>
      <c r="C335" s="21" t="n"/>
      <c r="D335" s="21" t="n"/>
      <c r="E335" s="22" t="n"/>
      <c r="F335" s="23" t="n"/>
      <c r="G335" s="24">
        <f>IF(AND(ISNUMBER(F335),ISNUMBER(E335)),EDATE(F335,E335),"")</f>
        <v/>
      </c>
      <c r="H335" s="22" t="n"/>
      <c r="I335" s="24">
        <f>IF(ISNUMBER(G335),G335-IF(ISNUMBER(H335),H335,30),"")</f>
        <v/>
      </c>
      <c r="J335" s="25">
        <f>IF(G335="","",IF(ISNUMBER(G335),G335-TODAY(),"Check date"))</f>
        <v/>
      </c>
      <c r="K335" s="26">
        <f>IF(J335="","",IF(ISNUMBER(J335),IF(J335&lt;0,"Expired",IF(J335&lt;=30,"Due ≤30 days",IF(J335&lt;=90,"Due ≤90 days","OK"))),"Check date"))</f>
        <v/>
      </c>
      <c r="L335" s="21" t="n"/>
      <c r="M335" s="21" t="n"/>
      <c r="N335" s="21" t="n"/>
      <c r="O335" s="21" t="n"/>
      <c r="P335" s="21" t="n"/>
      <c r="Q335" s="21" t="n"/>
    </row>
    <row r="336">
      <c r="A336" s="21" t="n"/>
      <c r="B336" s="21" t="n"/>
      <c r="C336" s="21" t="n"/>
      <c r="D336" s="21" t="n"/>
      <c r="E336" s="22" t="n"/>
      <c r="F336" s="23" t="n"/>
      <c r="G336" s="24">
        <f>IF(AND(ISNUMBER(F336),ISNUMBER(E336)),EDATE(F336,E336),"")</f>
        <v/>
      </c>
      <c r="H336" s="22" t="n"/>
      <c r="I336" s="24">
        <f>IF(ISNUMBER(G336),G336-IF(ISNUMBER(H336),H336,30),"")</f>
        <v/>
      </c>
      <c r="J336" s="25">
        <f>IF(G336="","",IF(ISNUMBER(G336),G336-TODAY(),"Check date"))</f>
        <v/>
      </c>
      <c r="K336" s="26">
        <f>IF(J336="","",IF(ISNUMBER(J336),IF(J336&lt;0,"Expired",IF(J336&lt;=30,"Due ≤30 days",IF(J336&lt;=90,"Due ≤90 days","OK"))),"Check date"))</f>
        <v/>
      </c>
      <c r="L336" s="21" t="n"/>
      <c r="M336" s="21" t="n"/>
      <c r="N336" s="21" t="n"/>
      <c r="O336" s="21" t="n"/>
      <c r="P336" s="21" t="n"/>
      <c r="Q336" s="21" t="n"/>
    </row>
    <row r="337">
      <c r="A337" s="21" t="n"/>
      <c r="B337" s="21" t="n"/>
      <c r="C337" s="21" t="n"/>
      <c r="D337" s="21" t="n"/>
      <c r="E337" s="22" t="n"/>
      <c r="F337" s="23" t="n"/>
      <c r="G337" s="24">
        <f>IF(AND(ISNUMBER(F337),ISNUMBER(E337)),EDATE(F337,E337),"")</f>
        <v/>
      </c>
      <c r="H337" s="22" t="n"/>
      <c r="I337" s="24">
        <f>IF(ISNUMBER(G337),G337-IF(ISNUMBER(H337),H337,30),"")</f>
        <v/>
      </c>
      <c r="J337" s="25">
        <f>IF(G337="","",IF(ISNUMBER(G337),G337-TODAY(),"Check date"))</f>
        <v/>
      </c>
      <c r="K337" s="26">
        <f>IF(J337="","",IF(ISNUMBER(J337),IF(J337&lt;0,"Expired",IF(J337&lt;=30,"Due ≤30 days",IF(J337&lt;=90,"Due ≤90 days","OK"))),"Check date"))</f>
        <v/>
      </c>
      <c r="L337" s="21" t="n"/>
      <c r="M337" s="21" t="n"/>
      <c r="N337" s="21" t="n"/>
      <c r="O337" s="21" t="n"/>
      <c r="P337" s="21" t="n"/>
      <c r="Q337" s="21" t="n"/>
    </row>
    <row r="338">
      <c r="A338" s="21" t="n"/>
      <c r="B338" s="21" t="n"/>
      <c r="C338" s="21" t="n"/>
      <c r="D338" s="21" t="n"/>
      <c r="E338" s="22" t="n"/>
      <c r="F338" s="23" t="n"/>
      <c r="G338" s="24">
        <f>IF(AND(ISNUMBER(F338),ISNUMBER(E338)),EDATE(F338,E338),"")</f>
        <v/>
      </c>
      <c r="H338" s="22" t="n"/>
      <c r="I338" s="24">
        <f>IF(ISNUMBER(G338),G338-IF(ISNUMBER(H338),H338,30),"")</f>
        <v/>
      </c>
      <c r="J338" s="25">
        <f>IF(G338="","",IF(ISNUMBER(G338),G338-TODAY(),"Check date"))</f>
        <v/>
      </c>
      <c r="K338" s="26">
        <f>IF(J338="","",IF(ISNUMBER(J338),IF(J338&lt;0,"Expired",IF(J338&lt;=30,"Due ≤30 days",IF(J338&lt;=90,"Due ≤90 days","OK"))),"Check date"))</f>
        <v/>
      </c>
      <c r="L338" s="21" t="n"/>
      <c r="M338" s="21" t="n"/>
      <c r="N338" s="21" t="n"/>
      <c r="O338" s="21" t="n"/>
      <c r="P338" s="21" t="n"/>
      <c r="Q338" s="21" t="n"/>
    </row>
    <row r="339">
      <c r="A339" s="21" t="n"/>
      <c r="B339" s="21" t="n"/>
      <c r="C339" s="21" t="n"/>
      <c r="D339" s="21" t="n"/>
      <c r="E339" s="22" t="n"/>
      <c r="F339" s="23" t="n"/>
      <c r="G339" s="24">
        <f>IF(AND(ISNUMBER(F339),ISNUMBER(E339)),EDATE(F339,E339),"")</f>
        <v/>
      </c>
      <c r="H339" s="22" t="n"/>
      <c r="I339" s="24">
        <f>IF(ISNUMBER(G339),G339-IF(ISNUMBER(H339),H339,30),"")</f>
        <v/>
      </c>
      <c r="J339" s="25">
        <f>IF(G339="","",IF(ISNUMBER(G339),G339-TODAY(),"Check date"))</f>
        <v/>
      </c>
      <c r="K339" s="26">
        <f>IF(J339="","",IF(ISNUMBER(J339),IF(J339&lt;0,"Expired",IF(J339&lt;=30,"Due ≤30 days",IF(J339&lt;=90,"Due ≤90 days","OK"))),"Check date"))</f>
        <v/>
      </c>
      <c r="L339" s="21" t="n"/>
      <c r="M339" s="21" t="n"/>
      <c r="N339" s="21" t="n"/>
      <c r="O339" s="21" t="n"/>
      <c r="P339" s="21" t="n"/>
      <c r="Q339" s="21" t="n"/>
    </row>
    <row r="340">
      <c r="A340" s="21" t="n"/>
      <c r="B340" s="21" t="n"/>
      <c r="C340" s="21" t="n"/>
      <c r="D340" s="21" t="n"/>
      <c r="E340" s="22" t="n"/>
      <c r="F340" s="23" t="n"/>
      <c r="G340" s="24">
        <f>IF(AND(ISNUMBER(F340),ISNUMBER(E340)),EDATE(F340,E340),"")</f>
        <v/>
      </c>
      <c r="H340" s="22" t="n"/>
      <c r="I340" s="24">
        <f>IF(ISNUMBER(G340),G340-IF(ISNUMBER(H340),H340,30),"")</f>
        <v/>
      </c>
      <c r="J340" s="25">
        <f>IF(G340="","",IF(ISNUMBER(G340),G340-TODAY(),"Check date"))</f>
        <v/>
      </c>
      <c r="K340" s="26">
        <f>IF(J340="","",IF(ISNUMBER(J340),IF(J340&lt;0,"Expired",IF(J340&lt;=30,"Due ≤30 days",IF(J340&lt;=90,"Due ≤90 days","OK"))),"Check date"))</f>
        <v/>
      </c>
      <c r="L340" s="21" t="n"/>
      <c r="M340" s="21" t="n"/>
      <c r="N340" s="21" t="n"/>
      <c r="O340" s="21" t="n"/>
      <c r="P340" s="21" t="n"/>
      <c r="Q340" s="21" t="n"/>
    </row>
    <row r="341">
      <c r="A341" s="21" t="n"/>
      <c r="B341" s="21" t="n"/>
      <c r="C341" s="21" t="n"/>
      <c r="D341" s="21" t="n"/>
      <c r="E341" s="22" t="n"/>
      <c r="F341" s="23" t="n"/>
      <c r="G341" s="24">
        <f>IF(AND(ISNUMBER(F341),ISNUMBER(E341)),EDATE(F341,E341),"")</f>
        <v/>
      </c>
      <c r="H341" s="22" t="n"/>
      <c r="I341" s="24">
        <f>IF(ISNUMBER(G341),G341-IF(ISNUMBER(H341),H341,30),"")</f>
        <v/>
      </c>
      <c r="J341" s="25">
        <f>IF(G341="","",IF(ISNUMBER(G341),G341-TODAY(),"Check date"))</f>
        <v/>
      </c>
      <c r="K341" s="26">
        <f>IF(J341="","",IF(ISNUMBER(J341),IF(J341&lt;0,"Expired",IF(J341&lt;=30,"Due ≤30 days",IF(J341&lt;=90,"Due ≤90 days","OK"))),"Check date"))</f>
        <v/>
      </c>
      <c r="L341" s="21" t="n"/>
      <c r="M341" s="21" t="n"/>
      <c r="N341" s="21" t="n"/>
      <c r="O341" s="21" t="n"/>
      <c r="P341" s="21" t="n"/>
      <c r="Q341" s="21" t="n"/>
    </row>
    <row r="342">
      <c r="A342" s="21" t="n"/>
      <c r="B342" s="21" t="n"/>
      <c r="C342" s="21" t="n"/>
      <c r="D342" s="21" t="n"/>
      <c r="E342" s="22" t="n"/>
      <c r="F342" s="23" t="n"/>
      <c r="G342" s="24">
        <f>IF(AND(ISNUMBER(F342),ISNUMBER(E342)),EDATE(F342,E342),"")</f>
        <v/>
      </c>
      <c r="H342" s="22" t="n"/>
      <c r="I342" s="24">
        <f>IF(ISNUMBER(G342),G342-IF(ISNUMBER(H342),H342,30),"")</f>
        <v/>
      </c>
      <c r="J342" s="25">
        <f>IF(G342="","",IF(ISNUMBER(G342),G342-TODAY(),"Check date"))</f>
        <v/>
      </c>
      <c r="K342" s="26">
        <f>IF(J342="","",IF(ISNUMBER(J342),IF(J342&lt;0,"Expired",IF(J342&lt;=30,"Due ≤30 days",IF(J342&lt;=90,"Due ≤90 days","OK"))),"Check date"))</f>
        <v/>
      </c>
      <c r="L342" s="21" t="n"/>
      <c r="M342" s="21" t="n"/>
      <c r="N342" s="21" t="n"/>
      <c r="O342" s="21" t="n"/>
      <c r="P342" s="21" t="n"/>
      <c r="Q342" s="21" t="n"/>
    </row>
    <row r="343">
      <c r="A343" s="21" t="n"/>
      <c r="B343" s="21" t="n"/>
      <c r="C343" s="21" t="n"/>
      <c r="D343" s="21" t="n"/>
      <c r="E343" s="22" t="n"/>
      <c r="F343" s="23" t="n"/>
      <c r="G343" s="24">
        <f>IF(AND(ISNUMBER(F343),ISNUMBER(E343)),EDATE(F343,E343),"")</f>
        <v/>
      </c>
      <c r="H343" s="22" t="n"/>
      <c r="I343" s="24">
        <f>IF(ISNUMBER(G343),G343-IF(ISNUMBER(H343),H343,30),"")</f>
        <v/>
      </c>
      <c r="J343" s="25">
        <f>IF(G343="","",IF(ISNUMBER(G343),G343-TODAY(),"Check date"))</f>
        <v/>
      </c>
      <c r="K343" s="26">
        <f>IF(J343="","",IF(ISNUMBER(J343),IF(J343&lt;0,"Expired",IF(J343&lt;=30,"Due ≤30 days",IF(J343&lt;=90,"Due ≤90 days","OK"))),"Check date"))</f>
        <v/>
      </c>
      <c r="L343" s="21" t="n"/>
      <c r="M343" s="21" t="n"/>
      <c r="N343" s="21" t="n"/>
      <c r="O343" s="21" t="n"/>
      <c r="P343" s="21" t="n"/>
      <c r="Q343" s="21" t="n"/>
    </row>
    <row r="344">
      <c r="A344" s="21" t="n"/>
      <c r="B344" s="21" t="n"/>
      <c r="C344" s="21" t="n"/>
      <c r="D344" s="21" t="n"/>
      <c r="E344" s="22" t="n"/>
      <c r="F344" s="23" t="n"/>
      <c r="G344" s="24">
        <f>IF(AND(ISNUMBER(F344),ISNUMBER(E344)),EDATE(F344,E344),"")</f>
        <v/>
      </c>
      <c r="H344" s="22" t="n"/>
      <c r="I344" s="24">
        <f>IF(ISNUMBER(G344),G344-IF(ISNUMBER(H344),H344,30),"")</f>
        <v/>
      </c>
      <c r="J344" s="25">
        <f>IF(G344="","",IF(ISNUMBER(G344),G344-TODAY(),"Check date"))</f>
        <v/>
      </c>
      <c r="K344" s="26">
        <f>IF(J344="","",IF(ISNUMBER(J344),IF(J344&lt;0,"Expired",IF(J344&lt;=30,"Due ≤30 days",IF(J344&lt;=90,"Due ≤90 days","OK"))),"Check date"))</f>
        <v/>
      </c>
      <c r="L344" s="21" t="n"/>
      <c r="M344" s="21" t="n"/>
      <c r="N344" s="21" t="n"/>
      <c r="O344" s="21" t="n"/>
      <c r="P344" s="21" t="n"/>
      <c r="Q344" s="21" t="n"/>
    </row>
    <row r="345">
      <c r="A345" s="21" t="n"/>
      <c r="B345" s="21" t="n"/>
      <c r="C345" s="21" t="n"/>
      <c r="D345" s="21" t="n"/>
      <c r="E345" s="22" t="n"/>
      <c r="F345" s="23" t="n"/>
      <c r="G345" s="24">
        <f>IF(AND(ISNUMBER(F345),ISNUMBER(E345)),EDATE(F345,E345),"")</f>
        <v/>
      </c>
      <c r="H345" s="22" t="n"/>
      <c r="I345" s="24">
        <f>IF(ISNUMBER(G345),G345-IF(ISNUMBER(H345),H345,30),"")</f>
        <v/>
      </c>
      <c r="J345" s="25">
        <f>IF(G345="","",IF(ISNUMBER(G345),G345-TODAY(),"Check date"))</f>
        <v/>
      </c>
      <c r="K345" s="26">
        <f>IF(J345="","",IF(ISNUMBER(J345),IF(J345&lt;0,"Expired",IF(J345&lt;=30,"Due ≤30 days",IF(J345&lt;=90,"Due ≤90 days","OK"))),"Check date"))</f>
        <v/>
      </c>
      <c r="L345" s="21" t="n"/>
      <c r="M345" s="21" t="n"/>
      <c r="N345" s="21" t="n"/>
      <c r="O345" s="21" t="n"/>
      <c r="P345" s="21" t="n"/>
      <c r="Q345" s="21" t="n"/>
    </row>
    <row r="346">
      <c r="A346" s="21" t="n"/>
      <c r="B346" s="21" t="n"/>
      <c r="C346" s="21" t="n"/>
      <c r="D346" s="21" t="n"/>
      <c r="E346" s="22" t="n"/>
      <c r="F346" s="23" t="n"/>
      <c r="G346" s="24">
        <f>IF(AND(ISNUMBER(F346),ISNUMBER(E346)),EDATE(F346,E346),"")</f>
        <v/>
      </c>
      <c r="H346" s="22" t="n"/>
      <c r="I346" s="24">
        <f>IF(ISNUMBER(G346),G346-IF(ISNUMBER(H346),H346,30),"")</f>
        <v/>
      </c>
      <c r="J346" s="25">
        <f>IF(G346="","",IF(ISNUMBER(G346),G346-TODAY(),"Check date"))</f>
        <v/>
      </c>
      <c r="K346" s="26">
        <f>IF(J346="","",IF(ISNUMBER(J346),IF(J346&lt;0,"Expired",IF(J346&lt;=30,"Due ≤30 days",IF(J346&lt;=90,"Due ≤90 days","OK"))),"Check date"))</f>
        <v/>
      </c>
      <c r="L346" s="21" t="n"/>
      <c r="M346" s="21" t="n"/>
      <c r="N346" s="21" t="n"/>
      <c r="O346" s="21" t="n"/>
      <c r="P346" s="21" t="n"/>
      <c r="Q346" s="21" t="n"/>
    </row>
    <row r="347">
      <c r="A347" s="21" t="n"/>
      <c r="B347" s="21" t="n"/>
      <c r="C347" s="21" t="n"/>
      <c r="D347" s="21" t="n"/>
      <c r="E347" s="22" t="n"/>
      <c r="F347" s="23" t="n"/>
      <c r="G347" s="24">
        <f>IF(AND(ISNUMBER(F347),ISNUMBER(E347)),EDATE(F347,E347),"")</f>
        <v/>
      </c>
      <c r="H347" s="22" t="n"/>
      <c r="I347" s="24">
        <f>IF(ISNUMBER(G347),G347-IF(ISNUMBER(H347),H347,30),"")</f>
        <v/>
      </c>
      <c r="J347" s="25">
        <f>IF(G347="","",IF(ISNUMBER(G347),G347-TODAY(),"Check date"))</f>
        <v/>
      </c>
      <c r="K347" s="26">
        <f>IF(J347="","",IF(ISNUMBER(J347),IF(J347&lt;0,"Expired",IF(J347&lt;=30,"Due ≤30 days",IF(J347&lt;=90,"Due ≤90 days","OK"))),"Check date"))</f>
        <v/>
      </c>
      <c r="L347" s="21" t="n"/>
      <c r="M347" s="21" t="n"/>
      <c r="N347" s="21" t="n"/>
      <c r="O347" s="21" t="n"/>
      <c r="P347" s="21" t="n"/>
      <c r="Q347" s="21" t="n"/>
    </row>
    <row r="348">
      <c r="A348" s="21" t="n"/>
      <c r="B348" s="21" t="n"/>
      <c r="C348" s="21" t="n"/>
      <c r="D348" s="21" t="n"/>
      <c r="E348" s="22" t="n"/>
      <c r="F348" s="23" t="n"/>
      <c r="G348" s="24">
        <f>IF(AND(ISNUMBER(F348),ISNUMBER(E348)),EDATE(F348,E348),"")</f>
        <v/>
      </c>
      <c r="H348" s="22" t="n"/>
      <c r="I348" s="24">
        <f>IF(ISNUMBER(G348),G348-IF(ISNUMBER(H348),H348,30),"")</f>
        <v/>
      </c>
      <c r="J348" s="25">
        <f>IF(G348="","",IF(ISNUMBER(G348),G348-TODAY(),"Check date"))</f>
        <v/>
      </c>
      <c r="K348" s="26">
        <f>IF(J348="","",IF(ISNUMBER(J348),IF(J348&lt;0,"Expired",IF(J348&lt;=30,"Due ≤30 days",IF(J348&lt;=90,"Due ≤90 days","OK"))),"Check date"))</f>
        <v/>
      </c>
      <c r="L348" s="21" t="n"/>
      <c r="M348" s="21" t="n"/>
      <c r="N348" s="21" t="n"/>
      <c r="O348" s="21" t="n"/>
      <c r="P348" s="21" t="n"/>
      <c r="Q348" s="21" t="n"/>
    </row>
    <row r="349">
      <c r="A349" s="21" t="n"/>
      <c r="B349" s="21" t="n"/>
      <c r="C349" s="21" t="n"/>
      <c r="D349" s="21" t="n"/>
      <c r="E349" s="22" t="n"/>
      <c r="F349" s="23" t="n"/>
      <c r="G349" s="24">
        <f>IF(AND(ISNUMBER(F349),ISNUMBER(E349)),EDATE(F349,E349),"")</f>
        <v/>
      </c>
      <c r="H349" s="22" t="n"/>
      <c r="I349" s="24">
        <f>IF(ISNUMBER(G349),G349-IF(ISNUMBER(H349),H349,30),"")</f>
        <v/>
      </c>
      <c r="J349" s="25">
        <f>IF(G349="","",IF(ISNUMBER(G349),G349-TODAY(),"Check date"))</f>
        <v/>
      </c>
      <c r="K349" s="26">
        <f>IF(J349="","",IF(ISNUMBER(J349),IF(J349&lt;0,"Expired",IF(J349&lt;=30,"Due ≤30 days",IF(J349&lt;=90,"Due ≤90 days","OK"))),"Check date"))</f>
        <v/>
      </c>
      <c r="L349" s="21" t="n"/>
      <c r="M349" s="21" t="n"/>
      <c r="N349" s="21" t="n"/>
      <c r="O349" s="21" t="n"/>
      <c r="P349" s="21" t="n"/>
      <c r="Q349" s="21" t="n"/>
    </row>
    <row r="350">
      <c r="A350" s="21" t="n"/>
      <c r="B350" s="21" t="n"/>
      <c r="C350" s="21" t="n"/>
      <c r="D350" s="21" t="n"/>
      <c r="E350" s="22" t="n"/>
      <c r="F350" s="23" t="n"/>
      <c r="G350" s="24">
        <f>IF(AND(ISNUMBER(F350),ISNUMBER(E350)),EDATE(F350,E350),"")</f>
        <v/>
      </c>
      <c r="H350" s="22" t="n"/>
      <c r="I350" s="24">
        <f>IF(ISNUMBER(G350),G350-IF(ISNUMBER(H350),H350,30),"")</f>
        <v/>
      </c>
      <c r="J350" s="25">
        <f>IF(G350="","",IF(ISNUMBER(G350),G350-TODAY(),"Check date"))</f>
        <v/>
      </c>
      <c r="K350" s="26">
        <f>IF(J350="","",IF(ISNUMBER(J350),IF(J350&lt;0,"Expired",IF(J350&lt;=30,"Due ≤30 days",IF(J350&lt;=90,"Due ≤90 days","OK"))),"Check date"))</f>
        <v/>
      </c>
      <c r="L350" s="21" t="n"/>
      <c r="M350" s="21" t="n"/>
      <c r="N350" s="21" t="n"/>
      <c r="O350" s="21" t="n"/>
      <c r="P350" s="21" t="n"/>
      <c r="Q350" s="21" t="n"/>
    </row>
    <row r="351">
      <c r="A351" s="21" t="n"/>
      <c r="B351" s="21" t="n"/>
      <c r="C351" s="21" t="n"/>
      <c r="D351" s="21" t="n"/>
      <c r="E351" s="22" t="n"/>
      <c r="F351" s="23" t="n"/>
      <c r="G351" s="24">
        <f>IF(AND(ISNUMBER(F351),ISNUMBER(E351)),EDATE(F351,E351),"")</f>
        <v/>
      </c>
      <c r="H351" s="22" t="n"/>
      <c r="I351" s="24">
        <f>IF(ISNUMBER(G351),G351-IF(ISNUMBER(H351),H351,30),"")</f>
        <v/>
      </c>
      <c r="J351" s="25">
        <f>IF(G351="","",IF(ISNUMBER(G351),G351-TODAY(),"Check date"))</f>
        <v/>
      </c>
      <c r="K351" s="26">
        <f>IF(J351="","",IF(ISNUMBER(J351),IF(J351&lt;0,"Expired",IF(J351&lt;=30,"Due ≤30 days",IF(J351&lt;=90,"Due ≤90 days","OK"))),"Check date"))</f>
        <v/>
      </c>
      <c r="L351" s="21" t="n"/>
      <c r="M351" s="21" t="n"/>
      <c r="N351" s="21" t="n"/>
      <c r="O351" s="21" t="n"/>
      <c r="P351" s="21" t="n"/>
      <c r="Q351" s="21" t="n"/>
    </row>
    <row r="352">
      <c r="A352" s="21" t="n"/>
      <c r="B352" s="21" t="n"/>
      <c r="C352" s="21" t="n"/>
      <c r="D352" s="21" t="n"/>
      <c r="E352" s="22" t="n"/>
      <c r="F352" s="23" t="n"/>
      <c r="G352" s="24">
        <f>IF(AND(ISNUMBER(F352),ISNUMBER(E352)),EDATE(F352,E352),"")</f>
        <v/>
      </c>
      <c r="H352" s="22" t="n"/>
      <c r="I352" s="24">
        <f>IF(ISNUMBER(G352),G352-IF(ISNUMBER(H352),H352,30),"")</f>
        <v/>
      </c>
      <c r="J352" s="25">
        <f>IF(G352="","",IF(ISNUMBER(G352),G352-TODAY(),"Check date"))</f>
        <v/>
      </c>
      <c r="K352" s="26">
        <f>IF(J352="","",IF(ISNUMBER(J352),IF(J352&lt;0,"Expired",IF(J352&lt;=30,"Due ≤30 days",IF(J352&lt;=90,"Due ≤90 days","OK"))),"Check date"))</f>
        <v/>
      </c>
      <c r="L352" s="21" t="n"/>
      <c r="M352" s="21" t="n"/>
      <c r="N352" s="21" t="n"/>
      <c r="O352" s="21" t="n"/>
      <c r="P352" s="21" t="n"/>
      <c r="Q352" s="21" t="n"/>
    </row>
    <row r="353">
      <c r="A353" s="21" t="n"/>
      <c r="B353" s="21" t="n"/>
      <c r="C353" s="21" t="n"/>
      <c r="D353" s="21" t="n"/>
      <c r="E353" s="22" t="n"/>
      <c r="F353" s="23" t="n"/>
      <c r="G353" s="24">
        <f>IF(AND(ISNUMBER(F353),ISNUMBER(E353)),EDATE(F353,E353),"")</f>
        <v/>
      </c>
      <c r="H353" s="22" t="n"/>
      <c r="I353" s="24">
        <f>IF(ISNUMBER(G353),G353-IF(ISNUMBER(H353),H353,30),"")</f>
        <v/>
      </c>
      <c r="J353" s="25">
        <f>IF(G353="","",IF(ISNUMBER(G353),G353-TODAY(),"Check date"))</f>
        <v/>
      </c>
      <c r="K353" s="26">
        <f>IF(J353="","",IF(ISNUMBER(J353),IF(J353&lt;0,"Expired",IF(J353&lt;=30,"Due ≤30 days",IF(J353&lt;=90,"Due ≤90 days","OK"))),"Check date"))</f>
        <v/>
      </c>
      <c r="L353" s="21" t="n"/>
      <c r="M353" s="21" t="n"/>
      <c r="N353" s="21" t="n"/>
      <c r="O353" s="21" t="n"/>
      <c r="P353" s="21" t="n"/>
      <c r="Q353" s="21" t="n"/>
    </row>
    <row r="354">
      <c r="A354" s="21" t="n"/>
      <c r="B354" s="21" t="n"/>
      <c r="C354" s="21" t="n"/>
      <c r="D354" s="21" t="n"/>
      <c r="E354" s="22" t="n"/>
      <c r="F354" s="23" t="n"/>
      <c r="G354" s="24">
        <f>IF(AND(ISNUMBER(F354),ISNUMBER(E354)),EDATE(F354,E354),"")</f>
        <v/>
      </c>
      <c r="H354" s="22" t="n"/>
      <c r="I354" s="24">
        <f>IF(ISNUMBER(G354),G354-IF(ISNUMBER(H354),H354,30),"")</f>
        <v/>
      </c>
      <c r="J354" s="25">
        <f>IF(G354="","",IF(ISNUMBER(G354),G354-TODAY(),"Check date"))</f>
        <v/>
      </c>
      <c r="K354" s="26">
        <f>IF(J354="","",IF(ISNUMBER(J354),IF(J354&lt;0,"Expired",IF(J354&lt;=30,"Due ≤30 days",IF(J354&lt;=90,"Due ≤90 days","OK"))),"Check date"))</f>
        <v/>
      </c>
      <c r="L354" s="21" t="n"/>
      <c r="M354" s="21" t="n"/>
      <c r="N354" s="21" t="n"/>
      <c r="O354" s="21" t="n"/>
      <c r="P354" s="21" t="n"/>
      <c r="Q354" s="21" t="n"/>
    </row>
    <row r="355">
      <c r="A355" s="21" t="n"/>
      <c r="B355" s="21" t="n"/>
      <c r="C355" s="21" t="n"/>
      <c r="D355" s="21" t="n"/>
      <c r="E355" s="22" t="n"/>
      <c r="F355" s="23" t="n"/>
      <c r="G355" s="24">
        <f>IF(AND(ISNUMBER(F355),ISNUMBER(E355)),EDATE(F355,E355),"")</f>
        <v/>
      </c>
      <c r="H355" s="22" t="n"/>
      <c r="I355" s="24">
        <f>IF(ISNUMBER(G355),G355-IF(ISNUMBER(H355),H355,30),"")</f>
        <v/>
      </c>
      <c r="J355" s="25">
        <f>IF(G355="","",IF(ISNUMBER(G355),G355-TODAY(),"Check date"))</f>
        <v/>
      </c>
      <c r="K355" s="26">
        <f>IF(J355="","",IF(ISNUMBER(J355),IF(J355&lt;0,"Expired",IF(J355&lt;=30,"Due ≤30 days",IF(J355&lt;=90,"Due ≤90 days","OK"))),"Check date"))</f>
        <v/>
      </c>
      <c r="L355" s="21" t="n"/>
      <c r="M355" s="21" t="n"/>
      <c r="N355" s="21" t="n"/>
      <c r="O355" s="21" t="n"/>
      <c r="P355" s="21" t="n"/>
      <c r="Q355" s="21" t="n"/>
    </row>
    <row r="356">
      <c r="A356" s="21" t="n"/>
      <c r="B356" s="21" t="n"/>
      <c r="C356" s="21" t="n"/>
      <c r="D356" s="21" t="n"/>
      <c r="E356" s="22" t="n"/>
      <c r="F356" s="23" t="n"/>
      <c r="G356" s="24">
        <f>IF(AND(ISNUMBER(F356),ISNUMBER(E356)),EDATE(F356,E356),"")</f>
        <v/>
      </c>
      <c r="H356" s="22" t="n"/>
      <c r="I356" s="24">
        <f>IF(ISNUMBER(G356),G356-IF(ISNUMBER(H356),H356,30),"")</f>
        <v/>
      </c>
      <c r="J356" s="25">
        <f>IF(G356="","",IF(ISNUMBER(G356),G356-TODAY(),"Check date"))</f>
        <v/>
      </c>
      <c r="K356" s="26">
        <f>IF(J356="","",IF(ISNUMBER(J356),IF(J356&lt;0,"Expired",IF(J356&lt;=30,"Due ≤30 days",IF(J356&lt;=90,"Due ≤90 days","OK"))),"Check date"))</f>
        <v/>
      </c>
      <c r="L356" s="21" t="n"/>
      <c r="M356" s="21" t="n"/>
      <c r="N356" s="21" t="n"/>
      <c r="O356" s="21" t="n"/>
      <c r="P356" s="21" t="n"/>
      <c r="Q356" s="21" t="n"/>
    </row>
    <row r="357">
      <c r="A357" s="21" t="n"/>
      <c r="B357" s="21" t="n"/>
      <c r="C357" s="21" t="n"/>
      <c r="D357" s="21" t="n"/>
      <c r="E357" s="22" t="n"/>
      <c r="F357" s="23" t="n"/>
      <c r="G357" s="24">
        <f>IF(AND(ISNUMBER(F357),ISNUMBER(E357)),EDATE(F357,E357),"")</f>
        <v/>
      </c>
      <c r="H357" s="22" t="n"/>
      <c r="I357" s="24">
        <f>IF(ISNUMBER(G357),G357-IF(ISNUMBER(H357),H357,30),"")</f>
        <v/>
      </c>
      <c r="J357" s="25">
        <f>IF(G357="","",IF(ISNUMBER(G357),G357-TODAY(),"Check date"))</f>
        <v/>
      </c>
      <c r="K357" s="26">
        <f>IF(J357="","",IF(ISNUMBER(J357),IF(J357&lt;0,"Expired",IF(J357&lt;=30,"Due ≤30 days",IF(J357&lt;=90,"Due ≤90 days","OK"))),"Check date"))</f>
        <v/>
      </c>
      <c r="L357" s="21" t="n"/>
      <c r="M357" s="21" t="n"/>
      <c r="N357" s="21" t="n"/>
      <c r="O357" s="21" t="n"/>
      <c r="P357" s="21" t="n"/>
      <c r="Q357" s="21" t="n"/>
    </row>
    <row r="358">
      <c r="A358" s="21" t="n"/>
      <c r="B358" s="21" t="n"/>
      <c r="C358" s="21" t="n"/>
      <c r="D358" s="21" t="n"/>
      <c r="E358" s="22" t="n"/>
      <c r="F358" s="23" t="n"/>
      <c r="G358" s="24">
        <f>IF(AND(ISNUMBER(F358),ISNUMBER(E358)),EDATE(F358,E358),"")</f>
        <v/>
      </c>
      <c r="H358" s="22" t="n"/>
      <c r="I358" s="24">
        <f>IF(ISNUMBER(G358),G358-IF(ISNUMBER(H358),H358,30),"")</f>
        <v/>
      </c>
      <c r="J358" s="25">
        <f>IF(G358="","",IF(ISNUMBER(G358),G358-TODAY(),"Check date"))</f>
        <v/>
      </c>
      <c r="K358" s="26">
        <f>IF(J358="","",IF(ISNUMBER(J358),IF(J358&lt;0,"Expired",IF(J358&lt;=30,"Due ≤30 days",IF(J358&lt;=90,"Due ≤90 days","OK"))),"Check date"))</f>
        <v/>
      </c>
      <c r="L358" s="21" t="n"/>
      <c r="M358" s="21" t="n"/>
      <c r="N358" s="21" t="n"/>
      <c r="O358" s="21" t="n"/>
      <c r="P358" s="21" t="n"/>
      <c r="Q358" s="21" t="n"/>
    </row>
    <row r="359">
      <c r="A359" s="21" t="n"/>
      <c r="B359" s="21" t="n"/>
      <c r="C359" s="21" t="n"/>
      <c r="D359" s="21" t="n"/>
      <c r="E359" s="22" t="n"/>
      <c r="F359" s="23" t="n"/>
      <c r="G359" s="24">
        <f>IF(AND(ISNUMBER(F359),ISNUMBER(E359)),EDATE(F359,E359),"")</f>
        <v/>
      </c>
      <c r="H359" s="22" t="n"/>
      <c r="I359" s="24">
        <f>IF(ISNUMBER(G359),G359-IF(ISNUMBER(H359),H359,30),"")</f>
        <v/>
      </c>
      <c r="J359" s="25">
        <f>IF(G359="","",IF(ISNUMBER(G359),G359-TODAY(),"Check date"))</f>
        <v/>
      </c>
      <c r="K359" s="26">
        <f>IF(J359="","",IF(ISNUMBER(J359),IF(J359&lt;0,"Expired",IF(J359&lt;=30,"Due ≤30 days",IF(J359&lt;=90,"Due ≤90 days","OK"))),"Check date"))</f>
        <v/>
      </c>
      <c r="L359" s="21" t="n"/>
      <c r="M359" s="21" t="n"/>
      <c r="N359" s="21" t="n"/>
      <c r="O359" s="21" t="n"/>
      <c r="P359" s="21" t="n"/>
      <c r="Q359" s="21" t="n"/>
    </row>
    <row r="360">
      <c r="A360" s="21" t="n"/>
      <c r="B360" s="21" t="n"/>
      <c r="C360" s="21" t="n"/>
      <c r="D360" s="21" t="n"/>
      <c r="E360" s="22" t="n"/>
      <c r="F360" s="23" t="n"/>
      <c r="G360" s="24">
        <f>IF(AND(ISNUMBER(F360),ISNUMBER(E360)),EDATE(F360,E360),"")</f>
        <v/>
      </c>
      <c r="H360" s="22" t="n"/>
      <c r="I360" s="24">
        <f>IF(ISNUMBER(G360),G360-IF(ISNUMBER(H360),H360,30),"")</f>
        <v/>
      </c>
      <c r="J360" s="25">
        <f>IF(G360="","",IF(ISNUMBER(G360),G360-TODAY(),"Check date"))</f>
        <v/>
      </c>
      <c r="K360" s="26">
        <f>IF(J360="","",IF(ISNUMBER(J360),IF(J360&lt;0,"Expired",IF(J360&lt;=30,"Due ≤30 days",IF(J360&lt;=90,"Due ≤90 days","OK"))),"Check date"))</f>
        <v/>
      </c>
      <c r="L360" s="21" t="n"/>
      <c r="M360" s="21" t="n"/>
      <c r="N360" s="21" t="n"/>
      <c r="O360" s="21" t="n"/>
      <c r="P360" s="21" t="n"/>
      <c r="Q360" s="21" t="n"/>
    </row>
    <row r="361">
      <c r="A361" s="21" t="n"/>
      <c r="B361" s="21" t="n"/>
      <c r="C361" s="21" t="n"/>
      <c r="D361" s="21" t="n"/>
      <c r="E361" s="22" t="n"/>
      <c r="F361" s="23" t="n"/>
      <c r="G361" s="24">
        <f>IF(AND(ISNUMBER(F361),ISNUMBER(E361)),EDATE(F361,E361),"")</f>
        <v/>
      </c>
      <c r="H361" s="22" t="n"/>
      <c r="I361" s="24">
        <f>IF(ISNUMBER(G361),G361-IF(ISNUMBER(H361),H361,30),"")</f>
        <v/>
      </c>
      <c r="J361" s="25">
        <f>IF(G361="","",IF(ISNUMBER(G361),G361-TODAY(),"Check date"))</f>
        <v/>
      </c>
      <c r="K361" s="26">
        <f>IF(J361="","",IF(ISNUMBER(J361),IF(J361&lt;0,"Expired",IF(J361&lt;=30,"Due ≤30 days",IF(J361&lt;=90,"Due ≤90 days","OK"))),"Check date"))</f>
        <v/>
      </c>
      <c r="L361" s="21" t="n"/>
      <c r="M361" s="21" t="n"/>
      <c r="N361" s="21" t="n"/>
      <c r="O361" s="21" t="n"/>
      <c r="P361" s="21" t="n"/>
      <c r="Q361" s="21" t="n"/>
    </row>
    <row r="362">
      <c r="A362" s="21" t="n"/>
      <c r="B362" s="21" t="n"/>
      <c r="C362" s="21" t="n"/>
      <c r="D362" s="21" t="n"/>
      <c r="E362" s="22" t="n"/>
      <c r="F362" s="23" t="n"/>
      <c r="G362" s="24">
        <f>IF(AND(ISNUMBER(F362),ISNUMBER(E362)),EDATE(F362,E362),"")</f>
        <v/>
      </c>
      <c r="H362" s="22" t="n"/>
      <c r="I362" s="24">
        <f>IF(ISNUMBER(G362),G362-IF(ISNUMBER(H362),H362,30),"")</f>
        <v/>
      </c>
      <c r="J362" s="25">
        <f>IF(G362="","",IF(ISNUMBER(G362),G362-TODAY(),"Check date"))</f>
        <v/>
      </c>
      <c r="K362" s="26">
        <f>IF(J362="","",IF(ISNUMBER(J362),IF(J362&lt;0,"Expired",IF(J362&lt;=30,"Due ≤30 days",IF(J362&lt;=90,"Due ≤90 days","OK"))),"Check date"))</f>
        <v/>
      </c>
      <c r="L362" s="21" t="n"/>
      <c r="M362" s="21" t="n"/>
      <c r="N362" s="21" t="n"/>
      <c r="O362" s="21" t="n"/>
      <c r="P362" s="21" t="n"/>
      <c r="Q362" s="21" t="n"/>
    </row>
    <row r="363">
      <c r="A363" s="21" t="n"/>
      <c r="B363" s="21" t="n"/>
      <c r="C363" s="21" t="n"/>
      <c r="D363" s="21" t="n"/>
      <c r="E363" s="22" t="n"/>
      <c r="F363" s="23" t="n"/>
      <c r="G363" s="24">
        <f>IF(AND(ISNUMBER(F363),ISNUMBER(E363)),EDATE(F363,E363),"")</f>
        <v/>
      </c>
      <c r="H363" s="22" t="n"/>
      <c r="I363" s="24">
        <f>IF(ISNUMBER(G363),G363-IF(ISNUMBER(H363),H363,30),"")</f>
        <v/>
      </c>
      <c r="J363" s="25">
        <f>IF(G363="","",IF(ISNUMBER(G363),G363-TODAY(),"Check date"))</f>
        <v/>
      </c>
      <c r="K363" s="26">
        <f>IF(J363="","",IF(ISNUMBER(J363),IF(J363&lt;0,"Expired",IF(J363&lt;=30,"Due ≤30 days",IF(J363&lt;=90,"Due ≤90 days","OK"))),"Check date"))</f>
        <v/>
      </c>
      <c r="L363" s="21" t="n"/>
      <c r="M363" s="21" t="n"/>
      <c r="N363" s="21" t="n"/>
      <c r="O363" s="21" t="n"/>
      <c r="P363" s="21" t="n"/>
      <c r="Q363" s="21" t="n"/>
    </row>
    <row r="364">
      <c r="A364" s="21" t="n"/>
      <c r="B364" s="21" t="n"/>
      <c r="C364" s="21" t="n"/>
      <c r="D364" s="21" t="n"/>
      <c r="E364" s="22" t="n"/>
      <c r="F364" s="23" t="n"/>
      <c r="G364" s="24">
        <f>IF(AND(ISNUMBER(F364),ISNUMBER(E364)),EDATE(F364,E364),"")</f>
        <v/>
      </c>
      <c r="H364" s="22" t="n"/>
      <c r="I364" s="24">
        <f>IF(ISNUMBER(G364),G364-IF(ISNUMBER(H364),H364,30),"")</f>
        <v/>
      </c>
      <c r="J364" s="25">
        <f>IF(G364="","",IF(ISNUMBER(G364),G364-TODAY(),"Check date"))</f>
        <v/>
      </c>
      <c r="K364" s="26">
        <f>IF(J364="","",IF(ISNUMBER(J364),IF(J364&lt;0,"Expired",IF(J364&lt;=30,"Due ≤30 days",IF(J364&lt;=90,"Due ≤90 days","OK"))),"Check date"))</f>
        <v/>
      </c>
      <c r="L364" s="21" t="n"/>
      <c r="M364" s="21" t="n"/>
      <c r="N364" s="21" t="n"/>
      <c r="O364" s="21" t="n"/>
      <c r="P364" s="21" t="n"/>
      <c r="Q364" s="21" t="n"/>
    </row>
    <row r="365">
      <c r="A365" s="21" t="n"/>
      <c r="B365" s="21" t="n"/>
      <c r="C365" s="21" t="n"/>
      <c r="D365" s="21" t="n"/>
      <c r="E365" s="22" t="n"/>
      <c r="F365" s="23" t="n"/>
      <c r="G365" s="24">
        <f>IF(AND(ISNUMBER(F365),ISNUMBER(E365)),EDATE(F365,E365),"")</f>
        <v/>
      </c>
      <c r="H365" s="22" t="n"/>
      <c r="I365" s="24">
        <f>IF(ISNUMBER(G365),G365-IF(ISNUMBER(H365),H365,30),"")</f>
        <v/>
      </c>
      <c r="J365" s="25">
        <f>IF(G365="","",IF(ISNUMBER(G365),G365-TODAY(),"Check date"))</f>
        <v/>
      </c>
      <c r="K365" s="26">
        <f>IF(J365="","",IF(ISNUMBER(J365),IF(J365&lt;0,"Expired",IF(J365&lt;=30,"Due ≤30 days",IF(J365&lt;=90,"Due ≤90 days","OK"))),"Check date"))</f>
        <v/>
      </c>
      <c r="L365" s="21" t="n"/>
      <c r="M365" s="21" t="n"/>
      <c r="N365" s="21" t="n"/>
      <c r="O365" s="21" t="n"/>
      <c r="P365" s="21" t="n"/>
      <c r="Q365" s="21" t="n"/>
    </row>
    <row r="366">
      <c r="A366" s="21" t="n"/>
      <c r="B366" s="21" t="n"/>
      <c r="C366" s="21" t="n"/>
      <c r="D366" s="21" t="n"/>
      <c r="E366" s="22" t="n"/>
      <c r="F366" s="23" t="n"/>
      <c r="G366" s="24">
        <f>IF(AND(ISNUMBER(F366),ISNUMBER(E366)),EDATE(F366,E366),"")</f>
        <v/>
      </c>
      <c r="H366" s="22" t="n"/>
      <c r="I366" s="24">
        <f>IF(ISNUMBER(G366),G366-IF(ISNUMBER(H366),H366,30),"")</f>
        <v/>
      </c>
      <c r="J366" s="25">
        <f>IF(G366="","",IF(ISNUMBER(G366),G366-TODAY(),"Check date"))</f>
        <v/>
      </c>
      <c r="K366" s="26">
        <f>IF(J366="","",IF(ISNUMBER(J366),IF(J366&lt;0,"Expired",IF(J366&lt;=30,"Due ≤30 days",IF(J366&lt;=90,"Due ≤90 days","OK"))),"Check date"))</f>
        <v/>
      </c>
      <c r="L366" s="21" t="n"/>
      <c r="M366" s="21" t="n"/>
      <c r="N366" s="21" t="n"/>
      <c r="O366" s="21" t="n"/>
      <c r="P366" s="21" t="n"/>
      <c r="Q366" s="21" t="n"/>
    </row>
    <row r="367">
      <c r="A367" s="21" t="n"/>
      <c r="B367" s="21" t="n"/>
      <c r="C367" s="21" t="n"/>
      <c r="D367" s="21" t="n"/>
      <c r="E367" s="22" t="n"/>
      <c r="F367" s="23" t="n"/>
      <c r="G367" s="24">
        <f>IF(AND(ISNUMBER(F367),ISNUMBER(E367)),EDATE(F367,E367),"")</f>
        <v/>
      </c>
      <c r="H367" s="22" t="n"/>
      <c r="I367" s="24">
        <f>IF(ISNUMBER(G367),G367-IF(ISNUMBER(H367),H367,30),"")</f>
        <v/>
      </c>
      <c r="J367" s="25">
        <f>IF(G367="","",IF(ISNUMBER(G367),G367-TODAY(),"Check date"))</f>
        <v/>
      </c>
      <c r="K367" s="26">
        <f>IF(J367="","",IF(ISNUMBER(J367),IF(J367&lt;0,"Expired",IF(J367&lt;=30,"Due ≤30 days",IF(J367&lt;=90,"Due ≤90 days","OK"))),"Check date"))</f>
        <v/>
      </c>
      <c r="L367" s="21" t="n"/>
      <c r="M367" s="21" t="n"/>
      <c r="N367" s="21" t="n"/>
      <c r="O367" s="21" t="n"/>
      <c r="P367" s="21" t="n"/>
      <c r="Q367" s="21" t="n"/>
    </row>
    <row r="368">
      <c r="A368" s="21" t="n"/>
      <c r="B368" s="21" t="n"/>
      <c r="C368" s="21" t="n"/>
      <c r="D368" s="21" t="n"/>
      <c r="E368" s="22" t="n"/>
      <c r="F368" s="23" t="n"/>
      <c r="G368" s="24">
        <f>IF(AND(ISNUMBER(F368),ISNUMBER(E368)),EDATE(F368,E368),"")</f>
        <v/>
      </c>
      <c r="H368" s="22" t="n"/>
      <c r="I368" s="24">
        <f>IF(ISNUMBER(G368),G368-IF(ISNUMBER(H368),H368,30),"")</f>
        <v/>
      </c>
      <c r="J368" s="25">
        <f>IF(G368="","",IF(ISNUMBER(G368),G368-TODAY(),"Check date"))</f>
        <v/>
      </c>
      <c r="K368" s="26">
        <f>IF(J368="","",IF(ISNUMBER(J368),IF(J368&lt;0,"Expired",IF(J368&lt;=30,"Due ≤30 days",IF(J368&lt;=90,"Due ≤90 days","OK"))),"Check date"))</f>
        <v/>
      </c>
      <c r="L368" s="21" t="n"/>
      <c r="M368" s="21" t="n"/>
      <c r="N368" s="21" t="n"/>
      <c r="O368" s="21" t="n"/>
      <c r="P368" s="21" t="n"/>
      <c r="Q368" s="21" t="n"/>
    </row>
    <row r="369">
      <c r="A369" s="21" t="n"/>
      <c r="B369" s="21" t="n"/>
      <c r="C369" s="21" t="n"/>
      <c r="D369" s="21" t="n"/>
      <c r="E369" s="22" t="n"/>
      <c r="F369" s="23" t="n"/>
      <c r="G369" s="24">
        <f>IF(AND(ISNUMBER(F369),ISNUMBER(E369)),EDATE(F369,E369),"")</f>
        <v/>
      </c>
      <c r="H369" s="22" t="n"/>
      <c r="I369" s="24">
        <f>IF(ISNUMBER(G369),G369-IF(ISNUMBER(H369),H369,30),"")</f>
        <v/>
      </c>
      <c r="J369" s="25">
        <f>IF(G369="","",IF(ISNUMBER(G369),G369-TODAY(),"Check date"))</f>
        <v/>
      </c>
      <c r="K369" s="26">
        <f>IF(J369="","",IF(ISNUMBER(J369),IF(J369&lt;0,"Expired",IF(J369&lt;=30,"Due ≤30 days",IF(J369&lt;=90,"Due ≤90 days","OK"))),"Check date"))</f>
        <v/>
      </c>
      <c r="L369" s="21" t="n"/>
      <c r="M369" s="21" t="n"/>
      <c r="N369" s="21" t="n"/>
      <c r="O369" s="21" t="n"/>
      <c r="P369" s="21" t="n"/>
      <c r="Q369" s="21" t="n"/>
    </row>
    <row r="370">
      <c r="A370" s="21" t="n"/>
      <c r="B370" s="21" t="n"/>
      <c r="C370" s="21" t="n"/>
      <c r="D370" s="21" t="n"/>
      <c r="E370" s="22" t="n"/>
      <c r="F370" s="23" t="n"/>
      <c r="G370" s="24">
        <f>IF(AND(ISNUMBER(F370),ISNUMBER(E370)),EDATE(F370,E370),"")</f>
        <v/>
      </c>
      <c r="H370" s="22" t="n"/>
      <c r="I370" s="24">
        <f>IF(ISNUMBER(G370),G370-IF(ISNUMBER(H370),H370,30),"")</f>
        <v/>
      </c>
      <c r="J370" s="25">
        <f>IF(G370="","",IF(ISNUMBER(G370),G370-TODAY(),"Check date"))</f>
        <v/>
      </c>
      <c r="K370" s="26">
        <f>IF(J370="","",IF(ISNUMBER(J370),IF(J370&lt;0,"Expired",IF(J370&lt;=30,"Due ≤30 days",IF(J370&lt;=90,"Due ≤90 days","OK"))),"Check date"))</f>
        <v/>
      </c>
      <c r="L370" s="21" t="n"/>
      <c r="M370" s="21" t="n"/>
      <c r="N370" s="21" t="n"/>
      <c r="O370" s="21" t="n"/>
      <c r="P370" s="21" t="n"/>
      <c r="Q370" s="21" t="n"/>
    </row>
    <row r="371">
      <c r="A371" s="21" t="n"/>
      <c r="B371" s="21" t="n"/>
      <c r="C371" s="21" t="n"/>
      <c r="D371" s="21" t="n"/>
      <c r="E371" s="22" t="n"/>
      <c r="F371" s="23" t="n"/>
      <c r="G371" s="24">
        <f>IF(AND(ISNUMBER(F371),ISNUMBER(E371)),EDATE(F371,E371),"")</f>
        <v/>
      </c>
      <c r="H371" s="22" t="n"/>
      <c r="I371" s="24">
        <f>IF(ISNUMBER(G371),G371-IF(ISNUMBER(H371),H371,30),"")</f>
        <v/>
      </c>
      <c r="J371" s="25">
        <f>IF(G371="","",IF(ISNUMBER(G371),G371-TODAY(),"Check date"))</f>
        <v/>
      </c>
      <c r="K371" s="26">
        <f>IF(J371="","",IF(ISNUMBER(J371),IF(J371&lt;0,"Expired",IF(J371&lt;=30,"Due ≤30 days",IF(J371&lt;=90,"Due ≤90 days","OK"))),"Check date"))</f>
        <v/>
      </c>
      <c r="L371" s="21" t="n"/>
      <c r="M371" s="21" t="n"/>
      <c r="N371" s="21" t="n"/>
      <c r="O371" s="21" t="n"/>
      <c r="P371" s="21" t="n"/>
      <c r="Q371" s="21" t="n"/>
    </row>
    <row r="372">
      <c r="A372" s="21" t="n"/>
      <c r="B372" s="21" t="n"/>
      <c r="C372" s="21" t="n"/>
      <c r="D372" s="21" t="n"/>
      <c r="E372" s="22" t="n"/>
      <c r="F372" s="23" t="n"/>
      <c r="G372" s="24">
        <f>IF(AND(ISNUMBER(F372),ISNUMBER(E372)),EDATE(F372,E372),"")</f>
        <v/>
      </c>
      <c r="H372" s="22" t="n"/>
      <c r="I372" s="24">
        <f>IF(ISNUMBER(G372),G372-IF(ISNUMBER(H372),H372,30),"")</f>
        <v/>
      </c>
      <c r="J372" s="25">
        <f>IF(G372="","",IF(ISNUMBER(G372),G372-TODAY(),"Check date"))</f>
        <v/>
      </c>
      <c r="K372" s="26">
        <f>IF(J372="","",IF(ISNUMBER(J372),IF(J372&lt;0,"Expired",IF(J372&lt;=30,"Due ≤30 days",IF(J372&lt;=90,"Due ≤90 days","OK"))),"Check date"))</f>
        <v/>
      </c>
      <c r="L372" s="21" t="n"/>
      <c r="M372" s="21" t="n"/>
      <c r="N372" s="21" t="n"/>
      <c r="O372" s="21" t="n"/>
      <c r="P372" s="21" t="n"/>
      <c r="Q372" s="21" t="n"/>
    </row>
    <row r="373">
      <c r="A373" s="21" t="n"/>
      <c r="B373" s="21" t="n"/>
      <c r="C373" s="21" t="n"/>
      <c r="D373" s="21" t="n"/>
      <c r="E373" s="22" t="n"/>
      <c r="F373" s="23" t="n"/>
      <c r="G373" s="24">
        <f>IF(AND(ISNUMBER(F373),ISNUMBER(E373)),EDATE(F373,E373),"")</f>
        <v/>
      </c>
      <c r="H373" s="22" t="n"/>
      <c r="I373" s="24">
        <f>IF(ISNUMBER(G373),G373-IF(ISNUMBER(H373),H373,30),"")</f>
        <v/>
      </c>
      <c r="J373" s="25">
        <f>IF(G373="","",IF(ISNUMBER(G373),G373-TODAY(),"Check date"))</f>
        <v/>
      </c>
      <c r="K373" s="26">
        <f>IF(J373="","",IF(ISNUMBER(J373),IF(J373&lt;0,"Expired",IF(J373&lt;=30,"Due ≤30 days",IF(J373&lt;=90,"Due ≤90 days","OK"))),"Check date"))</f>
        <v/>
      </c>
      <c r="L373" s="21" t="n"/>
      <c r="M373" s="21" t="n"/>
      <c r="N373" s="21" t="n"/>
      <c r="O373" s="21" t="n"/>
      <c r="P373" s="21" t="n"/>
      <c r="Q373" s="21" t="n"/>
    </row>
    <row r="374">
      <c r="A374" s="21" t="n"/>
      <c r="B374" s="21" t="n"/>
      <c r="C374" s="21" t="n"/>
      <c r="D374" s="21" t="n"/>
      <c r="E374" s="22" t="n"/>
      <c r="F374" s="23" t="n"/>
      <c r="G374" s="24">
        <f>IF(AND(ISNUMBER(F374),ISNUMBER(E374)),EDATE(F374,E374),"")</f>
        <v/>
      </c>
      <c r="H374" s="22" t="n"/>
      <c r="I374" s="24">
        <f>IF(ISNUMBER(G374),G374-IF(ISNUMBER(H374),H374,30),"")</f>
        <v/>
      </c>
      <c r="J374" s="25">
        <f>IF(G374="","",IF(ISNUMBER(G374),G374-TODAY(),"Check date"))</f>
        <v/>
      </c>
      <c r="K374" s="26">
        <f>IF(J374="","",IF(ISNUMBER(J374),IF(J374&lt;0,"Expired",IF(J374&lt;=30,"Due ≤30 days",IF(J374&lt;=90,"Due ≤90 days","OK"))),"Check date"))</f>
        <v/>
      </c>
      <c r="L374" s="21" t="n"/>
      <c r="M374" s="21" t="n"/>
      <c r="N374" s="21" t="n"/>
      <c r="O374" s="21" t="n"/>
      <c r="P374" s="21" t="n"/>
      <c r="Q374" s="21" t="n"/>
    </row>
    <row r="375">
      <c r="A375" s="21" t="n"/>
      <c r="B375" s="21" t="n"/>
      <c r="C375" s="21" t="n"/>
      <c r="D375" s="21" t="n"/>
      <c r="E375" s="22" t="n"/>
      <c r="F375" s="23" t="n"/>
      <c r="G375" s="24">
        <f>IF(AND(ISNUMBER(F375),ISNUMBER(E375)),EDATE(F375,E375),"")</f>
        <v/>
      </c>
      <c r="H375" s="22" t="n"/>
      <c r="I375" s="24">
        <f>IF(ISNUMBER(G375),G375-IF(ISNUMBER(H375),H375,30),"")</f>
        <v/>
      </c>
      <c r="J375" s="25">
        <f>IF(G375="","",IF(ISNUMBER(G375),G375-TODAY(),"Check date"))</f>
        <v/>
      </c>
      <c r="K375" s="26">
        <f>IF(J375="","",IF(ISNUMBER(J375),IF(J375&lt;0,"Expired",IF(J375&lt;=30,"Due ≤30 days",IF(J375&lt;=90,"Due ≤90 days","OK"))),"Check date"))</f>
        <v/>
      </c>
      <c r="L375" s="21" t="n"/>
      <c r="M375" s="21" t="n"/>
      <c r="N375" s="21" t="n"/>
      <c r="O375" s="21" t="n"/>
      <c r="P375" s="21" t="n"/>
      <c r="Q375" s="21" t="n"/>
    </row>
    <row r="376">
      <c r="A376" s="21" t="n"/>
      <c r="B376" s="21" t="n"/>
      <c r="C376" s="21" t="n"/>
      <c r="D376" s="21" t="n"/>
      <c r="E376" s="22" t="n"/>
      <c r="F376" s="23" t="n"/>
      <c r="G376" s="24">
        <f>IF(AND(ISNUMBER(F376),ISNUMBER(E376)),EDATE(F376,E376),"")</f>
        <v/>
      </c>
      <c r="H376" s="22" t="n"/>
      <c r="I376" s="24">
        <f>IF(ISNUMBER(G376),G376-IF(ISNUMBER(H376),H376,30),"")</f>
        <v/>
      </c>
      <c r="J376" s="25">
        <f>IF(G376="","",IF(ISNUMBER(G376),G376-TODAY(),"Check date"))</f>
        <v/>
      </c>
      <c r="K376" s="26">
        <f>IF(J376="","",IF(ISNUMBER(J376),IF(J376&lt;0,"Expired",IF(J376&lt;=30,"Due ≤30 days",IF(J376&lt;=90,"Due ≤90 days","OK"))),"Check date"))</f>
        <v/>
      </c>
      <c r="L376" s="21" t="n"/>
      <c r="M376" s="21" t="n"/>
      <c r="N376" s="21" t="n"/>
      <c r="O376" s="21" t="n"/>
      <c r="P376" s="21" t="n"/>
      <c r="Q376" s="21" t="n"/>
    </row>
    <row r="377">
      <c r="A377" s="21" t="n"/>
      <c r="B377" s="21" t="n"/>
      <c r="C377" s="21" t="n"/>
      <c r="D377" s="21" t="n"/>
      <c r="E377" s="22" t="n"/>
      <c r="F377" s="23" t="n"/>
      <c r="G377" s="24">
        <f>IF(AND(ISNUMBER(F377),ISNUMBER(E377)),EDATE(F377,E377),"")</f>
        <v/>
      </c>
      <c r="H377" s="22" t="n"/>
      <c r="I377" s="24">
        <f>IF(ISNUMBER(G377),G377-IF(ISNUMBER(H377),H377,30),"")</f>
        <v/>
      </c>
      <c r="J377" s="25">
        <f>IF(G377="","",IF(ISNUMBER(G377),G377-TODAY(),"Check date"))</f>
        <v/>
      </c>
      <c r="K377" s="26">
        <f>IF(J377="","",IF(ISNUMBER(J377),IF(J377&lt;0,"Expired",IF(J377&lt;=30,"Due ≤30 days",IF(J377&lt;=90,"Due ≤90 days","OK"))),"Check date"))</f>
        <v/>
      </c>
      <c r="L377" s="21" t="n"/>
      <c r="M377" s="21" t="n"/>
      <c r="N377" s="21" t="n"/>
      <c r="O377" s="21" t="n"/>
      <c r="P377" s="21" t="n"/>
      <c r="Q377" s="21" t="n"/>
    </row>
    <row r="378">
      <c r="A378" s="21" t="n"/>
      <c r="B378" s="21" t="n"/>
      <c r="C378" s="21" t="n"/>
      <c r="D378" s="21" t="n"/>
      <c r="E378" s="22" t="n"/>
      <c r="F378" s="23" t="n"/>
      <c r="G378" s="24">
        <f>IF(AND(ISNUMBER(F378),ISNUMBER(E378)),EDATE(F378,E378),"")</f>
        <v/>
      </c>
      <c r="H378" s="22" t="n"/>
      <c r="I378" s="24">
        <f>IF(ISNUMBER(G378),G378-IF(ISNUMBER(H378),H378,30),"")</f>
        <v/>
      </c>
      <c r="J378" s="25">
        <f>IF(G378="","",IF(ISNUMBER(G378),G378-TODAY(),"Check date"))</f>
        <v/>
      </c>
      <c r="K378" s="26">
        <f>IF(J378="","",IF(ISNUMBER(J378),IF(J378&lt;0,"Expired",IF(J378&lt;=30,"Due ≤30 days",IF(J378&lt;=90,"Due ≤90 days","OK"))),"Check date"))</f>
        <v/>
      </c>
      <c r="L378" s="21" t="n"/>
      <c r="M378" s="21" t="n"/>
      <c r="N378" s="21" t="n"/>
      <c r="O378" s="21" t="n"/>
      <c r="P378" s="21" t="n"/>
      <c r="Q378" s="21" t="n"/>
    </row>
    <row r="379">
      <c r="A379" s="21" t="n"/>
      <c r="B379" s="21" t="n"/>
      <c r="C379" s="21" t="n"/>
      <c r="D379" s="21" t="n"/>
      <c r="E379" s="22" t="n"/>
      <c r="F379" s="23" t="n"/>
      <c r="G379" s="24">
        <f>IF(AND(ISNUMBER(F379),ISNUMBER(E379)),EDATE(F379,E379),"")</f>
        <v/>
      </c>
      <c r="H379" s="22" t="n"/>
      <c r="I379" s="24">
        <f>IF(ISNUMBER(G379),G379-IF(ISNUMBER(H379),H379,30),"")</f>
        <v/>
      </c>
      <c r="J379" s="25">
        <f>IF(G379="","",IF(ISNUMBER(G379),G379-TODAY(),"Check date"))</f>
        <v/>
      </c>
      <c r="K379" s="26">
        <f>IF(J379="","",IF(ISNUMBER(J379),IF(J379&lt;0,"Expired",IF(J379&lt;=30,"Due ≤30 days",IF(J379&lt;=90,"Due ≤90 days","OK"))),"Check date"))</f>
        <v/>
      </c>
      <c r="L379" s="21" t="n"/>
      <c r="M379" s="21" t="n"/>
      <c r="N379" s="21" t="n"/>
      <c r="O379" s="21" t="n"/>
      <c r="P379" s="21" t="n"/>
      <c r="Q379" s="21" t="n"/>
    </row>
    <row r="380">
      <c r="A380" s="21" t="n"/>
      <c r="B380" s="21" t="n"/>
      <c r="C380" s="21" t="n"/>
      <c r="D380" s="21" t="n"/>
      <c r="E380" s="22" t="n"/>
      <c r="F380" s="23" t="n"/>
      <c r="G380" s="24">
        <f>IF(AND(ISNUMBER(F380),ISNUMBER(E380)),EDATE(F380,E380),"")</f>
        <v/>
      </c>
      <c r="H380" s="22" t="n"/>
      <c r="I380" s="24">
        <f>IF(ISNUMBER(G380),G380-IF(ISNUMBER(H380),H380,30),"")</f>
        <v/>
      </c>
      <c r="J380" s="25">
        <f>IF(G380="","",IF(ISNUMBER(G380),G380-TODAY(),"Check date"))</f>
        <v/>
      </c>
      <c r="K380" s="26">
        <f>IF(J380="","",IF(ISNUMBER(J380),IF(J380&lt;0,"Expired",IF(J380&lt;=30,"Due ≤30 days",IF(J380&lt;=90,"Due ≤90 days","OK"))),"Check date"))</f>
        <v/>
      </c>
      <c r="L380" s="21" t="n"/>
      <c r="M380" s="21" t="n"/>
      <c r="N380" s="21" t="n"/>
      <c r="O380" s="21" t="n"/>
      <c r="P380" s="21" t="n"/>
      <c r="Q380" s="21" t="n"/>
    </row>
    <row r="381">
      <c r="A381" s="21" t="n"/>
      <c r="B381" s="21" t="n"/>
      <c r="C381" s="21" t="n"/>
      <c r="D381" s="21" t="n"/>
      <c r="E381" s="22" t="n"/>
      <c r="F381" s="23" t="n"/>
      <c r="G381" s="24">
        <f>IF(AND(ISNUMBER(F381),ISNUMBER(E381)),EDATE(F381,E381),"")</f>
        <v/>
      </c>
      <c r="H381" s="22" t="n"/>
      <c r="I381" s="24">
        <f>IF(ISNUMBER(G381),G381-IF(ISNUMBER(H381),H381,30),"")</f>
        <v/>
      </c>
      <c r="J381" s="25">
        <f>IF(G381="","",IF(ISNUMBER(G381),G381-TODAY(),"Check date"))</f>
        <v/>
      </c>
      <c r="K381" s="26">
        <f>IF(J381="","",IF(ISNUMBER(J381),IF(J381&lt;0,"Expired",IF(J381&lt;=30,"Due ≤30 days",IF(J381&lt;=90,"Due ≤90 days","OK"))),"Check date"))</f>
        <v/>
      </c>
      <c r="L381" s="21" t="n"/>
      <c r="M381" s="21" t="n"/>
      <c r="N381" s="21" t="n"/>
      <c r="O381" s="21" t="n"/>
      <c r="P381" s="21" t="n"/>
      <c r="Q381" s="21" t="n"/>
    </row>
    <row r="382">
      <c r="A382" s="21" t="n"/>
      <c r="B382" s="21" t="n"/>
      <c r="C382" s="21" t="n"/>
      <c r="D382" s="21" t="n"/>
      <c r="E382" s="22" t="n"/>
      <c r="F382" s="23" t="n"/>
      <c r="G382" s="24">
        <f>IF(AND(ISNUMBER(F382),ISNUMBER(E382)),EDATE(F382,E382),"")</f>
        <v/>
      </c>
      <c r="H382" s="22" t="n"/>
      <c r="I382" s="24">
        <f>IF(ISNUMBER(G382),G382-IF(ISNUMBER(H382),H382,30),"")</f>
        <v/>
      </c>
      <c r="J382" s="25">
        <f>IF(G382="","",IF(ISNUMBER(G382),G382-TODAY(),"Check date"))</f>
        <v/>
      </c>
      <c r="K382" s="26">
        <f>IF(J382="","",IF(ISNUMBER(J382),IF(J382&lt;0,"Expired",IF(J382&lt;=30,"Due ≤30 days",IF(J382&lt;=90,"Due ≤90 days","OK"))),"Check date"))</f>
        <v/>
      </c>
      <c r="L382" s="21" t="n"/>
      <c r="M382" s="21" t="n"/>
      <c r="N382" s="21" t="n"/>
      <c r="O382" s="21" t="n"/>
      <c r="P382" s="21" t="n"/>
      <c r="Q382" s="21" t="n"/>
    </row>
    <row r="383">
      <c r="A383" s="21" t="n"/>
      <c r="B383" s="21" t="n"/>
      <c r="C383" s="21" t="n"/>
      <c r="D383" s="21" t="n"/>
      <c r="E383" s="22" t="n"/>
      <c r="F383" s="23" t="n"/>
      <c r="G383" s="24">
        <f>IF(AND(ISNUMBER(F383),ISNUMBER(E383)),EDATE(F383,E383),"")</f>
        <v/>
      </c>
      <c r="H383" s="22" t="n"/>
      <c r="I383" s="24">
        <f>IF(ISNUMBER(G383),G383-IF(ISNUMBER(H383),H383,30),"")</f>
        <v/>
      </c>
      <c r="J383" s="25">
        <f>IF(G383="","",IF(ISNUMBER(G383),G383-TODAY(),"Check date"))</f>
        <v/>
      </c>
      <c r="K383" s="26">
        <f>IF(J383="","",IF(ISNUMBER(J383),IF(J383&lt;0,"Expired",IF(J383&lt;=30,"Due ≤30 days",IF(J383&lt;=90,"Due ≤90 days","OK"))),"Check date"))</f>
        <v/>
      </c>
      <c r="L383" s="21" t="n"/>
      <c r="M383" s="21" t="n"/>
      <c r="N383" s="21" t="n"/>
      <c r="O383" s="21" t="n"/>
      <c r="P383" s="21" t="n"/>
      <c r="Q383" s="21" t="n"/>
    </row>
    <row r="384">
      <c r="A384" s="21" t="n"/>
      <c r="B384" s="21" t="n"/>
      <c r="C384" s="21" t="n"/>
      <c r="D384" s="21" t="n"/>
      <c r="E384" s="22" t="n"/>
      <c r="F384" s="23" t="n"/>
      <c r="G384" s="24">
        <f>IF(AND(ISNUMBER(F384),ISNUMBER(E384)),EDATE(F384,E384),"")</f>
        <v/>
      </c>
      <c r="H384" s="22" t="n"/>
      <c r="I384" s="24">
        <f>IF(ISNUMBER(G384),G384-IF(ISNUMBER(H384),H384,30),"")</f>
        <v/>
      </c>
      <c r="J384" s="25">
        <f>IF(G384="","",IF(ISNUMBER(G384),G384-TODAY(),"Check date"))</f>
        <v/>
      </c>
      <c r="K384" s="26">
        <f>IF(J384="","",IF(ISNUMBER(J384),IF(J384&lt;0,"Expired",IF(J384&lt;=30,"Due ≤30 days",IF(J384&lt;=90,"Due ≤90 days","OK"))),"Check date"))</f>
        <v/>
      </c>
      <c r="L384" s="21" t="n"/>
      <c r="M384" s="21" t="n"/>
      <c r="N384" s="21" t="n"/>
      <c r="O384" s="21" t="n"/>
      <c r="P384" s="21" t="n"/>
      <c r="Q384" s="21" t="n"/>
    </row>
    <row r="385">
      <c r="A385" s="21" t="n"/>
      <c r="B385" s="21" t="n"/>
      <c r="C385" s="21" t="n"/>
      <c r="D385" s="21" t="n"/>
      <c r="E385" s="22" t="n"/>
      <c r="F385" s="23" t="n"/>
      <c r="G385" s="24">
        <f>IF(AND(ISNUMBER(F385),ISNUMBER(E385)),EDATE(F385,E385),"")</f>
        <v/>
      </c>
      <c r="H385" s="22" t="n"/>
      <c r="I385" s="24">
        <f>IF(ISNUMBER(G385),G385-IF(ISNUMBER(H385),H385,30),"")</f>
        <v/>
      </c>
      <c r="J385" s="25">
        <f>IF(G385="","",IF(ISNUMBER(G385),G385-TODAY(),"Check date"))</f>
        <v/>
      </c>
      <c r="K385" s="26">
        <f>IF(J385="","",IF(ISNUMBER(J385),IF(J385&lt;0,"Expired",IF(J385&lt;=30,"Due ≤30 days",IF(J385&lt;=90,"Due ≤90 days","OK"))),"Check date"))</f>
        <v/>
      </c>
      <c r="L385" s="21" t="n"/>
      <c r="M385" s="21" t="n"/>
      <c r="N385" s="21" t="n"/>
      <c r="O385" s="21" t="n"/>
      <c r="P385" s="21" t="n"/>
      <c r="Q385" s="21" t="n"/>
    </row>
    <row r="386">
      <c r="A386" s="21" t="n"/>
      <c r="B386" s="21" t="n"/>
      <c r="C386" s="21" t="n"/>
      <c r="D386" s="21" t="n"/>
      <c r="E386" s="22" t="n"/>
      <c r="F386" s="23" t="n"/>
      <c r="G386" s="24">
        <f>IF(AND(ISNUMBER(F386),ISNUMBER(E386)),EDATE(F386,E386),"")</f>
        <v/>
      </c>
      <c r="H386" s="22" t="n"/>
      <c r="I386" s="24">
        <f>IF(ISNUMBER(G386),G386-IF(ISNUMBER(H386),H386,30),"")</f>
        <v/>
      </c>
      <c r="J386" s="25">
        <f>IF(G386="","",IF(ISNUMBER(G386),G386-TODAY(),"Check date"))</f>
        <v/>
      </c>
      <c r="K386" s="26">
        <f>IF(J386="","",IF(ISNUMBER(J386),IF(J386&lt;0,"Expired",IF(J386&lt;=30,"Due ≤30 days",IF(J386&lt;=90,"Due ≤90 days","OK"))),"Check date"))</f>
        <v/>
      </c>
      <c r="L386" s="21" t="n"/>
      <c r="M386" s="21" t="n"/>
      <c r="N386" s="21" t="n"/>
      <c r="O386" s="21" t="n"/>
      <c r="P386" s="21" t="n"/>
      <c r="Q386" s="21" t="n"/>
    </row>
    <row r="387">
      <c r="A387" s="21" t="n"/>
      <c r="B387" s="21" t="n"/>
      <c r="C387" s="21" t="n"/>
      <c r="D387" s="21" t="n"/>
      <c r="E387" s="22" t="n"/>
      <c r="F387" s="23" t="n"/>
      <c r="G387" s="24">
        <f>IF(AND(ISNUMBER(F387),ISNUMBER(E387)),EDATE(F387,E387),"")</f>
        <v/>
      </c>
      <c r="H387" s="22" t="n"/>
      <c r="I387" s="24">
        <f>IF(ISNUMBER(G387),G387-IF(ISNUMBER(H387),H387,30),"")</f>
        <v/>
      </c>
      <c r="J387" s="25">
        <f>IF(G387="","",IF(ISNUMBER(G387),G387-TODAY(),"Check date"))</f>
        <v/>
      </c>
      <c r="K387" s="26">
        <f>IF(J387="","",IF(ISNUMBER(J387),IF(J387&lt;0,"Expired",IF(J387&lt;=30,"Due ≤30 days",IF(J387&lt;=90,"Due ≤90 days","OK"))),"Check date"))</f>
        <v/>
      </c>
      <c r="L387" s="21" t="n"/>
      <c r="M387" s="21" t="n"/>
      <c r="N387" s="21" t="n"/>
      <c r="O387" s="21" t="n"/>
      <c r="P387" s="21" t="n"/>
      <c r="Q387" s="21" t="n"/>
    </row>
    <row r="388">
      <c r="A388" s="21" t="n"/>
      <c r="B388" s="21" t="n"/>
      <c r="C388" s="21" t="n"/>
      <c r="D388" s="21" t="n"/>
      <c r="E388" s="22" t="n"/>
      <c r="F388" s="23" t="n"/>
      <c r="G388" s="24">
        <f>IF(AND(ISNUMBER(F388),ISNUMBER(E388)),EDATE(F388,E388),"")</f>
        <v/>
      </c>
      <c r="H388" s="22" t="n"/>
      <c r="I388" s="24">
        <f>IF(ISNUMBER(G388),G388-IF(ISNUMBER(H388),H388,30),"")</f>
        <v/>
      </c>
      <c r="J388" s="25">
        <f>IF(G388="","",IF(ISNUMBER(G388),G388-TODAY(),"Check date"))</f>
        <v/>
      </c>
      <c r="K388" s="26">
        <f>IF(J388="","",IF(ISNUMBER(J388),IF(J388&lt;0,"Expired",IF(J388&lt;=30,"Due ≤30 days",IF(J388&lt;=90,"Due ≤90 days","OK"))),"Check date"))</f>
        <v/>
      </c>
      <c r="L388" s="21" t="n"/>
      <c r="M388" s="21" t="n"/>
      <c r="N388" s="21" t="n"/>
      <c r="O388" s="21" t="n"/>
      <c r="P388" s="21" t="n"/>
      <c r="Q388" s="21" t="n"/>
    </row>
    <row r="389">
      <c r="A389" s="21" t="n"/>
      <c r="B389" s="21" t="n"/>
      <c r="C389" s="21" t="n"/>
      <c r="D389" s="21" t="n"/>
      <c r="E389" s="22" t="n"/>
      <c r="F389" s="23" t="n"/>
      <c r="G389" s="24">
        <f>IF(AND(ISNUMBER(F389),ISNUMBER(E389)),EDATE(F389,E389),"")</f>
        <v/>
      </c>
      <c r="H389" s="22" t="n"/>
      <c r="I389" s="24">
        <f>IF(ISNUMBER(G389),G389-IF(ISNUMBER(H389),H389,30),"")</f>
        <v/>
      </c>
      <c r="J389" s="25">
        <f>IF(G389="","",IF(ISNUMBER(G389),G389-TODAY(),"Check date"))</f>
        <v/>
      </c>
      <c r="K389" s="26">
        <f>IF(J389="","",IF(ISNUMBER(J389),IF(J389&lt;0,"Expired",IF(J389&lt;=30,"Due ≤30 days",IF(J389&lt;=90,"Due ≤90 days","OK"))),"Check date"))</f>
        <v/>
      </c>
      <c r="L389" s="21" t="n"/>
      <c r="M389" s="21" t="n"/>
      <c r="N389" s="21" t="n"/>
      <c r="O389" s="21" t="n"/>
      <c r="P389" s="21" t="n"/>
      <c r="Q389" s="21" t="n"/>
    </row>
    <row r="390">
      <c r="A390" s="21" t="n"/>
      <c r="B390" s="21" t="n"/>
      <c r="C390" s="21" t="n"/>
      <c r="D390" s="21" t="n"/>
      <c r="E390" s="22" t="n"/>
      <c r="F390" s="23" t="n"/>
      <c r="G390" s="24">
        <f>IF(AND(ISNUMBER(F390),ISNUMBER(E390)),EDATE(F390,E390),"")</f>
        <v/>
      </c>
      <c r="H390" s="22" t="n"/>
      <c r="I390" s="24">
        <f>IF(ISNUMBER(G390),G390-IF(ISNUMBER(H390),H390,30),"")</f>
        <v/>
      </c>
      <c r="J390" s="25">
        <f>IF(G390="","",IF(ISNUMBER(G390),G390-TODAY(),"Check date"))</f>
        <v/>
      </c>
      <c r="K390" s="26">
        <f>IF(J390="","",IF(ISNUMBER(J390),IF(J390&lt;0,"Expired",IF(J390&lt;=30,"Due ≤30 days",IF(J390&lt;=90,"Due ≤90 days","OK"))),"Check date"))</f>
        <v/>
      </c>
      <c r="L390" s="21" t="n"/>
      <c r="M390" s="21" t="n"/>
      <c r="N390" s="21" t="n"/>
      <c r="O390" s="21" t="n"/>
      <c r="P390" s="21" t="n"/>
      <c r="Q390" s="21" t="n"/>
    </row>
    <row r="391">
      <c r="A391" s="21" t="n"/>
      <c r="B391" s="21" t="n"/>
      <c r="C391" s="21" t="n"/>
      <c r="D391" s="21" t="n"/>
      <c r="E391" s="22" t="n"/>
      <c r="F391" s="23" t="n"/>
      <c r="G391" s="24">
        <f>IF(AND(ISNUMBER(F391),ISNUMBER(E391)),EDATE(F391,E391),"")</f>
        <v/>
      </c>
      <c r="H391" s="22" t="n"/>
      <c r="I391" s="24">
        <f>IF(ISNUMBER(G391),G391-IF(ISNUMBER(H391),H391,30),"")</f>
        <v/>
      </c>
      <c r="J391" s="25">
        <f>IF(G391="","",IF(ISNUMBER(G391),G391-TODAY(),"Check date"))</f>
        <v/>
      </c>
      <c r="K391" s="26">
        <f>IF(J391="","",IF(ISNUMBER(J391),IF(J391&lt;0,"Expired",IF(J391&lt;=30,"Due ≤30 days",IF(J391&lt;=90,"Due ≤90 days","OK"))),"Check date"))</f>
        <v/>
      </c>
      <c r="L391" s="21" t="n"/>
      <c r="M391" s="21" t="n"/>
      <c r="N391" s="21" t="n"/>
      <c r="O391" s="21" t="n"/>
      <c r="P391" s="21" t="n"/>
      <c r="Q391" s="21" t="n"/>
    </row>
    <row r="392">
      <c r="A392" s="21" t="n"/>
      <c r="B392" s="21" t="n"/>
      <c r="C392" s="21" t="n"/>
      <c r="D392" s="21" t="n"/>
      <c r="E392" s="22" t="n"/>
      <c r="F392" s="23" t="n"/>
      <c r="G392" s="24">
        <f>IF(AND(ISNUMBER(F392),ISNUMBER(E392)),EDATE(F392,E392),"")</f>
        <v/>
      </c>
      <c r="H392" s="22" t="n"/>
      <c r="I392" s="24">
        <f>IF(ISNUMBER(G392),G392-IF(ISNUMBER(H392),H392,30),"")</f>
        <v/>
      </c>
      <c r="J392" s="25">
        <f>IF(G392="","",IF(ISNUMBER(G392),G392-TODAY(),"Check date"))</f>
        <v/>
      </c>
      <c r="K392" s="26">
        <f>IF(J392="","",IF(ISNUMBER(J392),IF(J392&lt;0,"Expired",IF(J392&lt;=30,"Due ≤30 days",IF(J392&lt;=90,"Due ≤90 days","OK"))),"Check date"))</f>
        <v/>
      </c>
      <c r="L392" s="21" t="n"/>
      <c r="M392" s="21" t="n"/>
      <c r="N392" s="21" t="n"/>
      <c r="O392" s="21" t="n"/>
      <c r="P392" s="21" t="n"/>
      <c r="Q392" s="21" t="n"/>
    </row>
    <row r="393">
      <c r="A393" s="21" t="n"/>
      <c r="B393" s="21" t="n"/>
      <c r="C393" s="21" t="n"/>
      <c r="D393" s="21" t="n"/>
      <c r="E393" s="22" t="n"/>
      <c r="F393" s="23" t="n"/>
      <c r="G393" s="24">
        <f>IF(AND(ISNUMBER(F393),ISNUMBER(E393)),EDATE(F393,E393),"")</f>
        <v/>
      </c>
      <c r="H393" s="22" t="n"/>
      <c r="I393" s="24">
        <f>IF(ISNUMBER(G393),G393-IF(ISNUMBER(H393),H393,30),"")</f>
        <v/>
      </c>
      <c r="J393" s="25">
        <f>IF(G393="","",IF(ISNUMBER(G393),G393-TODAY(),"Check date"))</f>
        <v/>
      </c>
      <c r="K393" s="26">
        <f>IF(J393="","",IF(ISNUMBER(J393),IF(J393&lt;0,"Expired",IF(J393&lt;=30,"Due ≤30 days",IF(J393&lt;=90,"Due ≤90 days","OK"))),"Check date"))</f>
        <v/>
      </c>
      <c r="L393" s="21" t="n"/>
      <c r="M393" s="21" t="n"/>
      <c r="N393" s="21" t="n"/>
      <c r="O393" s="21" t="n"/>
      <c r="P393" s="21" t="n"/>
      <c r="Q393" s="21" t="n"/>
    </row>
    <row r="394">
      <c r="A394" s="21" t="n"/>
      <c r="B394" s="21" t="n"/>
      <c r="C394" s="21" t="n"/>
      <c r="D394" s="21" t="n"/>
      <c r="E394" s="22" t="n"/>
      <c r="F394" s="23" t="n"/>
      <c r="G394" s="24">
        <f>IF(AND(ISNUMBER(F394),ISNUMBER(E394)),EDATE(F394,E394),"")</f>
        <v/>
      </c>
      <c r="H394" s="22" t="n"/>
      <c r="I394" s="24">
        <f>IF(ISNUMBER(G394),G394-IF(ISNUMBER(H394),H394,30),"")</f>
        <v/>
      </c>
      <c r="J394" s="25">
        <f>IF(G394="","",IF(ISNUMBER(G394),G394-TODAY(),"Check date"))</f>
        <v/>
      </c>
      <c r="K394" s="26">
        <f>IF(J394="","",IF(ISNUMBER(J394),IF(J394&lt;0,"Expired",IF(J394&lt;=30,"Due ≤30 days",IF(J394&lt;=90,"Due ≤90 days","OK"))),"Check date"))</f>
        <v/>
      </c>
      <c r="L394" s="21" t="n"/>
      <c r="M394" s="21" t="n"/>
      <c r="N394" s="21" t="n"/>
      <c r="O394" s="21" t="n"/>
      <c r="P394" s="21" t="n"/>
      <c r="Q394" s="21" t="n"/>
    </row>
    <row r="395">
      <c r="A395" s="21" t="n"/>
      <c r="B395" s="21" t="n"/>
      <c r="C395" s="21" t="n"/>
      <c r="D395" s="21" t="n"/>
      <c r="E395" s="22" t="n"/>
      <c r="F395" s="23" t="n"/>
      <c r="G395" s="24">
        <f>IF(AND(ISNUMBER(F395),ISNUMBER(E395)),EDATE(F395,E395),"")</f>
        <v/>
      </c>
      <c r="H395" s="22" t="n"/>
      <c r="I395" s="24">
        <f>IF(ISNUMBER(G395),G395-IF(ISNUMBER(H395),H395,30),"")</f>
        <v/>
      </c>
      <c r="J395" s="25">
        <f>IF(G395="","",IF(ISNUMBER(G395),G395-TODAY(),"Check date"))</f>
        <v/>
      </c>
      <c r="K395" s="26">
        <f>IF(J395="","",IF(ISNUMBER(J395),IF(J395&lt;0,"Expired",IF(J395&lt;=30,"Due ≤30 days",IF(J395&lt;=90,"Due ≤90 days","OK"))),"Check date"))</f>
        <v/>
      </c>
      <c r="L395" s="21" t="n"/>
      <c r="M395" s="21" t="n"/>
      <c r="N395" s="21" t="n"/>
      <c r="O395" s="21" t="n"/>
      <c r="P395" s="21" t="n"/>
      <c r="Q395" s="21" t="n"/>
    </row>
    <row r="396">
      <c r="A396" s="21" t="n"/>
      <c r="B396" s="21" t="n"/>
      <c r="C396" s="21" t="n"/>
      <c r="D396" s="21" t="n"/>
      <c r="E396" s="22" t="n"/>
      <c r="F396" s="23" t="n"/>
      <c r="G396" s="24">
        <f>IF(AND(ISNUMBER(F396),ISNUMBER(E396)),EDATE(F396,E396),"")</f>
        <v/>
      </c>
      <c r="H396" s="22" t="n"/>
      <c r="I396" s="24">
        <f>IF(ISNUMBER(G396),G396-IF(ISNUMBER(H396),H396,30),"")</f>
        <v/>
      </c>
      <c r="J396" s="25">
        <f>IF(G396="","",IF(ISNUMBER(G396),G396-TODAY(),"Check date"))</f>
        <v/>
      </c>
      <c r="K396" s="26">
        <f>IF(J396="","",IF(ISNUMBER(J396),IF(J396&lt;0,"Expired",IF(J396&lt;=30,"Due ≤30 days",IF(J396&lt;=90,"Due ≤90 days","OK"))),"Check date"))</f>
        <v/>
      </c>
      <c r="L396" s="21" t="n"/>
      <c r="M396" s="21" t="n"/>
      <c r="N396" s="21" t="n"/>
      <c r="O396" s="21" t="n"/>
      <c r="P396" s="21" t="n"/>
      <c r="Q396" s="21" t="n"/>
    </row>
    <row r="397">
      <c r="A397" s="21" t="n"/>
      <c r="B397" s="21" t="n"/>
      <c r="C397" s="21" t="n"/>
      <c r="D397" s="21" t="n"/>
      <c r="E397" s="22" t="n"/>
      <c r="F397" s="23" t="n"/>
      <c r="G397" s="24">
        <f>IF(AND(ISNUMBER(F397),ISNUMBER(E397)),EDATE(F397,E397),"")</f>
        <v/>
      </c>
      <c r="H397" s="22" t="n"/>
      <c r="I397" s="24">
        <f>IF(ISNUMBER(G397),G397-IF(ISNUMBER(H397),H397,30),"")</f>
        <v/>
      </c>
      <c r="J397" s="25">
        <f>IF(G397="","",IF(ISNUMBER(G397),G397-TODAY(),"Check date"))</f>
        <v/>
      </c>
      <c r="K397" s="26">
        <f>IF(J397="","",IF(ISNUMBER(J397),IF(J397&lt;0,"Expired",IF(J397&lt;=30,"Due ≤30 days",IF(J397&lt;=90,"Due ≤90 days","OK"))),"Check date"))</f>
        <v/>
      </c>
      <c r="L397" s="21" t="n"/>
      <c r="M397" s="21" t="n"/>
      <c r="N397" s="21" t="n"/>
      <c r="O397" s="21" t="n"/>
      <c r="P397" s="21" t="n"/>
      <c r="Q397" s="21" t="n"/>
    </row>
    <row r="398">
      <c r="A398" s="21" t="n"/>
      <c r="B398" s="21" t="n"/>
      <c r="C398" s="21" t="n"/>
      <c r="D398" s="21" t="n"/>
      <c r="E398" s="22" t="n"/>
      <c r="F398" s="23" t="n"/>
      <c r="G398" s="24">
        <f>IF(AND(ISNUMBER(F398),ISNUMBER(E398)),EDATE(F398,E398),"")</f>
        <v/>
      </c>
      <c r="H398" s="22" t="n"/>
      <c r="I398" s="24">
        <f>IF(ISNUMBER(G398),G398-IF(ISNUMBER(H398),H398,30),"")</f>
        <v/>
      </c>
      <c r="J398" s="25">
        <f>IF(G398="","",IF(ISNUMBER(G398),G398-TODAY(),"Check date"))</f>
        <v/>
      </c>
      <c r="K398" s="26">
        <f>IF(J398="","",IF(ISNUMBER(J398),IF(J398&lt;0,"Expired",IF(J398&lt;=30,"Due ≤30 days",IF(J398&lt;=90,"Due ≤90 days","OK"))),"Check date"))</f>
        <v/>
      </c>
      <c r="L398" s="21" t="n"/>
      <c r="M398" s="21" t="n"/>
      <c r="N398" s="21" t="n"/>
      <c r="O398" s="21" t="n"/>
      <c r="P398" s="21" t="n"/>
      <c r="Q398" s="21" t="n"/>
    </row>
    <row r="399">
      <c r="A399" s="21" t="n"/>
      <c r="B399" s="21" t="n"/>
      <c r="C399" s="21" t="n"/>
      <c r="D399" s="21" t="n"/>
      <c r="E399" s="22" t="n"/>
      <c r="F399" s="23" t="n"/>
      <c r="G399" s="24">
        <f>IF(AND(ISNUMBER(F399),ISNUMBER(E399)),EDATE(F399,E399),"")</f>
        <v/>
      </c>
      <c r="H399" s="22" t="n"/>
      <c r="I399" s="24">
        <f>IF(ISNUMBER(G399),G399-IF(ISNUMBER(H399),H399,30),"")</f>
        <v/>
      </c>
      <c r="J399" s="25">
        <f>IF(G399="","",IF(ISNUMBER(G399),G399-TODAY(),"Check date"))</f>
        <v/>
      </c>
      <c r="K399" s="26">
        <f>IF(J399="","",IF(ISNUMBER(J399),IF(J399&lt;0,"Expired",IF(J399&lt;=30,"Due ≤30 days",IF(J399&lt;=90,"Due ≤90 days","OK"))),"Check date"))</f>
        <v/>
      </c>
      <c r="L399" s="21" t="n"/>
      <c r="M399" s="21" t="n"/>
      <c r="N399" s="21" t="n"/>
      <c r="O399" s="21" t="n"/>
      <c r="P399" s="21" t="n"/>
      <c r="Q399" s="21" t="n"/>
    </row>
    <row r="400">
      <c r="A400" s="21" t="n"/>
      <c r="B400" s="21" t="n"/>
      <c r="C400" s="21" t="n"/>
      <c r="D400" s="21" t="n"/>
      <c r="E400" s="22" t="n"/>
      <c r="F400" s="23" t="n"/>
      <c r="G400" s="24">
        <f>IF(AND(ISNUMBER(F400),ISNUMBER(E400)),EDATE(F400,E400),"")</f>
        <v/>
      </c>
      <c r="H400" s="22" t="n"/>
      <c r="I400" s="24">
        <f>IF(ISNUMBER(G400),G400-IF(ISNUMBER(H400),H400,30),"")</f>
        <v/>
      </c>
      <c r="J400" s="25">
        <f>IF(G400="","",IF(ISNUMBER(G400),G400-TODAY(),"Check date"))</f>
        <v/>
      </c>
      <c r="K400" s="26">
        <f>IF(J400="","",IF(ISNUMBER(J400),IF(J400&lt;0,"Expired",IF(J400&lt;=30,"Due ≤30 days",IF(J400&lt;=90,"Due ≤90 days","OK"))),"Check date"))</f>
        <v/>
      </c>
      <c r="L400" s="21" t="n"/>
      <c r="M400" s="21" t="n"/>
      <c r="N400" s="21" t="n"/>
      <c r="O400" s="21" t="n"/>
      <c r="P400" s="21" t="n"/>
      <c r="Q400" s="21" t="n"/>
    </row>
    <row r="401">
      <c r="A401" s="21" t="n"/>
      <c r="B401" s="21" t="n"/>
      <c r="C401" s="21" t="n"/>
      <c r="D401" s="21" t="n"/>
      <c r="E401" s="22" t="n"/>
      <c r="F401" s="23" t="n"/>
      <c r="G401" s="24">
        <f>IF(AND(ISNUMBER(F401),ISNUMBER(E401)),EDATE(F401,E401),"")</f>
        <v/>
      </c>
      <c r="H401" s="22" t="n"/>
      <c r="I401" s="24">
        <f>IF(ISNUMBER(G401),G401-IF(ISNUMBER(H401),H401,30),"")</f>
        <v/>
      </c>
      <c r="J401" s="25">
        <f>IF(G401="","",IF(ISNUMBER(G401),G401-TODAY(),"Check date"))</f>
        <v/>
      </c>
      <c r="K401" s="26">
        <f>IF(J401="","",IF(ISNUMBER(J401),IF(J401&lt;0,"Expired",IF(J401&lt;=30,"Due ≤30 days",IF(J401&lt;=90,"Due ≤90 days","OK"))),"Check date"))</f>
        <v/>
      </c>
      <c r="L401" s="21" t="n"/>
      <c r="M401" s="21" t="n"/>
      <c r="N401" s="21" t="n"/>
      <c r="O401" s="21" t="n"/>
      <c r="P401" s="21" t="n"/>
      <c r="Q401" s="21" t="n"/>
    </row>
    <row r="402">
      <c r="A402" s="21" t="n"/>
      <c r="B402" s="21" t="n"/>
      <c r="C402" s="21" t="n"/>
      <c r="D402" s="21" t="n"/>
      <c r="E402" s="22" t="n"/>
      <c r="F402" s="23" t="n"/>
      <c r="G402" s="24">
        <f>IF(AND(ISNUMBER(F402),ISNUMBER(E402)),EDATE(F402,E402),"")</f>
        <v/>
      </c>
      <c r="H402" s="22" t="n"/>
      <c r="I402" s="24">
        <f>IF(ISNUMBER(G402),G402-IF(ISNUMBER(H402),H402,30),"")</f>
        <v/>
      </c>
      <c r="J402" s="25">
        <f>IF(G402="","",IF(ISNUMBER(G402),G402-TODAY(),"Check date"))</f>
        <v/>
      </c>
      <c r="K402" s="26">
        <f>IF(J402="","",IF(ISNUMBER(J402),IF(J402&lt;0,"Expired",IF(J402&lt;=30,"Due ≤30 days",IF(J402&lt;=90,"Due ≤90 days","OK"))),"Check date"))</f>
        <v/>
      </c>
      <c r="L402" s="21" t="n"/>
      <c r="M402" s="21" t="n"/>
      <c r="N402" s="21" t="n"/>
      <c r="O402" s="21" t="n"/>
      <c r="P402" s="21" t="n"/>
      <c r="Q402" s="21" t="n"/>
    </row>
    <row r="403">
      <c r="A403" s="21" t="n"/>
      <c r="B403" s="21" t="n"/>
      <c r="C403" s="21" t="n"/>
      <c r="D403" s="21" t="n"/>
      <c r="E403" s="22" t="n"/>
      <c r="F403" s="23" t="n"/>
      <c r="G403" s="24">
        <f>IF(AND(ISNUMBER(F403),ISNUMBER(E403)),EDATE(F403,E403),"")</f>
        <v/>
      </c>
      <c r="H403" s="22" t="n"/>
      <c r="I403" s="24">
        <f>IF(ISNUMBER(G403),G403-IF(ISNUMBER(H403),H403,30),"")</f>
        <v/>
      </c>
      <c r="J403" s="25">
        <f>IF(G403="","",IF(ISNUMBER(G403),G403-TODAY(),"Check date"))</f>
        <v/>
      </c>
      <c r="K403" s="26">
        <f>IF(J403="","",IF(ISNUMBER(J403),IF(J403&lt;0,"Expired",IF(J403&lt;=30,"Due ≤30 days",IF(J403&lt;=90,"Due ≤90 days","OK"))),"Check date"))</f>
        <v/>
      </c>
      <c r="L403" s="21" t="n"/>
      <c r="M403" s="21" t="n"/>
      <c r="N403" s="21" t="n"/>
      <c r="O403" s="21" t="n"/>
      <c r="P403" s="21" t="n"/>
      <c r="Q403" s="21" t="n"/>
    </row>
    <row r="404">
      <c r="A404" s="21" t="n"/>
      <c r="B404" s="21" t="n"/>
      <c r="C404" s="21" t="n"/>
      <c r="D404" s="21" t="n"/>
      <c r="E404" s="22" t="n"/>
      <c r="F404" s="23" t="n"/>
      <c r="G404" s="24">
        <f>IF(AND(ISNUMBER(F404),ISNUMBER(E404)),EDATE(F404,E404),"")</f>
        <v/>
      </c>
      <c r="H404" s="22" t="n"/>
      <c r="I404" s="24">
        <f>IF(ISNUMBER(G404),G404-IF(ISNUMBER(H404),H404,30),"")</f>
        <v/>
      </c>
      <c r="J404" s="25">
        <f>IF(G404="","",IF(ISNUMBER(G404),G404-TODAY(),"Check date"))</f>
        <v/>
      </c>
      <c r="K404" s="26">
        <f>IF(J404="","",IF(ISNUMBER(J404),IF(J404&lt;0,"Expired",IF(J404&lt;=30,"Due ≤30 days",IF(J404&lt;=90,"Due ≤90 days","OK"))),"Check date"))</f>
        <v/>
      </c>
      <c r="L404" s="21" t="n"/>
      <c r="M404" s="21" t="n"/>
      <c r="N404" s="21" t="n"/>
      <c r="O404" s="21" t="n"/>
      <c r="P404" s="21" t="n"/>
      <c r="Q404" s="21" t="n"/>
    </row>
    <row r="405">
      <c r="A405" s="21" t="n"/>
      <c r="B405" s="21" t="n"/>
      <c r="C405" s="21" t="n"/>
      <c r="D405" s="21" t="n"/>
      <c r="E405" s="22" t="n"/>
      <c r="F405" s="23" t="n"/>
      <c r="G405" s="24">
        <f>IF(AND(ISNUMBER(F405),ISNUMBER(E405)),EDATE(F405,E405),"")</f>
        <v/>
      </c>
      <c r="H405" s="22" t="n"/>
      <c r="I405" s="24">
        <f>IF(ISNUMBER(G405),G405-IF(ISNUMBER(H405),H405,30),"")</f>
        <v/>
      </c>
      <c r="J405" s="25">
        <f>IF(G405="","",IF(ISNUMBER(G405),G405-TODAY(),"Check date"))</f>
        <v/>
      </c>
      <c r="K405" s="26">
        <f>IF(J405="","",IF(ISNUMBER(J405),IF(J405&lt;0,"Expired",IF(J405&lt;=30,"Due ≤30 days",IF(J405&lt;=90,"Due ≤90 days","OK"))),"Check date"))</f>
        <v/>
      </c>
      <c r="L405" s="21" t="n"/>
      <c r="M405" s="21" t="n"/>
      <c r="N405" s="21" t="n"/>
      <c r="O405" s="21" t="n"/>
      <c r="P405" s="21" t="n"/>
      <c r="Q405" s="21" t="n"/>
    </row>
    <row r="406">
      <c r="A406" s="21" t="n"/>
      <c r="B406" s="21" t="n"/>
      <c r="C406" s="21" t="n"/>
      <c r="D406" s="21" t="n"/>
      <c r="E406" s="22" t="n"/>
      <c r="F406" s="23" t="n"/>
      <c r="G406" s="24">
        <f>IF(AND(ISNUMBER(F406),ISNUMBER(E406)),EDATE(F406,E406),"")</f>
        <v/>
      </c>
      <c r="H406" s="22" t="n"/>
      <c r="I406" s="24">
        <f>IF(ISNUMBER(G406),G406-IF(ISNUMBER(H406),H406,30),"")</f>
        <v/>
      </c>
      <c r="J406" s="25">
        <f>IF(G406="","",IF(ISNUMBER(G406),G406-TODAY(),"Check date"))</f>
        <v/>
      </c>
      <c r="K406" s="26">
        <f>IF(J406="","",IF(ISNUMBER(J406),IF(J406&lt;0,"Expired",IF(J406&lt;=30,"Due ≤30 days",IF(J406&lt;=90,"Due ≤90 days","OK"))),"Check date"))</f>
        <v/>
      </c>
      <c r="L406" s="21" t="n"/>
      <c r="M406" s="21" t="n"/>
      <c r="N406" s="21" t="n"/>
      <c r="O406" s="21" t="n"/>
      <c r="P406" s="21" t="n"/>
      <c r="Q406" s="21" t="n"/>
    </row>
    <row r="407">
      <c r="A407" s="21" t="n"/>
      <c r="B407" s="21" t="n"/>
      <c r="C407" s="21" t="n"/>
      <c r="D407" s="21" t="n"/>
      <c r="E407" s="22" t="n"/>
      <c r="F407" s="23" t="n"/>
      <c r="G407" s="24">
        <f>IF(AND(ISNUMBER(F407),ISNUMBER(E407)),EDATE(F407,E407),"")</f>
        <v/>
      </c>
      <c r="H407" s="22" t="n"/>
      <c r="I407" s="24">
        <f>IF(ISNUMBER(G407),G407-IF(ISNUMBER(H407),H407,30),"")</f>
        <v/>
      </c>
      <c r="J407" s="25">
        <f>IF(G407="","",IF(ISNUMBER(G407),G407-TODAY(),"Check date"))</f>
        <v/>
      </c>
      <c r="K407" s="26">
        <f>IF(J407="","",IF(ISNUMBER(J407),IF(J407&lt;0,"Expired",IF(J407&lt;=30,"Due ≤30 days",IF(J407&lt;=90,"Due ≤90 days","OK"))),"Check date"))</f>
        <v/>
      </c>
      <c r="L407" s="21" t="n"/>
      <c r="M407" s="21" t="n"/>
      <c r="N407" s="21" t="n"/>
      <c r="O407" s="21" t="n"/>
      <c r="P407" s="21" t="n"/>
      <c r="Q407" s="21" t="n"/>
    </row>
    <row r="408">
      <c r="A408" s="21" t="n"/>
      <c r="B408" s="21" t="n"/>
      <c r="C408" s="21" t="n"/>
      <c r="D408" s="21" t="n"/>
      <c r="E408" s="22" t="n"/>
      <c r="F408" s="23" t="n"/>
      <c r="G408" s="24">
        <f>IF(AND(ISNUMBER(F408),ISNUMBER(E408)),EDATE(F408,E408),"")</f>
        <v/>
      </c>
      <c r="H408" s="22" t="n"/>
      <c r="I408" s="24">
        <f>IF(ISNUMBER(G408),G408-IF(ISNUMBER(H408),H408,30),"")</f>
        <v/>
      </c>
      <c r="J408" s="25">
        <f>IF(G408="","",IF(ISNUMBER(G408),G408-TODAY(),"Check date"))</f>
        <v/>
      </c>
      <c r="K408" s="26">
        <f>IF(J408="","",IF(ISNUMBER(J408),IF(J408&lt;0,"Expired",IF(J408&lt;=30,"Due ≤30 days",IF(J408&lt;=90,"Due ≤90 days","OK"))),"Check date"))</f>
        <v/>
      </c>
      <c r="L408" s="21" t="n"/>
      <c r="M408" s="21" t="n"/>
      <c r="N408" s="21" t="n"/>
      <c r="O408" s="21" t="n"/>
      <c r="P408" s="21" t="n"/>
      <c r="Q408" s="21" t="n"/>
    </row>
    <row r="409">
      <c r="A409" s="21" t="n"/>
      <c r="B409" s="21" t="n"/>
      <c r="C409" s="21" t="n"/>
      <c r="D409" s="21" t="n"/>
      <c r="E409" s="22" t="n"/>
      <c r="F409" s="23" t="n"/>
      <c r="G409" s="24">
        <f>IF(AND(ISNUMBER(F409),ISNUMBER(E409)),EDATE(F409,E409),"")</f>
        <v/>
      </c>
      <c r="H409" s="22" t="n"/>
      <c r="I409" s="24">
        <f>IF(ISNUMBER(G409),G409-IF(ISNUMBER(H409),H409,30),"")</f>
        <v/>
      </c>
      <c r="J409" s="25">
        <f>IF(G409="","",IF(ISNUMBER(G409),G409-TODAY(),"Check date"))</f>
        <v/>
      </c>
      <c r="K409" s="26">
        <f>IF(J409="","",IF(ISNUMBER(J409),IF(J409&lt;0,"Expired",IF(J409&lt;=30,"Due ≤30 days",IF(J409&lt;=90,"Due ≤90 days","OK"))),"Check date"))</f>
        <v/>
      </c>
      <c r="L409" s="21" t="n"/>
      <c r="M409" s="21" t="n"/>
      <c r="N409" s="21" t="n"/>
      <c r="O409" s="21" t="n"/>
      <c r="P409" s="21" t="n"/>
      <c r="Q409" s="21" t="n"/>
    </row>
    <row r="410">
      <c r="A410" s="21" t="n"/>
      <c r="B410" s="21" t="n"/>
      <c r="C410" s="21" t="n"/>
      <c r="D410" s="21" t="n"/>
      <c r="E410" s="22" t="n"/>
      <c r="F410" s="23" t="n"/>
      <c r="G410" s="24">
        <f>IF(AND(ISNUMBER(F410),ISNUMBER(E410)),EDATE(F410,E410),"")</f>
        <v/>
      </c>
      <c r="H410" s="22" t="n"/>
      <c r="I410" s="24">
        <f>IF(ISNUMBER(G410),G410-IF(ISNUMBER(H410),H410,30),"")</f>
        <v/>
      </c>
      <c r="J410" s="25">
        <f>IF(G410="","",IF(ISNUMBER(G410),G410-TODAY(),"Check date"))</f>
        <v/>
      </c>
      <c r="K410" s="26">
        <f>IF(J410="","",IF(ISNUMBER(J410),IF(J410&lt;0,"Expired",IF(J410&lt;=30,"Due ≤30 days",IF(J410&lt;=90,"Due ≤90 days","OK"))),"Check date"))</f>
        <v/>
      </c>
      <c r="L410" s="21" t="n"/>
      <c r="M410" s="21" t="n"/>
      <c r="N410" s="21" t="n"/>
      <c r="O410" s="21" t="n"/>
      <c r="P410" s="21" t="n"/>
      <c r="Q410" s="21" t="n"/>
    </row>
    <row r="411">
      <c r="A411" s="21" t="n"/>
      <c r="B411" s="21" t="n"/>
      <c r="C411" s="21" t="n"/>
      <c r="D411" s="21" t="n"/>
      <c r="E411" s="22" t="n"/>
      <c r="F411" s="23" t="n"/>
      <c r="G411" s="24">
        <f>IF(AND(ISNUMBER(F411),ISNUMBER(E411)),EDATE(F411,E411),"")</f>
        <v/>
      </c>
      <c r="H411" s="22" t="n"/>
      <c r="I411" s="24">
        <f>IF(ISNUMBER(G411),G411-IF(ISNUMBER(H411),H411,30),"")</f>
        <v/>
      </c>
      <c r="J411" s="25">
        <f>IF(G411="","",IF(ISNUMBER(G411),G411-TODAY(),"Check date"))</f>
        <v/>
      </c>
      <c r="K411" s="26">
        <f>IF(J411="","",IF(ISNUMBER(J411),IF(J411&lt;0,"Expired",IF(J411&lt;=30,"Due ≤30 days",IF(J411&lt;=90,"Due ≤90 days","OK"))),"Check date"))</f>
        <v/>
      </c>
      <c r="L411" s="21" t="n"/>
      <c r="M411" s="21" t="n"/>
      <c r="N411" s="21" t="n"/>
      <c r="O411" s="21" t="n"/>
      <c r="P411" s="21" t="n"/>
      <c r="Q411" s="21" t="n"/>
    </row>
    <row r="412">
      <c r="A412" s="21" t="n"/>
      <c r="B412" s="21" t="n"/>
      <c r="C412" s="21" t="n"/>
      <c r="D412" s="21" t="n"/>
      <c r="E412" s="22" t="n"/>
      <c r="F412" s="23" t="n"/>
      <c r="G412" s="24">
        <f>IF(AND(ISNUMBER(F412),ISNUMBER(E412)),EDATE(F412,E412),"")</f>
        <v/>
      </c>
      <c r="H412" s="22" t="n"/>
      <c r="I412" s="24">
        <f>IF(ISNUMBER(G412),G412-IF(ISNUMBER(H412),H412,30),"")</f>
        <v/>
      </c>
      <c r="J412" s="25">
        <f>IF(G412="","",IF(ISNUMBER(G412),G412-TODAY(),"Check date"))</f>
        <v/>
      </c>
      <c r="K412" s="26">
        <f>IF(J412="","",IF(ISNUMBER(J412),IF(J412&lt;0,"Expired",IF(J412&lt;=30,"Due ≤30 days",IF(J412&lt;=90,"Due ≤90 days","OK"))),"Check date"))</f>
        <v/>
      </c>
      <c r="L412" s="21" t="n"/>
      <c r="M412" s="21" t="n"/>
      <c r="N412" s="21" t="n"/>
      <c r="O412" s="21" t="n"/>
      <c r="P412" s="21" t="n"/>
      <c r="Q412" s="21" t="n"/>
    </row>
    <row r="413">
      <c r="A413" s="21" t="n"/>
      <c r="B413" s="21" t="n"/>
      <c r="C413" s="21" t="n"/>
      <c r="D413" s="21" t="n"/>
      <c r="E413" s="22" t="n"/>
      <c r="F413" s="23" t="n"/>
      <c r="G413" s="24">
        <f>IF(AND(ISNUMBER(F413),ISNUMBER(E413)),EDATE(F413,E413),"")</f>
        <v/>
      </c>
      <c r="H413" s="22" t="n"/>
      <c r="I413" s="24">
        <f>IF(ISNUMBER(G413),G413-IF(ISNUMBER(H413),H413,30),"")</f>
        <v/>
      </c>
      <c r="J413" s="25">
        <f>IF(G413="","",IF(ISNUMBER(G413),G413-TODAY(),"Check date"))</f>
        <v/>
      </c>
      <c r="K413" s="26">
        <f>IF(J413="","",IF(ISNUMBER(J413),IF(J413&lt;0,"Expired",IF(J413&lt;=30,"Due ≤30 days",IF(J413&lt;=90,"Due ≤90 days","OK"))),"Check date"))</f>
        <v/>
      </c>
      <c r="L413" s="21" t="n"/>
      <c r="M413" s="21" t="n"/>
      <c r="N413" s="21" t="n"/>
      <c r="O413" s="21" t="n"/>
      <c r="P413" s="21" t="n"/>
      <c r="Q413" s="21" t="n"/>
    </row>
    <row r="414">
      <c r="A414" s="21" t="n"/>
      <c r="B414" s="21" t="n"/>
      <c r="C414" s="21" t="n"/>
      <c r="D414" s="21" t="n"/>
      <c r="E414" s="22" t="n"/>
      <c r="F414" s="23" t="n"/>
      <c r="G414" s="24">
        <f>IF(AND(ISNUMBER(F414),ISNUMBER(E414)),EDATE(F414,E414),"")</f>
        <v/>
      </c>
      <c r="H414" s="22" t="n"/>
      <c r="I414" s="24">
        <f>IF(ISNUMBER(G414),G414-IF(ISNUMBER(H414),H414,30),"")</f>
        <v/>
      </c>
      <c r="J414" s="25">
        <f>IF(G414="","",IF(ISNUMBER(G414),G414-TODAY(),"Check date"))</f>
        <v/>
      </c>
      <c r="K414" s="26">
        <f>IF(J414="","",IF(ISNUMBER(J414),IF(J414&lt;0,"Expired",IF(J414&lt;=30,"Due ≤30 days",IF(J414&lt;=90,"Due ≤90 days","OK"))),"Check date"))</f>
        <v/>
      </c>
      <c r="L414" s="21" t="n"/>
      <c r="M414" s="21" t="n"/>
      <c r="N414" s="21" t="n"/>
      <c r="O414" s="21" t="n"/>
      <c r="P414" s="21" t="n"/>
      <c r="Q414" s="21" t="n"/>
    </row>
    <row r="415">
      <c r="A415" s="21" t="n"/>
      <c r="B415" s="21" t="n"/>
      <c r="C415" s="21" t="n"/>
      <c r="D415" s="21" t="n"/>
      <c r="E415" s="22" t="n"/>
      <c r="F415" s="23" t="n"/>
      <c r="G415" s="24">
        <f>IF(AND(ISNUMBER(F415),ISNUMBER(E415)),EDATE(F415,E415),"")</f>
        <v/>
      </c>
      <c r="H415" s="22" t="n"/>
      <c r="I415" s="24">
        <f>IF(ISNUMBER(G415),G415-IF(ISNUMBER(H415),H415,30),"")</f>
        <v/>
      </c>
      <c r="J415" s="25">
        <f>IF(G415="","",IF(ISNUMBER(G415),G415-TODAY(),"Check date"))</f>
        <v/>
      </c>
      <c r="K415" s="26">
        <f>IF(J415="","",IF(ISNUMBER(J415),IF(J415&lt;0,"Expired",IF(J415&lt;=30,"Due ≤30 days",IF(J415&lt;=90,"Due ≤90 days","OK"))),"Check date"))</f>
        <v/>
      </c>
      <c r="L415" s="21" t="n"/>
      <c r="M415" s="21" t="n"/>
      <c r="N415" s="21" t="n"/>
      <c r="O415" s="21" t="n"/>
      <c r="P415" s="21" t="n"/>
      <c r="Q415" s="21" t="n"/>
    </row>
    <row r="416">
      <c r="A416" s="21" t="n"/>
      <c r="B416" s="21" t="n"/>
      <c r="C416" s="21" t="n"/>
      <c r="D416" s="21" t="n"/>
      <c r="E416" s="22" t="n"/>
      <c r="F416" s="23" t="n"/>
      <c r="G416" s="24">
        <f>IF(AND(ISNUMBER(F416),ISNUMBER(E416)),EDATE(F416,E416),"")</f>
        <v/>
      </c>
      <c r="H416" s="22" t="n"/>
      <c r="I416" s="24">
        <f>IF(ISNUMBER(G416),G416-IF(ISNUMBER(H416),H416,30),"")</f>
        <v/>
      </c>
      <c r="J416" s="25">
        <f>IF(G416="","",IF(ISNUMBER(G416),G416-TODAY(),"Check date"))</f>
        <v/>
      </c>
      <c r="K416" s="26">
        <f>IF(J416="","",IF(ISNUMBER(J416),IF(J416&lt;0,"Expired",IF(J416&lt;=30,"Due ≤30 days",IF(J416&lt;=90,"Due ≤90 days","OK"))),"Check date"))</f>
        <v/>
      </c>
      <c r="L416" s="21" t="n"/>
      <c r="M416" s="21" t="n"/>
      <c r="N416" s="21" t="n"/>
      <c r="O416" s="21" t="n"/>
      <c r="P416" s="21" t="n"/>
      <c r="Q416" s="21" t="n"/>
    </row>
    <row r="417">
      <c r="A417" s="21" t="n"/>
      <c r="B417" s="21" t="n"/>
      <c r="C417" s="21" t="n"/>
      <c r="D417" s="21" t="n"/>
      <c r="E417" s="22" t="n"/>
      <c r="F417" s="23" t="n"/>
      <c r="G417" s="24">
        <f>IF(AND(ISNUMBER(F417),ISNUMBER(E417)),EDATE(F417,E417),"")</f>
        <v/>
      </c>
      <c r="H417" s="22" t="n"/>
      <c r="I417" s="24">
        <f>IF(ISNUMBER(G417),G417-IF(ISNUMBER(H417),H417,30),"")</f>
        <v/>
      </c>
      <c r="J417" s="25">
        <f>IF(G417="","",IF(ISNUMBER(G417),G417-TODAY(),"Check date"))</f>
        <v/>
      </c>
      <c r="K417" s="26">
        <f>IF(J417="","",IF(ISNUMBER(J417),IF(J417&lt;0,"Expired",IF(J417&lt;=30,"Due ≤30 days",IF(J417&lt;=90,"Due ≤90 days","OK"))),"Check date"))</f>
        <v/>
      </c>
      <c r="L417" s="21" t="n"/>
      <c r="M417" s="21" t="n"/>
      <c r="N417" s="21" t="n"/>
      <c r="O417" s="21" t="n"/>
      <c r="P417" s="21" t="n"/>
      <c r="Q417" s="21" t="n"/>
    </row>
    <row r="418">
      <c r="A418" s="21" t="n"/>
      <c r="B418" s="21" t="n"/>
      <c r="C418" s="21" t="n"/>
      <c r="D418" s="21" t="n"/>
      <c r="E418" s="22" t="n"/>
      <c r="F418" s="23" t="n"/>
      <c r="G418" s="24">
        <f>IF(AND(ISNUMBER(F418),ISNUMBER(E418)),EDATE(F418,E418),"")</f>
        <v/>
      </c>
      <c r="H418" s="22" t="n"/>
      <c r="I418" s="24">
        <f>IF(ISNUMBER(G418),G418-IF(ISNUMBER(H418),H418,30),"")</f>
        <v/>
      </c>
      <c r="J418" s="25">
        <f>IF(G418="","",IF(ISNUMBER(G418),G418-TODAY(),"Check date"))</f>
        <v/>
      </c>
      <c r="K418" s="26">
        <f>IF(J418="","",IF(ISNUMBER(J418),IF(J418&lt;0,"Expired",IF(J418&lt;=30,"Due ≤30 days",IF(J418&lt;=90,"Due ≤90 days","OK"))),"Check date"))</f>
        <v/>
      </c>
      <c r="L418" s="21" t="n"/>
      <c r="M418" s="21" t="n"/>
      <c r="N418" s="21" t="n"/>
      <c r="O418" s="21" t="n"/>
      <c r="P418" s="21" t="n"/>
      <c r="Q418" s="21" t="n"/>
    </row>
    <row r="419">
      <c r="A419" s="21" t="n"/>
      <c r="B419" s="21" t="n"/>
      <c r="C419" s="21" t="n"/>
      <c r="D419" s="21" t="n"/>
      <c r="E419" s="22" t="n"/>
      <c r="F419" s="23" t="n"/>
      <c r="G419" s="24">
        <f>IF(AND(ISNUMBER(F419),ISNUMBER(E419)),EDATE(F419,E419),"")</f>
        <v/>
      </c>
      <c r="H419" s="22" t="n"/>
      <c r="I419" s="24">
        <f>IF(ISNUMBER(G419),G419-IF(ISNUMBER(H419),H419,30),"")</f>
        <v/>
      </c>
      <c r="J419" s="25">
        <f>IF(G419="","",IF(ISNUMBER(G419),G419-TODAY(),"Check date"))</f>
        <v/>
      </c>
      <c r="K419" s="26">
        <f>IF(J419="","",IF(ISNUMBER(J419),IF(J419&lt;0,"Expired",IF(J419&lt;=30,"Due ≤30 days",IF(J419&lt;=90,"Due ≤90 days","OK"))),"Check date"))</f>
        <v/>
      </c>
      <c r="L419" s="21" t="n"/>
      <c r="M419" s="21" t="n"/>
      <c r="N419" s="21" t="n"/>
      <c r="O419" s="21" t="n"/>
      <c r="P419" s="21" t="n"/>
      <c r="Q419" s="21" t="n"/>
    </row>
    <row r="420">
      <c r="A420" s="21" t="n"/>
      <c r="B420" s="21" t="n"/>
      <c r="C420" s="21" t="n"/>
      <c r="D420" s="21" t="n"/>
      <c r="E420" s="22" t="n"/>
      <c r="F420" s="23" t="n"/>
      <c r="G420" s="24">
        <f>IF(AND(ISNUMBER(F420),ISNUMBER(E420)),EDATE(F420,E420),"")</f>
        <v/>
      </c>
      <c r="H420" s="22" t="n"/>
      <c r="I420" s="24">
        <f>IF(ISNUMBER(G420),G420-IF(ISNUMBER(H420),H420,30),"")</f>
        <v/>
      </c>
      <c r="J420" s="25">
        <f>IF(G420="","",IF(ISNUMBER(G420),G420-TODAY(),"Check date"))</f>
        <v/>
      </c>
      <c r="K420" s="26">
        <f>IF(J420="","",IF(ISNUMBER(J420),IF(J420&lt;0,"Expired",IF(J420&lt;=30,"Due ≤30 days",IF(J420&lt;=90,"Due ≤90 days","OK"))),"Check date"))</f>
        <v/>
      </c>
      <c r="L420" s="21" t="n"/>
      <c r="M420" s="21" t="n"/>
      <c r="N420" s="21" t="n"/>
      <c r="O420" s="21" t="n"/>
      <c r="P420" s="21" t="n"/>
      <c r="Q420" s="21" t="n"/>
    </row>
    <row r="421">
      <c r="A421" s="21" t="n"/>
      <c r="B421" s="21" t="n"/>
      <c r="C421" s="21" t="n"/>
      <c r="D421" s="21" t="n"/>
      <c r="E421" s="22" t="n"/>
      <c r="F421" s="23" t="n"/>
      <c r="G421" s="24">
        <f>IF(AND(ISNUMBER(F421),ISNUMBER(E421)),EDATE(F421,E421),"")</f>
        <v/>
      </c>
      <c r="H421" s="22" t="n"/>
      <c r="I421" s="24">
        <f>IF(ISNUMBER(G421),G421-IF(ISNUMBER(H421),H421,30),"")</f>
        <v/>
      </c>
      <c r="J421" s="25">
        <f>IF(G421="","",IF(ISNUMBER(G421),G421-TODAY(),"Check date"))</f>
        <v/>
      </c>
      <c r="K421" s="26">
        <f>IF(J421="","",IF(ISNUMBER(J421),IF(J421&lt;0,"Expired",IF(J421&lt;=30,"Due ≤30 days",IF(J421&lt;=90,"Due ≤90 days","OK"))),"Check date"))</f>
        <v/>
      </c>
      <c r="L421" s="21" t="n"/>
      <c r="M421" s="21" t="n"/>
      <c r="N421" s="21" t="n"/>
      <c r="O421" s="21" t="n"/>
      <c r="P421" s="21" t="n"/>
      <c r="Q421" s="21" t="n"/>
    </row>
    <row r="422">
      <c r="A422" s="21" t="n"/>
      <c r="B422" s="21" t="n"/>
      <c r="C422" s="21" t="n"/>
      <c r="D422" s="21" t="n"/>
      <c r="E422" s="22" t="n"/>
      <c r="F422" s="23" t="n"/>
      <c r="G422" s="24">
        <f>IF(AND(ISNUMBER(F422),ISNUMBER(E422)),EDATE(F422,E422),"")</f>
        <v/>
      </c>
      <c r="H422" s="22" t="n"/>
      <c r="I422" s="24">
        <f>IF(ISNUMBER(G422),G422-IF(ISNUMBER(H422),H422,30),"")</f>
        <v/>
      </c>
      <c r="J422" s="25">
        <f>IF(G422="","",IF(ISNUMBER(G422),G422-TODAY(),"Check date"))</f>
        <v/>
      </c>
      <c r="K422" s="26">
        <f>IF(J422="","",IF(ISNUMBER(J422),IF(J422&lt;0,"Expired",IF(J422&lt;=30,"Due ≤30 days",IF(J422&lt;=90,"Due ≤90 days","OK"))),"Check date"))</f>
        <v/>
      </c>
      <c r="L422" s="21" t="n"/>
      <c r="M422" s="21" t="n"/>
      <c r="N422" s="21" t="n"/>
      <c r="O422" s="21" t="n"/>
      <c r="P422" s="21" t="n"/>
      <c r="Q422" s="21" t="n"/>
    </row>
    <row r="423">
      <c r="A423" s="21" t="n"/>
      <c r="B423" s="21" t="n"/>
      <c r="C423" s="21" t="n"/>
      <c r="D423" s="21" t="n"/>
      <c r="E423" s="22" t="n"/>
      <c r="F423" s="23" t="n"/>
      <c r="G423" s="24">
        <f>IF(AND(ISNUMBER(F423),ISNUMBER(E423)),EDATE(F423,E423),"")</f>
        <v/>
      </c>
      <c r="H423" s="22" t="n"/>
      <c r="I423" s="24">
        <f>IF(ISNUMBER(G423),G423-IF(ISNUMBER(H423),H423,30),"")</f>
        <v/>
      </c>
      <c r="J423" s="25">
        <f>IF(G423="","",IF(ISNUMBER(G423),G423-TODAY(),"Check date"))</f>
        <v/>
      </c>
      <c r="K423" s="26">
        <f>IF(J423="","",IF(ISNUMBER(J423),IF(J423&lt;0,"Expired",IF(J423&lt;=30,"Due ≤30 days",IF(J423&lt;=90,"Due ≤90 days","OK"))),"Check date"))</f>
        <v/>
      </c>
      <c r="L423" s="21" t="n"/>
      <c r="M423" s="21" t="n"/>
      <c r="N423" s="21" t="n"/>
      <c r="O423" s="21" t="n"/>
      <c r="P423" s="21" t="n"/>
      <c r="Q423" s="21" t="n"/>
    </row>
    <row r="424">
      <c r="A424" s="21" t="n"/>
      <c r="B424" s="21" t="n"/>
      <c r="C424" s="21" t="n"/>
      <c r="D424" s="21" t="n"/>
      <c r="E424" s="22" t="n"/>
      <c r="F424" s="23" t="n"/>
      <c r="G424" s="24">
        <f>IF(AND(ISNUMBER(F424),ISNUMBER(E424)),EDATE(F424,E424),"")</f>
        <v/>
      </c>
      <c r="H424" s="22" t="n"/>
      <c r="I424" s="24">
        <f>IF(ISNUMBER(G424),G424-IF(ISNUMBER(H424),H424,30),"")</f>
        <v/>
      </c>
      <c r="J424" s="25">
        <f>IF(G424="","",IF(ISNUMBER(G424),G424-TODAY(),"Check date"))</f>
        <v/>
      </c>
      <c r="K424" s="26">
        <f>IF(J424="","",IF(ISNUMBER(J424),IF(J424&lt;0,"Expired",IF(J424&lt;=30,"Due ≤30 days",IF(J424&lt;=90,"Due ≤90 days","OK"))),"Check date"))</f>
        <v/>
      </c>
      <c r="L424" s="21" t="n"/>
      <c r="M424" s="21" t="n"/>
      <c r="N424" s="21" t="n"/>
      <c r="O424" s="21" t="n"/>
      <c r="P424" s="21" t="n"/>
      <c r="Q424" s="21" t="n"/>
    </row>
    <row r="425">
      <c r="A425" s="21" t="n"/>
      <c r="B425" s="21" t="n"/>
      <c r="C425" s="21" t="n"/>
      <c r="D425" s="21" t="n"/>
      <c r="E425" s="22" t="n"/>
      <c r="F425" s="23" t="n"/>
      <c r="G425" s="24">
        <f>IF(AND(ISNUMBER(F425),ISNUMBER(E425)),EDATE(F425,E425),"")</f>
        <v/>
      </c>
      <c r="H425" s="22" t="n"/>
      <c r="I425" s="24">
        <f>IF(ISNUMBER(G425),G425-IF(ISNUMBER(H425),H425,30),"")</f>
        <v/>
      </c>
      <c r="J425" s="25">
        <f>IF(G425="","",IF(ISNUMBER(G425),G425-TODAY(),"Check date"))</f>
        <v/>
      </c>
      <c r="K425" s="26">
        <f>IF(J425="","",IF(ISNUMBER(J425),IF(J425&lt;0,"Expired",IF(J425&lt;=30,"Due ≤30 days",IF(J425&lt;=90,"Due ≤90 days","OK"))),"Check date"))</f>
        <v/>
      </c>
      <c r="L425" s="21" t="n"/>
      <c r="M425" s="21" t="n"/>
      <c r="N425" s="21" t="n"/>
      <c r="O425" s="21" t="n"/>
      <c r="P425" s="21" t="n"/>
      <c r="Q425" s="21" t="n"/>
    </row>
    <row r="426">
      <c r="A426" s="21" t="n"/>
      <c r="B426" s="21" t="n"/>
      <c r="C426" s="21" t="n"/>
      <c r="D426" s="21" t="n"/>
      <c r="E426" s="22" t="n"/>
      <c r="F426" s="23" t="n"/>
      <c r="G426" s="24">
        <f>IF(AND(ISNUMBER(F426),ISNUMBER(E426)),EDATE(F426,E426),"")</f>
        <v/>
      </c>
      <c r="H426" s="22" t="n"/>
      <c r="I426" s="24">
        <f>IF(ISNUMBER(G426),G426-IF(ISNUMBER(H426),H426,30),"")</f>
        <v/>
      </c>
      <c r="J426" s="25">
        <f>IF(G426="","",IF(ISNUMBER(G426),G426-TODAY(),"Check date"))</f>
        <v/>
      </c>
      <c r="K426" s="26">
        <f>IF(J426="","",IF(ISNUMBER(J426),IF(J426&lt;0,"Expired",IF(J426&lt;=30,"Due ≤30 days",IF(J426&lt;=90,"Due ≤90 days","OK"))),"Check date"))</f>
        <v/>
      </c>
      <c r="L426" s="21" t="n"/>
      <c r="M426" s="21" t="n"/>
      <c r="N426" s="21" t="n"/>
      <c r="O426" s="21" t="n"/>
      <c r="P426" s="21" t="n"/>
      <c r="Q426" s="21" t="n"/>
    </row>
    <row r="427">
      <c r="A427" s="21" t="n"/>
      <c r="B427" s="21" t="n"/>
      <c r="C427" s="21" t="n"/>
      <c r="D427" s="21" t="n"/>
      <c r="E427" s="22" t="n"/>
      <c r="F427" s="23" t="n"/>
      <c r="G427" s="24">
        <f>IF(AND(ISNUMBER(F427),ISNUMBER(E427)),EDATE(F427,E427),"")</f>
        <v/>
      </c>
      <c r="H427" s="22" t="n"/>
      <c r="I427" s="24">
        <f>IF(ISNUMBER(G427),G427-IF(ISNUMBER(H427),H427,30),"")</f>
        <v/>
      </c>
      <c r="J427" s="25">
        <f>IF(G427="","",IF(ISNUMBER(G427),G427-TODAY(),"Check date"))</f>
        <v/>
      </c>
      <c r="K427" s="26">
        <f>IF(J427="","",IF(ISNUMBER(J427),IF(J427&lt;0,"Expired",IF(J427&lt;=30,"Due ≤30 days",IF(J427&lt;=90,"Due ≤90 days","OK"))),"Check date"))</f>
        <v/>
      </c>
      <c r="L427" s="21" t="n"/>
      <c r="M427" s="21" t="n"/>
      <c r="N427" s="21" t="n"/>
      <c r="O427" s="21" t="n"/>
      <c r="P427" s="21" t="n"/>
      <c r="Q427" s="21" t="n"/>
    </row>
    <row r="428">
      <c r="A428" s="21" t="n"/>
      <c r="B428" s="21" t="n"/>
      <c r="C428" s="21" t="n"/>
      <c r="D428" s="21" t="n"/>
      <c r="E428" s="22" t="n"/>
      <c r="F428" s="23" t="n"/>
      <c r="G428" s="24">
        <f>IF(AND(ISNUMBER(F428),ISNUMBER(E428)),EDATE(F428,E428),"")</f>
        <v/>
      </c>
      <c r="H428" s="22" t="n"/>
      <c r="I428" s="24">
        <f>IF(ISNUMBER(G428),G428-IF(ISNUMBER(H428),H428,30),"")</f>
        <v/>
      </c>
      <c r="J428" s="25">
        <f>IF(G428="","",IF(ISNUMBER(G428),G428-TODAY(),"Check date"))</f>
        <v/>
      </c>
      <c r="K428" s="26">
        <f>IF(J428="","",IF(ISNUMBER(J428),IF(J428&lt;0,"Expired",IF(J428&lt;=30,"Due ≤30 days",IF(J428&lt;=90,"Due ≤90 days","OK"))),"Check date"))</f>
        <v/>
      </c>
      <c r="L428" s="21" t="n"/>
      <c r="M428" s="21" t="n"/>
      <c r="N428" s="21" t="n"/>
      <c r="O428" s="21" t="n"/>
      <c r="P428" s="21" t="n"/>
      <c r="Q428" s="21" t="n"/>
    </row>
    <row r="429">
      <c r="A429" s="21" t="n"/>
      <c r="B429" s="21" t="n"/>
      <c r="C429" s="21" t="n"/>
      <c r="D429" s="21" t="n"/>
      <c r="E429" s="22" t="n"/>
      <c r="F429" s="23" t="n"/>
      <c r="G429" s="24">
        <f>IF(AND(ISNUMBER(F429),ISNUMBER(E429)),EDATE(F429,E429),"")</f>
        <v/>
      </c>
      <c r="H429" s="22" t="n"/>
      <c r="I429" s="24">
        <f>IF(ISNUMBER(G429),G429-IF(ISNUMBER(H429),H429,30),"")</f>
        <v/>
      </c>
      <c r="J429" s="25">
        <f>IF(G429="","",IF(ISNUMBER(G429),G429-TODAY(),"Check date"))</f>
        <v/>
      </c>
      <c r="K429" s="26">
        <f>IF(J429="","",IF(ISNUMBER(J429),IF(J429&lt;0,"Expired",IF(J429&lt;=30,"Due ≤30 days",IF(J429&lt;=90,"Due ≤90 days","OK"))),"Check date"))</f>
        <v/>
      </c>
      <c r="L429" s="21" t="n"/>
      <c r="M429" s="21" t="n"/>
      <c r="N429" s="21" t="n"/>
      <c r="O429" s="21" t="n"/>
      <c r="P429" s="21" t="n"/>
      <c r="Q429" s="21" t="n"/>
    </row>
    <row r="430">
      <c r="A430" s="21" t="n"/>
      <c r="B430" s="21" t="n"/>
      <c r="C430" s="21" t="n"/>
      <c r="D430" s="21" t="n"/>
      <c r="E430" s="22" t="n"/>
      <c r="F430" s="23" t="n"/>
      <c r="G430" s="24">
        <f>IF(AND(ISNUMBER(F430),ISNUMBER(E430)),EDATE(F430,E430),"")</f>
        <v/>
      </c>
      <c r="H430" s="22" t="n"/>
      <c r="I430" s="24">
        <f>IF(ISNUMBER(G430),G430-IF(ISNUMBER(H430),H430,30),"")</f>
        <v/>
      </c>
      <c r="J430" s="25">
        <f>IF(G430="","",IF(ISNUMBER(G430),G430-TODAY(),"Check date"))</f>
        <v/>
      </c>
      <c r="K430" s="26">
        <f>IF(J430="","",IF(ISNUMBER(J430),IF(J430&lt;0,"Expired",IF(J430&lt;=30,"Due ≤30 days",IF(J430&lt;=90,"Due ≤90 days","OK"))),"Check date"))</f>
        <v/>
      </c>
      <c r="L430" s="21" t="n"/>
      <c r="M430" s="21" t="n"/>
      <c r="N430" s="21" t="n"/>
      <c r="O430" s="21" t="n"/>
      <c r="P430" s="21" t="n"/>
      <c r="Q430" s="21" t="n"/>
    </row>
    <row r="431">
      <c r="A431" s="21" t="n"/>
      <c r="B431" s="21" t="n"/>
      <c r="C431" s="21" t="n"/>
      <c r="D431" s="21" t="n"/>
      <c r="E431" s="22" t="n"/>
      <c r="F431" s="23" t="n"/>
      <c r="G431" s="24">
        <f>IF(AND(ISNUMBER(F431),ISNUMBER(E431)),EDATE(F431,E431),"")</f>
        <v/>
      </c>
      <c r="H431" s="22" t="n"/>
      <c r="I431" s="24">
        <f>IF(ISNUMBER(G431),G431-IF(ISNUMBER(H431),H431,30),"")</f>
        <v/>
      </c>
      <c r="J431" s="25">
        <f>IF(G431="","",IF(ISNUMBER(G431),G431-TODAY(),"Check date"))</f>
        <v/>
      </c>
      <c r="K431" s="26">
        <f>IF(J431="","",IF(ISNUMBER(J431),IF(J431&lt;0,"Expired",IF(J431&lt;=30,"Due ≤30 days",IF(J431&lt;=90,"Due ≤90 days","OK"))),"Check date"))</f>
        <v/>
      </c>
      <c r="L431" s="21" t="n"/>
      <c r="M431" s="21" t="n"/>
      <c r="N431" s="21" t="n"/>
      <c r="O431" s="21" t="n"/>
      <c r="P431" s="21" t="n"/>
      <c r="Q431" s="21" t="n"/>
    </row>
    <row r="432">
      <c r="A432" s="21" t="n"/>
      <c r="B432" s="21" t="n"/>
      <c r="C432" s="21" t="n"/>
      <c r="D432" s="21" t="n"/>
      <c r="E432" s="22" t="n"/>
      <c r="F432" s="23" t="n"/>
      <c r="G432" s="24">
        <f>IF(AND(ISNUMBER(F432),ISNUMBER(E432)),EDATE(F432,E432),"")</f>
        <v/>
      </c>
      <c r="H432" s="22" t="n"/>
      <c r="I432" s="24">
        <f>IF(ISNUMBER(G432),G432-IF(ISNUMBER(H432),H432,30),"")</f>
        <v/>
      </c>
      <c r="J432" s="25">
        <f>IF(G432="","",IF(ISNUMBER(G432),G432-TODAY(),"Check date"))</f>
        <v/>
      </c>
      <c r="K432" s="26">
        <f>IF(J432="","",IF(ISNUMBER(J432),IF(J432&lt;0,"Expired",IF(J432&lt;=30,"Due ≤30 days",IF(J432&lt;=90,"Due ≤90 days","OK"))),"Check date"))</f>
        <v/>
      </c>
      <c r="L432" s="21" t="n"/>
      <c r="M432" s="21" t="n"/>
      <c r="N432" s="21" t="n"/>
      <c r="O432" s="21" t="n"/>
      <c r="P432" s="21" t="n"/>
      <c r="Q432" s="21" t="n"/>
    </row>
    <row r="433">
      <c r="A433" s="21" t="n"/>
      <c r="B433" s="21" t="n"/>
      <c r="C433" s="21" t="n"/>
      <c r="D433" s="21" t="n"/>
      <c r="E433" s="22" t="n"/>
      <c r="F433" s="23" t="n"/>
      <c r="G433" s="24">
        <f>IF(AND(ISNUMBER(F433),ISNUMBER(E433)),EDATE(F433,E433),"")</f>
        <v/>
      </c>
      <c r="H433" s="22" t="n"/>
      <c r="I433" s="24">
        <f>IF(ISNUMBER(G433),G433-IF(ISNUMBER(H433),H433,30),"")</f>
        <v/>
      </c>
      <c r="J433" s="25">
        <f>IF(G433="","",IF(ISNUMBER(G433),G433-TODAY(),"Check date"))</f>
        <v/>
      </c>
      <c r="K433" s="26">
        <f>IF(J433="","",IF(ISNUMBER(J433),IF(J433&lt;0,"Expired",IF(J433&lt;=30,"Due ≤30 days",IF(J433&lt;=90,"Due ≤90 days","OK"))),"Check date"))</f>
        <v/>
      </c>
      <c r="L433" s="21" t="n"/>
      <c r="M433" s="21" t="n"/>
      <c r="N433" s="21" t="n"/>
      <c r="O433" s="21" t="n"/>
      <c r="P433" s="21" t="n"/>
      <c r="Q433" s="21" t="n"/>
    </row>
    <row r="434">
      <c r="A434" s="21" t="n"/>
      <c r="B434" s="21" t="n"/>
      <c r="C434" s="21" t="n"/>
      <c r="D434" s="21" t="n"/>
      <c r="E434" s="22" t="n"/>
      <c r="F434" s="23" t="n"/>
      <c r="G434" s="24">
        <f>IF(AND(ISNUMBER(F434),ISNUMBER(E434)),EDATE(F434,E434),"")</f>
        <v/>
      </c>
      <c r="H434" s="22" t="n"/>
      <c r="I434" s="24">
        <f>IF(ISNUMBER(G434),G434-IF(ISNUMBER(H434),H434,30),"")</f>
        <v/>
      </c>
      <c r="J434" s="25">
        <f>IF(G434="","",IF(ISNUMBER(G434),G434-TODAY(),"Check date"))</f>
        <v/>
      </c>
      <c r="K434" s="26">
        <f>IF(J434="","",IF(ISNUMBER(J434),IF(J434&lt;0,"Expired",IF(J434&lt;=30,"Due ≤30 days",IF(J434&lt;=90,"Due ≤90 days","OK"))),"Check date"))</f>
        <v/>
      </c>
      <c r="L434" s="21" t="n"/>
      <c r="M434" s="21" t="n"/>
      <c r="N434" s="21" t="n"/>
      <c r="O434" s="21" t="n"/>
      <c r="P434" s="21" t="n"/>
      <c r="Q434" s="21" t="n"/>
    </row>
    <row r="435">
      <c r="A435" s="21" t="n"/>
      <c r="B435" s="21" t="n"/>
      <c r="C435" s="21" t="n"/>
      <c r="D435" s="21" t="n"/>
      <c r="E435" s="22" t="n"/>
      <c r="F435" s="23" t="n"/>
      <c r="G435" s="24">
        <f>IF(AND(ISNUMBER(F435),ISNUMBER(E435)),EDATE(F435,E435),"")</f>
        <v/>
      </c>
      <c r="H435" s="22" t="n"/>
      <c r="I435" s="24">
        <f>IF(ISNUMBER(G435),G435-IF(ISNUMBER(H435),H435,30),"")</f>
        <v/>
      </c>
      <c r="J435" s="25">
        <f>IF(G435="","",IF(ISNUMBER(G435),G435-TODAY(),"Check date"))</f>
        <v/>
      </c>
      <c r="K435" s="26">
        <f>IF(J435="","",IF(ISNUMBER(J435),IF(J435&lt;0,"Expired",IF(J435&lt;=30,"Due ≤30 days",IF(J435&lt;=90,"Due ≤90 days","OK"))),"Check date"))</f>
        <v/>
      </c>
      <c r="L435" s="21" t="n"/>
      <c r="M435" s="21" t="n"/>
      <c r="N435" s="21" t="n"/>
      <c r="O435" s="21" t="n"/>
      <c r="P435" s="21" t="n"/>
      <c r="Q435" s="21" t="n"/>
    </row>
    <row r="436">
      <c r="A436" s="21" t="n"/>
      <c r="B436" s="21" t="n"/>
      <c r="C436" s="21" t="n"/>
      <c r="D436" s="21" t="n"/>
      <c r="E436" s="22" t="n"/>
      <c r="F436" s="23" t="n"/>
      <c r="G436" s="24">
        <f>IF(AND(ISNUMBER(F436),ISNUMBER(E436)),EDATE(F436,E436),"")</f>
        <v/>
      </c>
      <c r="H436" s="22" t="n"/>
      <c r="I436" s="24">
        <f>IF(ISNUMBER(G436),G436-IF(ISNUMBER(H436),H436,30),"")</f>
        <v/>
      </c>
      <c r="J436" s="25">
        <f>IF(G436="","",IF(ISNUMBER(G436),G436-TODAY(),"Check date"))</f>
        <v/>
      </c>
      <c r="K436" s="26">
        <f>IF(J436="","",IF(ISNUMBER(J436),IF(J436&lt;0,"Expired",IF(J436&lt;=30,"Due ≤30 days",IF(J436&lt;=90,"Due ≤90 days","OK"))),"Check date"))</f>
        <v/>
      </c>
      <c r="L436" s="21" t="n"/>
      <c r="M436" s="21" t="n"/>
      <c r="N436" s="21" t="n"/>
      <c r="O436" s="21" t="n"/>
      <c r="P436" s="21" t="n"/>
      <c r="Q436" s="21" t="n"/>
    </row>
    <row r="437">
      <c r="A437" s="21" t="n"/>
      <c r="B437" s="21" t="n"/>
      <c r="C437" s="21" t="n"/>
      <c r="D437" s="21" t="n"/>
      <c r="E437" s="22" t="n"/>
      <c r="F437" s="23" t="n"/>
      <c r="G437" s="24">
        <f>IF(AND(ISNUMBER(F437),ISNUMBER(E437)),EDATE(F437,E437),"")</f>
        <v/>
      </c>
      <c r="H437" s="22" t="n"/>
      <c r="I437" s="24">
        <f>IF(ISNUMBER(G437),G437-IF(ISNUMBER(H437),H437,30),"")</f>
        <v/>
      </c>
      <c r="J437" s="25">
        <f>IF(G437="","",IF(ISNUMBER(G437),G437-TODAY(),"Check date"))</f>
        <v/>
      </c>
      <c r="K437" s="26">
        <f>IF(J437="","",IF(ISNUMBER(J437),IF(J437&lt;0,"Expired",IF(J437&lt;=30,"Due ≤30 days",IF(J437&lt;=90,"Due ≤90 days","OK"))),"Check date"))</f>
        <v/>
      </c>
      <c r="L437" s="21" t="n"/>
      <c r="M437" s="21" t="n"/>
      <c r="N437" s="21" t="n"/>
      <c r="O437" s="21" t="n"/>
      <c r="P437" s="21" t="n"/>
      <c r="Q437" s="21" t="n"/>
    </row>
    <row r="438">
      <c r="A438" s="21" t="n"/>
      <c r="B438" s="21" t="n"/>
      <c r="C438" s="21" t="n"/>
      <c r="D438" s="21" t="n"/>
      <c r="E438" s="22" t="n"/>
      <c r="F438" s="23" t="n"/>
      <c r="G438" s="24">
        <f>IF(AND(ISNUMBER(F438),ISNUMBER(E438)),EDATE(F438,E438),"")</f>
        <v/>
      </c>
      <c r="H438" s="22" t="n"/>
      <c r="I438" s="24">
        <f>IF(ISNUMBER(G438),G438-IF(ISNUMBER(H438),H438,30),"")</f>
        <v/>
      </c>
      <c r="J438" s="25">
        <f>IF(G438="","",IF(ISNUMBER(G438),G438-TODAY(),"Check date"))</f>
        <v/>
      </c>
      <c r="K438" s="26">
        <f>IF(J438="","",IF(ISNUMBER(J438),IF(J438&lt;0,"Expired",IF(J438&lt;=30,"Due ≤30 days",IF(J438&lt;=90,"Due ≤90 days","OK"))),"Check date"))</f>
        <v/>
      </c>
      <c r="L438" s="21" t="n"/>
      <c r="M438" s="21" t="n"/>
      <c r="N438" s="21" t="n"/>
      <c r="O438" s="21" t="n"/>
      <c r="P438" s="21" t="n"/>
      <c r="Q438" s="21" t="n"/>
    </row>
    <row r="439">
      <c r="A439" s="21" t="n"/>
      <c r="B439" s="21" t="n"/>
      <c r="C439" s="21" t="n"/>
      <c r="D439" s="21" t="n"/>
      <c r="E439" s="22" t="n"/>
      <c r="F439" s="23" t="n"/>
      <c r="G439" s="24">
        <f>IF(AND(ISNUMBER(F439),ISNUMBER(E439)),EDATE(F439,E439),"")</f>
        <v/>
      </c>
      <c r="H439" s="22" t="n"/>
      <c r="I439" s="24">
        <f>IF(ISNUMBER(G439),G439-IF(ISNUMBER(H439),H439,30),"")</f>
        <v/>
      </c>
      <c r="J439" s="25">
        <f>IF(G439="","",IF(ISNUMBER(G439),G439-TODAY(),"Check date"))</f>
        <v/>
      </c>
      <c r="K439" s="26">
        <f>IF(J439="","",IF(ISNUMBER(J439),IF(J439&lt;0,"Expired",IF(J439&lt;=30,"Due ≤30 days",IF(J439&lt;=90,"Due ≤90 days","OK"))),"Check date"))</f>
        <v/>
      </c>
      <c r="L439" s="21" t="n"/>
      <c r="M439" s="21" t="n"/>
      <c r="N439" s="21" t="n"/>
      <c r="O439" s="21" t="n"/>
      <c r="P439" s="21" t="n"/>
      <c r="Q439" s="21" t="n"/>
    </row>
    <row r="440">
      <c r="A440" s="21" t="n"/>
      <c r="B440" s="21" t="n"/>
      <c r="C440" s="21" t="n"/>
      <c r="D440" s="21" t="n"/>
      <c r="E440" s="22" t="n"/>
      <c r="F440" s="23" t="n"/>
      <c r="G440" s="24">
        <f>IF(AND(ISNUMBER(F440),ISNUMBER(E440)),EDATE(F440,E440),"")</f>
        <v/>
      </c>
      <c r="H440" s="22" t="n"/>
      <c r="I440" s="24">
        <f>IF(ISNUMBER(G440),G440-IF(ISNUMBER(H440),H440,30),"")</f>
        <v/>
      </c>
      <c r="J440" s="25">
        <f>IF(G440="","",IF(ISNUMBER(G440),G440-TODAY(),"Check date"))</f>
        <v/>
      </c>
      <c r="K440" s="26">
        <f>IF(J440="","",IF(ISNUMBER(J440),IF(J440&lt;0,"Expired",IF(J440&lt;=30,"Due ≤30 days",IF(J440&lt;=90,"Due ≤90 days","OK"))),"Check date"))</f>
        <v/>
      </c>
      <c r="L440" s="21" t="n"/>
      <c r="M440" s="21" t="n"/>
      <c r="N440" s="21" t="n"/>
      <c r="O440" s="21" t="n"/>
      <c r="P440" s="21" t="n"/>
      <c r="Q440" s="21" t="n"/>
    </row>
    <row r="441">
      <c r="A441" s="21" t="n"/>
      <c r="B441" s="21" t="n"/>
      <c r="C441" s="21" t="n"/>
      <c r="D441" s="21" t="n"/>
      <c r="E441" s="22" t="n"/>
      <c r="F441" s="23" t="n"/>
      <c r="G441" s="24">
        <f>IF(AND(ISNUMBER(F441),ISNUMBER(E441)),EDATE(F441,E441),"")</f>
        <v/>
      </c>
      <c r="H441" s="22" t="n"/>
      <c r="I441" s="24">
        <f>IF(ISNUMBER(G441),G441-IF(ISNUMBER(H441),H441,30),"")</f>
        <v/>
      </c>
      <c r="J441" s="25">
        <f>IF(G441="","",IF(ISNUMBER(G441),G441-TODAY(),"Check date"))</f>
        <v/>
      </c>
      <c r="K441" s="26">
        <f>IF(J441="","",IF(ISNUMBER(J441),IF(J441&lt;0,"Expired",IF(J441&lt;=30,"Due ≤30 days",IF(J441&lt;=90,"Due ≤90 days","OK"))),"Check date"))</f>
        <v/>
      </c>
      <c r="L441" s="21" t="n"/>
      <c r="M441" s="21" t="n"/>
      <c r="N441" s="21" t="n"/>
      <c r="O441" s="21" t="n"/>
      <c r="P441" s="21" t="n"/>
      <c r="Q441" s="21" t="n"/>
    </row>
    <row r="442">
      <c r="A442" s="21" t="n"/>
      <c r="B442" s="21" t="n"/>
      <c r="C442" s="21" t="n"/>
      <c r="D442" s="21" t="n"/>
      <c r="E442" s="22" t="n"/>
      <c r="F442" s="23" t="n"/>
      <c r="G442" s="24">
        <f>IF(AND(ISNUMBER(F442),ISNUMBER(E442)),EDATE(F442,E442),"")</f>
        <v/>
      </c>
      <c r="H442" s="22" t="n"/>
      <c r="I442" s="24">
        <f>IF(ISNUMBER(G442),G442-IF(ISNUMBER(H442),H442,30),"")</f>
        <v/>
      </c>
      <c r="J442" s="25">
        <f>IF(G442="","",IF(ISNUMBER(G442),G442-TODAY(),"Check date"))</f>
        <v/>
      </c>
      <c r="K442" s="26">
        <f>IF(J442="","",IF(ISNUMBER(J442),IF(J442&lt;0,"Expired",IF(J442&lt;=30,"Due ≤30 days",IF(J442&lt;=90,"Due ≤90 days","OK"))),"Check date"))</f>
        <v/>
      </c>
      <c r="L442" s="21" t="n"/>
      <c r="M442" s="21" t="n"/>
      <c r="N442" s="21" t="n"/>
      <c r="O442" s="21" t="n"/>
      <c r="P442" s="21" t="n"/>
      <c r="Q442" s="21" t="n"/>
    </row>
    <row r="443">
      <c r="A443" s="21" t="n"/>
      <c r="B443" s="21" t="n"/>
      <c r="C443" s="21" t="n"/>
      <c r="D443" s="21" t="n"/>
      <c r="E443" s="22" t="n"/>
      <c r="F443" s="23" t="n"/>
      <c r="G443" s="24">
        <f>IF(AND(ISNUMBER(F443),ISNUMBER(E443)),EDATE(F443,E443),"")</f>
        <v/>
      </c>
      <c r="H443" s="22" t="n"/>
      <c r="I443" s="24">
        <f>IF(ISNUMBER(G443),G443-IF(ISNUMBER(H443),H443,30),"")</f>
        <v/>
      </c>
      <c r="J443" s="25">
        <f>IF(G443="","",IF(ISNUMBER(G443),G443-TODAY(),"Check date"))</f>
        <v/>
      </c>
      <c r="K443" s="26">
        <f>IF(J443="","",IF(ISNUMBER(J443),IF(J443&lt;0,"Expired",IF(J443&lt;=30,"Due ≤30 days",IF(J443&lt;=90,"Due ≤90 days","OK"))),"Check date"))</f>
        <v/>
      </c>
      <c r="L443" s="21" t="n"/>
      <c r="M443" s="21" t="n"/>
      <c r="N443" s="21" t="n"/>
      <c r="O443" s="21" t="n"/>
      <c r="P443" s="21" t="n"/>
      <c r="Q443" s="21" t="n"/>
    </row>
    <row r="444">
      <c r="A444" s="21" t="n"/>
      <c r="B444" s="21" t="n"/>
      <c r="C444" s="21" t="n"/>
      <c r="D444" s="21" t="n"/>
      <c r="E444" s="22" t="n"/>
      <c r="F444" s="23" t="n"/>
      <c r="G444" s="24">
        <f>IF(AND(ISNUMBER(F444),ISNUMBER(E444)),EDATE(F444,E444),"")</f>
        <v/>
      </c>
      <c r="H444" s="22" t="n"/>
      <c r="I444" s="24">
        <f>IF(ISNUMBER(G444),G444-IF(ISNUMBER(H444),H444,30),"")</f>
        <v/>
      </c>
      <c r="J444" s="25">
        <f>IF(G444="","",IF(ISNUMBER(G444),G444-TODAY(),"Check date"))</f>
        <v/>
      </c>
      <c r="K444" s="26">
        <f>IF(J444="","",IF(ISNUMBER(J444),IF(J444&lt;0,"Expired",IF(J444&lt;=30,"Due ≤30 days",IF(J444&lt;=90,"Due ≤90 days","OK"))),"Check date"))</f>
        <v/>
      </c>
      <c r="L444" s="21" t="n"/>
      <c r="M444" s="21" t="n"/>
      <c r="N444" s="21" t="n"/>
      <c r="O444" s="21" t="n"/>
      <c r="P444" s="21" t="n"/>
      <c r="Q444" s="21" t="n"/>
    </row>
    <row r="445">
      <c r="A445" s="21" t="n"/>
      <c r="B445" s="21" t="n"/>
      <c r="C445" s="21" t="n"/>
      <c r="D445" s="21" t="n"/>
      <c r="E445" s="22" t="n"/>
      <c r="F445" s="23" t="n"/>
      <c r="G445" s="24">
        <f>IF(AND(ISNUMBER(F445),ISNUMBER(E445)),EDATE(F445,E445),"")</f>
        <v/>
      </c>
      <c r="H445" s="22" t="n"/>
      <c r="I445" s="24">
        <f>IF(ISNUMBER(G445),G445-IF(ISNUMBER(H445),H445,30),"")</f>
        <v/>
      </c>
      <c r="J445" s="25">
        <f>IF(G445="","",IF(ISNUMBER(G445),G445-TODAY(),"Check date"))</f>
        <v/>
      </c>
      <c r="K445" s="26">
        <f>IF(J445="","",IF(ISNUMBER(J445),IF(J445&lt;0,"Expired",IF(J445&lt;=30,"Due ≤30 days",IF(J445&lt;=90,"Due ≤90 days","OK"))),"Check date"))</f>
        <v/>
      </c>
      <c r="L445" s="21" t="n"/>
      <c r="M445" s="21" t="n"/>
      <c r="N445" s="21" t="n"/>
      <c r="O445" s="21" t="n"/>
      <c r="P445" s="21" t="n"/>
      <c r="Q445" s="21" t="n"/>
    </row>
    <row r="446">
      <c r="A446" s="21" t="n"/>
      <c r="B446" s="21" t="n"/>
      <c r="C446" s="21" t="n"/>
      <c r="D446" s="21" t="n"/>
      <c r="E446" s="22" t="n"/>
      <c r="F446" s="23" t="n"/>
      <c r="G446" s="24">
        <f>IF(AND(ISNUMBER(F446),ISNUMBER(E446)),EDATE(F446,E446),"")</f>
        <v/>
      </c>
      <c r="H446" s="22" t="n"/>
      <c r="I446" s="24">
        <f>IF(ISNUMBER(G446),G446-IF(ISNUMBER(H446),H446,30),"")</f>
        <v/>
      </c>
      <c r="J446" s="25">
        <f>IF(G446="","",IF(ISNUMBER(G446),G446-TODAY(),"Check date"))</f>
        <v/>
      </c>
      <c r="K446" s="26">
        <f>IF(J446="","",IF(ISNUMBER(J446),IF(J446&lt;0,"Expired",IF(J446&lt;=30,"Due ≤30 days",IF(J446&lt;=90,"Due ≤90 days","OK"))),"Check date"))</f>
        <v/>
      </c>
      <c r="L446" s="21" t="n"/>
      <c r="M446" s="21" t="n"/>
      <c r="N446" s="21" t="n"/>
      <c r="O446" s="21" t="n"/>
      <c r="P446" s="21" t="n"/>
      <c r="Q446" s="21" t="n"/>
    </row>
    <row r="447">
      <c r="A447" s="21" t="n"/>
      <c r="B447" s="21" t="n"/>
      <c r="C447" s="21" t="n"/>
      <c r="D447" s="21" t="n"/>
      <c r="E447" s="22" t="n"/>
      <c r="F447" s="23" t="n"/>
      <c r="G447" s="24">
        <f>IF(AND(ISNUMBER(F447),ISNUMBER(E447)),EDATE(F447,E447),"")</f>
        <v/>
      </c>
      <c r="H447" s="22" t="n"/>
      <c r="I447" s="24">
        <f>IF(ISNUMBER(G447),G447-IF(ISNUMBER(H447),H447,30),"")</f>
        <v/>
      </c>
      <c r="J447" s="25">
        <f>IF(G447="","",IF(ISNUMBER(G447),G447-TODAY(),"Check date"))</f>
        <v/>
      </c>
      <c r="K447" s="26">
        <f>IF(J447="","",IF(ISNUMBER(J447),IF(J447&lt;0,"Expired",IF(J447&lt;=30,"Due ≤30 days",IF(J447&lt;=90,"Due ≤90 days","OK"))),"Check date"))</f>
        <v/>
      </c>
      <c r="L447" s="21" t="n"/>
      <c r="M447" s="21" t="n"/>
      <c r="N447" s="21" t="n"/>
      <c r="O447" s="21" t="n"/>
      <c r="P447" s="21" t="n"/>
      <c r="Q447" s="21" t="n"/>
    </row>
    <row r="448">
      <c r="A448" s="21" t="n"/>
      <c r="B448" s="21" t="n"/>
      <c r="C448" s="21" t="n"/>
      <c r="D448" s="21" t="n"/>
      <c r="E448" s="22" t="n"/>
      <c r="F448" s="23" t="n"/>
      <c r="G448" s="24">
        <f>IF(AND(ISNUMBER(F448),ISNUMBER(E448)),EDATE(F448,E448),"")</f>
        <v/>
      </c>
      <c r="H448" s="22" t="n"/>
      <c r="I448" s="24">
        <f>IF(ISNUMBER(G448),G448-IF(ISNUMBER(H448),H448,30),"")</f>
        <v/>
      </c>
      <c r="J448" s="25">
        <f>IF(G448="","",IF(ISNUMBER(G448),G448-TODAY(),"Check date"))</f>
        <v/>
      </c>
      <c r="K448" s="26">
        <f>IF(J448="","",IF(ISNUMBER(J448),IF(J448&lt;0,"Expired",IF(J448&lt;=30,"Due ≤30 days",IF(J448&lt;=90,"Due ≤90 days","OK"))),"Check date"))</f>
        <v/>
      </c>
      <c r="L448" s="21" t="n"/>
      <c r="M448" s="21" t="n"/>
      <c r="N448" s="21" t="n"/>
      <c r="O448" s="21" t="n"/>
      <c r="P448" s="21" t="n"/>
      <c r="Q448" s="21" t="n"/>
    </row>
    <row r="449">
      <c r="A449" s="21" t="n"/>
      <c r="B449" s="21" t="n"/>
      <c r="C449" s="21" t="n"/>
      <c r="D449" s="21" t="n"/>
      <c r="E449" s="22" t="n"/>
      <c r="F449" s="23" t="n"/>
      <c r="G449" s="24">
        <f>IF(AND(ISNUMBER(F449),ISNUMBER(E449)),EDATE(F449,E449),"")</f>
        <v/>
      </c>
      <c r="H449" s="22" t="n"/>
      <c r="I449" s="24">
        <f>IF(ISNUMBER(G449),G449-IF(ISNUMBER(H449),H449,30),"")</f>
        <v/>
      </c>
      <c r="J449" s="25">
        <f>IF(G449="","",IF(ISNUMBER(G449),G449-TODAY(),"Check date"))</f>
        <v/>
      </c>
      <c r="K449" s="26">
        <f>IF(J449="","",IF(ISNUMBER(J449),IF(J449&lt;0,"Expired",IF(J449&lt;=30,"Due ≤30 days",IF(J449&lt;=90,"Due ≤90 days","OK"))),"Check date"))</f>
        <v/>
      </c>
      <c r="L449" s="21" t="n"/>
      <c r="M449" s="21" t="n"/>
      <c r="N449" s="21" t="n"/>
      <c r="O449" s="21" t="n"/>
      <c r="P449" s="21" t="n"/>
      <c r="Q449" s="21" t="n"/>
    </row>
    <row r="450">
      <c r="A450" s="21" t="n"/>
      <c r="B450" s="21" t="n"/>
      <c r="C450" s="21" t="n"/>
      <c r="D450" s="21" t="n"/>
      <c r="E450" s="22" t="n"/>
      <c r="F450" s="23" t="n"/>
      <c r="G450" s="24">
        <f>IF(AND(ISNUMBER(F450),ISNUMBER(E450)),EDATE(F450,E450),"")</f>
        <v/>
      </c>
      <c r="H450" s="22" t="n"/>
      <c r="I450" s="24">
        <f>IF(ISNUMBER(G450),G450-IF(ISNUMBER(H450),H450,30),"")</f>
        <v/>
      </c>
      <c r="J450" s="25">
        <f>IF(G450="","",IF(ISNUMBER(G450),G450-TODAY(),"Check date"))</f>
        <v/>
      </c>
      <c r="K450" s="26">
        <f>IF(J450="","",IF(ISNUMBER(J450),IF(J450&lt;0,"Expired",IF(J450&lt;=30,"Due ≤30 days",IF(J450&lt;=90,"Due ≤90 days","OK"))),"Check date"))</f>
        <v/>
      </c>
      <c r="L450" s="21" t="n"/>
      <c r="M450" s="21" t="n"/>
      <c r="N450" s="21" t="n"/>
      <c r="O450" s="21" t="n"/>
      <c r="P450" s="21" t="n"/>
      <c r="Q450" s="21" t="n"/>
    </row>
    <row r="451">
      <c r="A451" s="21" t="n"/>
      <c r="B451" s="21" t="n"/>
      <c r="C451" s="21" t="n"/>
      <c r="D451" s="21" t="n"/>
      <c r="E451" s="22" t="n"/>
      <c r="F451" s="23" t="n"/>
      <c r="G451" s="24">
        <f>IF(AND(ISNUMBER(F451),ISNUMBER(E451)),EDATE(F451,E451),"")</f>
        <v/>
      </c>
      <c r="H451" s="22" t="n"/>
      <c r="I451" s="24">
        <f>IF(ISNUMBER(G451),G451-IF(ISNUMBER(H451),H451,30),"")</f>
        <v/>
      </c>
      <c r="J451" s="25">
        <f>IF(G451="","",IF(ISNUMBER(G451),G451-TODAY(),"Check date"))</f>
        <v/>
      </c>
      <c r="K451" s="26">
        <f>IF(J451="","",IF(ISNUMBER(J451),IF(J451&lt;0,"Expired",IF(J451&lt;=30,"Due ≤30 days",IF(J451&lt;=90,"Due ≤90 days","OK"))),"Check date"))</f>
        <v/>
      </c>
      <c r="L451" s="21" t="n"/>
      <c r="M451" s="21" t="n"/>
      <c r="N451" s="21" t="n"/>
      <c r="O451" s="21" t="n"/>
      <c r="P451" s="21" t="n"/>
      <c r="Q451" s="21" t="n"/>
    </row>
    <row r="452">
      <c r="A452" s="21" t="n"/>
      <c r="B452" s="21" t="n"/>
      <c r="C452" s="21" t="n"/>
      <c r="D452" s="21" t="n"/>
      <c r="E452" s="22" t="n"/>
      <c r="F452" s="23" t="n"/>
      <c r="G452" s="24">
        <f>IF(AND(ISNUMBER(F452),ISNUMBER(E452)),EDATE(F452,E452),"")</f>
        <v/>
      </c>
      <c r="H452" s="22" t="n"/>
      <c r="I452" s="24">
        <f>IF(ISNUMBER(G452),G452-IF(ISNUMBER(H452),H452,30),"")</f>
        <v/>
      </c>
      <c r="J452" s="25">
        <f>IF(G452="","",IF(ISNUMBER(G452),G452-TODAY(),"Check date"))</f>
        <v/>
      </c>
      <c r="K452" s="26">
        <f>IF(J452="","",IF(ISNUMBER(J452),IF(J452&lt;0,"Expired",IF(J452&lt;=30,"Due ≤30 days",IF(J452&lt;=90,"Due ≤90 days","OK"))),"Check date"))</f>
        <v/>
      </c>
      <c r="L452" s="21" t="n"/>
      <c r="M452" s="21" t="n"/>
      <c r="N452" s="21" t="n"/>
      <c r="O452" s="21" t="n"/>
      <c r="P452" s="21" t="n"/>
      <c r="Q452" s="21" t="n"/>
    </row>
    <row r="453">
      <c r="A453" s="21" t="n"/>
      <c r="B453" s="21" t="n"/>
      <c r="C453" s="21" t="n"/>
      <c r="D453" s="21" t="n"/>
      <c r="E453" s="22" t="n"/>
      <c r="F453" s="23" t="n"/>
      <c r="G453" s="24">
        <f>IF(AND(ISNUMBER(F453),ISNUMBER(E453)),EDATE(F453,E453),"")</f>
        <v/>
      </c>
      <c r="H453" s="22" t="n"/>
      <c r="I453" s="24">
        <f>IF(ISNUMBER(G453),G453-IF(ISNUMBER(H453),H453,30),"")</f>
        <v/>
      </c>
      <c r="J453" s="25">
        <f>IF(G453="","",IF(ISNUMBER(G453),G453-TODAY(),"Check date"))</f>
        <v/>
      </c>
      <c r="K453" s="26">
        <f>IF(J453="","",IF(ISNUMBER(J453),IF(J453&lt;0,"Expired",IF(J453&lt;=30,"Due ≤30 days",IF(J453&lt;=90,"Due ≤90 days","OK"))),"Check date"))</f>
        <v/>
      </c>
      <c r="L453" s="21" t="n"/>
      <c r="M453" s="21" t="n"/>
      <c r="N453" s="21" t="n"/>
      <c r="O453" s="21" t="n"/>
      <c r="P453" s="21" t="n"/>
      <c r="Q453" s="21" t="n"/>
    </row>
    <row r="454">
      <c r="A454" s="21" t="n"/>
      <c r="B454" s="21" t="n"/>
      <c r="C454" s="21" t="n"/>
      <c r="D454" s="21" t="n"/>
      <c r="E454" s="22" t="n"/>
      <c r="F454" s="23" t="n"/>
      <c r="G454" s="24">
        <f>IF(AND(ISNUMBER(F454),ISNUMBER(E454)),EDATE(F454,E454),"")</f>
        <v/>
      </c>
      <c r="H454" s="22" t="n"/>
      <c r="I454" s="24">
        <f>IF(ISNUMBER(G454),G454-IF(ISNUMBER(H454),H454,30),"")</f>
        <v/>
      </c>
      <c r="J454" s="25">
        <f>IF(G454="","",IF(ISNUMBER(G454),G454-TODAY(),"Check date"))</f>
        <v/>
      </c>
      <c r="K454" s="26">
        <f>IF(J454="","",IF(ISNUMBER(J454),IF(J454&lt;0,"Expired",IF(J454&lt;=30,"Due ≤30 days",IF(J454&lt;=90,"Due ≤90 days","OK"))),"Check date"))</f>
        <v/>
      </c>
      <c r="L454" s="21" t="n"/>
      <c r="M454" s="21" t="n"/>
      <c r="N454" s="21" t="n"/>
      <c r="O454" s="21" t="n"/>
      <c r="P454" s="21" t="n"/>
      <c r="Q454" s="21" t="n"/>
    </row>
    <row r="455">
      <c r="A455" s="21" t="n"/>
      <c r="B455" s="21" t="n"/>
      <c r="C455" s="21" t="n"/>
      <c r="D455" s="21" t="n"/>
      <c r="E455" s="22" t="n"/>
      <c r="F455" s="23" t="n"/>
      <c r="G455" s="24">
        <f>IF(AND(ISNUMBER(F455),ISNUMBER(E455)),EDATE(F455,E455),"")</f>
        <v/>
      </c>
      <c r="H455" s="22" t="n"/>
      <c r="I455" s="24">
        <f>IF(ISNUMBER(G455),G455-IF(ISNUMBER(H455),H455,30),"")</f>
        <v/>
      </c>
      <c r="J455" s="25">
        <f>IF(G455="","",IF(ISNUMBER(G455),G455-TODAY(),"Check date"))</f>
        <v/>
      </c>
      <c r="K455" s="26">
        <f>IF(J455="","",IF(ISNUMBER(J455),IF(J455&lt;0,"Expired",IF(J455&lt;=30,"Due ≤30 days",IF(J455&lt;=90,"Due ≤90 days","OK"))),"Check date"))</f>
        <v/>
      </c>
      <c r="L455" s="21" t="n"/>
      <c r="M455" s="21" t="n"/>
      <c r="N455" s="21" t="n"/>
      <c r="O455" s="21" t="n"/>
      <c r="P455" s="21" t="n"/>
      <c r="Q455" s="21" t="n"/>
    </row>
    <row r="456">
      <c r="A456" s="21" t="n"/>
      <c r="B456" s="21" t="n"/>
      <c r="C456" s="21" t="n"/>
      <c r="D456" s="21" t="n"/>
      <c r="E456" s="22" t="n"/>
      <c r="F456" s="23" t="n"/>
      <c r="G456" s="24">
        <f>IF(AND(ISNUMBER(F456),ISNUMBER(E456)),EDATE(F456,E456),"")</f>
        <v/>
      </c>
      <c r="H456" s="22" t="n"/>
      <c r="I456" s="24">
        <f>IF(ISNUMBER(G456),G456-IF(ISNUMBER(H456),H456,30),"")</f>
        <v/>
      </c>
      <c r="J456" s="25">
        <f>IF(G456="","",IF(ISNUMBER(G456),G456-TODAY(),"Check date"))</f>
        <v/>
      </c>
      <c r="K456" s="26">
        <f>IF(J456="","",IF(ISNUMBER(J456),IF(J456&lt;0,"Expired",IF(J456&lt;=30,"Due ≤30 days",IF(J456&lt;=90,"Due ≤90 days","OK"))),"Check date"))</f>
        <v/>
      </c>
      <c r="L456" s="21" t="n"/>
      <c r="M456" s="21" t="n"/>
      <c r="N456" s="21" t="n"/>
      <c r="O456" s="21" t="n"/>
      <c r="P456" s="21" t="n"/>
      <c r="Q456" s="21" t="n"/>
    </row>
    <row r="457">
      <c r="A457" s="21" t="n"/>
      <c r="B457" s="21" t="n"/>
      <c r="C457" s="21" t="n"/>
      <c r="D457" s="21" t="n"/>
      <c r="E457" s="22" t="n"/>
      <c r="F457" s="23" t="n"/>
      <c r="G457" s="24">
        <f>IF(AND(ISNUMBER(F457),ISNUMBER(E457)),EDATE(F457,E457),"")</f>
        <v/>
      </c>
      <c r="H457" s="22" t="n"/>
      <c r="I457" s="24">
        <f>IF(ISNUMBER(G457),G457-IF(ISNUMBER(H457),H457,30),"")</f>
        <v/>
      </c>
      <c r="J457" s="25">
        <f>IF(G457="","",IF(ISNUMBER(G457),G457-TODAY(),"Check date"))</f>
        <v/>
      </c>
      <c r="K457" s="26">
        <f>IF(J457="","",IF(ISNUMBER(J457),IF(J457&lt;0,"Expired",IF(J457&lt;=30,"Due ≤30 days",IF(J457&lt;=90,"Due ≤90 days","OK"))),"Check date"))</f>
        <v/>
      </c>
      <c r="L457" s="21" t="n"/>
      <c r="M457" s="21" t="n"/>
      <c r="N457" s="21" t="n"/>
      <c r="O457" s="21" t="n"/>
      <c r="P457" s="21" t="n"/>
      <c r="Q457" s="21" t="n"/>
    </row>
    <row r="458">
      <c r="A458" s="21" t="n"/>
      <c r="B458" s="21" t="n"/>
      <c r="C458" s="21" t="n"/>
      <c r="D458" s="21" t="n"/>
      <c r="E458" s="22" t="n"/>
      <c r="F458" s="23" t="n"/>
      <c r="G458" s="24">
        <f>IF(AND(ISNUMBER(F458),ISNUMBER(E458)),EDATE(F458,E458),"")</f>
        <v/>
      </c>
      <c r="H458" s="22" t="n"/>
      <c r="I458" s="24">
        <f>IF(ISNUMBER(G458),G458-IF(ISNUMBER(H458),H458,30),"")</f>
        <v/>
      </c>
      <c r="J458" s="25">
        <f>IF(G458="","",IF(ISNUMBER(G458),G458-TODAY(),"Check date"))</f>
        <v/>
      </c>
      <c r="K458" s="26">
        <f>IF(J458="","",IF(ISNUMBER(J458),IF(J458&lt;0,"Expired",IF(J458&lt;=30,"Due ≤30 days",IF(J458&lt;=90,"Due ≤90 days","OK"))),"Check date"))</f>
        <v/>
      </c>
      <c r="L458" s="21" t="n"/>
      <c r="M458" s="21" t="n"/>
      <c r="N458" s="21" t="n"/>
      <c r="O458" s="21" t="n"/>
      <c r="P458" s="21" t="n"/>
      <c r="Q458" s="21" t="n"/>
    </row>
    <row r="459">
      <c r="A459" s="21" t="n"/>
      <c r="B459" s="21" t="n"/>
      <c r="C459" s="21" t="n"/>
      <c r="D459" s="21" t="n"/>
      <c r="E459" s="22" t="n"/>
      <c r="F459" s="23" t="n"/>
      <c r="G459" s="24">
        <f>IF(AND(ISNUMBER(F459),ISNUMBER(E459)),EDATE(F459,E459),"")</f>
        <v/>
      </c>
      <c r="H459" s="22" t="n"/>
      <c r="I459" s="24">
        <f>IF(ISNUMBER(G459),G459-IF(ISNUMBER(H459),H459,30),"")</f>
        <v/>
      </c>
      <c r="J459" s="25">
        <f>IF(G459="","",IF(ISNUMBER(G459),G459-TODAY(),"Check date"))</f>
        <v/>
      </c>
      <c r="K459" s="26">
        <f>IF(J459="","",IF(ISNUMBER(J459),IF(J459&lt;0,"Expired",IF(J459&lt;=30,"Due ≤30 days",IF(J459&lt;=90,"Due ≤90 days","OK"))),"Check date"))</f>
        <v/>
      </c>
      <c r="L459" s="21" t="n"/>
      <c r="M459" s="21" t="n"/>
      <c r="N459" s="21" t="n"/>
      <c r="O459" s="21" t="n"/>
      <c r="P459" s="21" t="n"/>
      <c r="Q459" s="21" t="n"/>
    </row>
    <row r="460">
      <c r="A460" s="21" t="n"/>
      <c r="B460" s="21" t="n"/>
      <c r="C460" s="21" t="n"/>
      <c r="D460" s="21" t="n"/>
      <c r="E460" s="22" t="n"/>
      <c r="F460" s="23" t="n"/>
      <c r="G460" s="24">
        <f>IF(AND(ISNUMBER(F460),ISNUMBER(E460)),EDATE(F460,E460),"")</f>
        <v/>
      </c>
      <c r="H460" s="22" t="n"/>
      <c r="I460" s="24">
        <f>IF(ISNUMBER(G460),G460-IF(ISNUMBER(H460),H460,30),"")</f>
        <v/>
      </c>
      <c r="J460" s="25">
        <f>IF(G460="","",IF(ISNUMBER(G460),G460-TODAY(),"Check date"))</f>
        <v/>
      </c>
      <c r="K460" s="26">
        <f>IF(J460="","",IF(ISNUMBER(J460),IF(J460&lt;0,"Expired",IF(J460&lt;=30,"Due ≤30 days",IF(J460&lt;=90,"Due ≤90 days","OK"))),"Check date"))</f>
        <v/>
      </c>
      <c r="L460" s="21" t="n"/>
      <c r="M460" s="21" t="n"/>
      <c r="N460" s="21" t="n"/>
      <c r="O460" s="21" t="n"/>
      <c r="P460" s="21" t="n"/>
      <c r="Q460" s="21" t="n"/>
    </row>
    <row r="461">
      <c r="A461" s="21" t="n"/>
      <c r="B461" s="21" t="n"/>
      <c r="C461" s="21" t="n"/>
      <c r="D461" s="21" t="n"/>
      <c r="E461" s="22" t="n"/>
      <c r="F461" s="23" t="n"/>
      <c r="G461" s="24">
        <f>IF(AND(ISNUMBER(F461),ISNUMBER(E461)),EDATE(F461,E461),"")</f>
        <v/>
      </c>
      <c r="H461" s="22" t="n"/>
      <c r="I461" s="24">
        <f>IF(ISNUMBER(G461),G461-IF(ISNUMBER(H461),H461,30),"")</f>
        <v/>
      </c>
      <c r="J461" s="25">
        <f>IF(G461="","",IF(ISNUMBER(G461),G461-TODAY(),"Check date"))</f>
        <v/>
      </c>
      <c r="K461" s="26">
        <f>IF(J461="","",IF(ISNUMBER(J461),IF(J461&lt;0,"Expired",IF(J461&lt;=30,"Due ≤30 days",IF(J461&lt;=90,"Due ≤90 days","OK"))),"Check date"))</f>
        <v/>
      </c>
      <c r="L461" s="21" t="n"/>
      <c r="M461" s="21" t="n"/>
      <c r="N461" s="21" t="n"/>
      <c r="O461" s="21" t="n"/>
      <c r="P461" s="21" t="n"/>
      <c r="Q461" s="21" t="n"/>
    </row>
    <row r="462">
      <c r="A462" s="21" t="n"/>
      <c r="B462" s="21" t="n"/>
      <c r="C462" s="21" t="n"/>
      <c r="D462" s="21" t="n"/>
      <c r="E462" s="22" t="n"/>
      <c r="F462" s="23" t="n"/>
      <c r="G462" s="24">
        <f>IF(AND(ISNUMBER(F462),ISNUMBER(E462)),EDATE(F462,E462),"")</f>
        <v/>
      </c>
      <c r="H462" s="22" t="n"/>
      <c r="I462" s="24">
        <f>IF(ISNUMBER(G462),G462-IF(ISNUMBER(H462),H462,30),"")</f>
        <v/>
      </c>
      <c r="J462" s="25">
        <f>IF(G462="","",IF(ISNUMBER(G462),G462-TODAY(),"Check date"))</f>
        <v/>
      </c>
      <c r="K462" s="26">
        <f>IF(J462="","",IF(ISNUMBER(J462),IF(J462&lt;0,"Expired",IF(J462&lt;=30,"Due ≤30 days",IF(J462&lt;=90,"Due ≤90 days","OK"))),"Check date"))</f>
        <v/>
      </c>
      <c r="L462" s="21" t="n"/>
      <c r="M462" s="21" t="n"/>
      <c r="N462" s="21" t="n"/>
      <c r="O462" s="21" t="n"/>
      <c r="P462" s="21" t="n"/>
      <c r="Q462" s="21" t="n"/>
    </row>
    <row r="463">
      <c r="A463" s="21" t="n"/>
      <c r="B463" s="21" t="n"/>
      <c r="C463" s="21" t="n"/>
      <c r="D463" s="21" t="n"/>
      <c r="E463" s="22" t="n"/>
      <c r="F463" s="23" t="n"/>
      <c r="G463" s="24">
        <f>IF(AND(ISNUMBER(F463),ISNUMBER(E463)),EDATE(F463,E463),"")</f>
        <v/>
      </c>
      <c r="H463" s="22" t="n"/>
      <c r="I463" s="24">
        <f>IF(ISNUMBER(G463),G463-IF(ISNUMBER(H463),H463,30),"")</f>
        <v/>
      </c>
      <c r="J463" s="25">
        <f>IF(G463="","",IF(ISNUMBER(G463),G463-TODAY(),"Check date"))</f>
        <v/>
      </c>
      <c r="K463" s="26">
        <f>IF(J463="","",IF(ISNUMBER(J463),IF(J463&lt;0,"Expired",IF(J463&lt;=30,"Due ≤30 days",IF(J463&lt;=90,"Due ≤90 days","OK"))),"Check date"))</f>
        <v/>
      </c>
      <c r="L463" s="21" t="n"/>
      <c r="M463" s="21" t="n"/>
      <c r="N463" s="21" t="n"/>
      <c r="O463" s="21" t="n"/>
      <c r="P463" s="21" t="n"/>
      <c r="Q463" s="21" t="n"/>
    </row>
    <row r="464">
      <c r="A464" s="21" t="n"/>
      <c r="B464" s="21" t="n"/>
      <c r="C464" s="21" t="n"/>
      <c r="D464" s="21" t="n"/>
      <c r="E464" s="22" t="n"/>
      <c r="F464" s="23" t="n"/>
      <c r="G464" s="24">
        <f>IF(AND(ISNUMBER(F464),ISNUMBER(E464)),EDATE(F464,E464),"")</f>
        <v/>
      </c>
      <c r="H464" s="22" t="n"/>
      <c r="I464" s="24">
        <f>IF(ISNUMBER(G464),G464-IF(ISNUMBER(H464),H464,30),"")</f>
        <v/>
      </c>
      <c r="J464" s="25">
        <f>IF(G464="","",IF(ISNUMBER(G464),G464-TODAY(),"Check date"))</f>
        <v/>
      </c>
      <c r="K464" s="26">
        <f>IF(J464="","",IF(ISNUMBER(J464),IF(J464&lt;0,"Expired",IF(J464&lt;=30,"Due ≤30 days",IF(J464&lt;=90,"Due ≤90 days","OK"))),"Check date"))</f>
        <v/>
      </c>
      <c r="L464" s="21" t="n"/>
      <c r="M464" s="21" t="n"/>
      <c r="N464" s="21" t="n"/>
      <c r="O464" s="21" t="n"/>
      <c r="P464" s="21" t="n"/>
      <c r="Q464" s="21" t="n"/>
    </row>
    <row r="465">
      <c r="A465" s="21" t="n"/>
      <c r="B465" s="21" t="n"/>
      <c r="C465" s="21" t="n"/>
      <c r="D465" s="21" t="n"/>
      <c r="E465" s="22" t="n"/>
      <c r="F465" s="23" t="n"/>
      <c r="G465" s="24">
        <f>IF(AND(ISNUMBER(F465),ISNUMBER(E465)),EDATE(F465,E465),"")</f>
        <v/>
      </c>
      <c r="H465" s="22" t="n"/>
      <c r="I465" s="24">
        <f>IF(ISNUMBER(G465),G465-IF(ISNUMBER(H465),H465,30),"")</f>
        <v/>
      </c>
      <c r="J465" s="25">
        <f>IF(G465="","",IF(ISNUMBER(G465),G465-TODAY(),"Check date"))</f>
        <v/>
      </c>
      <c r="K465" s="26">
        <f>IF(J465="","",IF(ISNUMBER(J465),IF(J465&lt;0,"Expired",IF(J465&lt;=30,"Due ≤30 days",IF(J465&lt;=90,"Due ≤90 days","OK"))),"Check date"))</f>
        <v/>
      </c>
      <c r="L465" s="21" t="n"/>
      <c r="M465" s="21" t="n"/>
      <c r="N465" s="21" t="n"/>
      <c r="O465" s="21" t="n"/>
      <c r="P465" s="21" t="n"/>
      <c r="Q465" s="21" t="n"/>
    </row>
    <row r="466">
      <c r="A466" s="21" t="n"/>
      <c r="B466" s="21" t="n"/>
      <c r="C466" s="21" t="n"/>
      <c r="D466" s="21" t="n"/>
      <c r="E466" s="22" t="n"/>
      <c r="F466" s="23" t="n"/>
      <c r="G466" s="24">
        <f>IF(AND(ISNUMBER(F466),ISNUMBER(E466)),EDATE(F466,E466),"")</f>
        <v/>
      </c>
      <c r="H466" s="22" t="n"/>
      <c r="I466" s="24">
        <f>IF(ISNUMBER(G466),G466-IF(ISNUMBER(H466),H466,30),"")</f>
        <v/>
      </c>
      <c r="J466" s="25">
        <f>IF(G466="","",IF(ISNUMBER(G466),G466-TODAY(),"Check date"))</f>
        <v/>
      </c>
      <c r="K466" s="26">
        <f>IF(J466="","",IF(ISNUMBER(J466),IF(J466&lt;0,"Expired",IF(J466&lt;=30,"Due ≤30 days",IF(J466&lt;=90,"Due ≤90 days","OK"))),"Check date"))</f>
        <v/>
      </c>
      <c r="L466" s="21" t="n"/>
      <c r="M466" s="21" t="n"/>
      <c r="N466" s="21" t="n"/>
      <c r="O466" s="21" t="n"/>
      <c r="P466" s="21" t="n"/>
      <c r="Q466" s="21" t="n"/>
    </row>
    <row r="467">
      <c r="A467" s="21" t="n"/>
      <c r="B467" s="21" t="n"/>
      <c r="C467" s="21" t="n"/>
      <c r="D467" s="21" t="n"/>
      <c r="E467" s="22" t="n"/>
      <c r="F467" s="23" t="n"/>
      <c r="G467" s="24">
        <f>IF(AND(ISNUMBER(F467),ISNUMBER(E467)),EDATE(F467,E467),"")</f>
        <v/>
      </c>
      <c r="H467" s="22" t="n"/>
      <c r="I467" s="24">
        <f>IF(ISNUMBER(G467),G467-IF(ISNUMBER(H467),H467,30),"")</f>
        <v/>
      </c>
      <c r="J467" s="25">
        <f>IF(G467="","",IF(ISNUMBER(G467),G467-TODAY(),"Check date"))</f>
        <v/>
      </c>
      <c r="K467" s="26">
        <f>IF(J467="","",IF(ISNUMBER(J467),IF(J467&lt;0,"Expired",IF(J467&lt;=30,"Due ≤30 days",IF(J467&lt;=90,"Due ≤90 days","OK"))),"Check date"))</f>
        <v/>
      </c>
      <c r="L467" s="21" t="n"/>
      <c r="M467" s="21" t="n"/>
      <c r="N467" s="21" t="n"/>
      <c r="O467" s="21" t="n"/>
      <c r="P467" s="21" t="n"/>
      <c r="Q467" s="21" t="n"/>
    </row>
    <row r="468">
      <c r="A468" s="21" t="n"/>
      <c r="B468" s="21" t="n"/>
      <c r="C468" s="21" t="n"/>
      <c r="D468" s="21" t="n"/>
      <c r="E468" s="22" t="n"/>
      <c r="F468" s="23" t="n"/>
      <c r="G468" s="24">
        <f>IF(AND(ISNUMBER(F468),ISNUMBER(E468)),EDATE(F468,E468),"")</f>
        <v/>
      </c>
      <c r="H468" s="22" t="n"/>
      <c r="I468" s="24">
        <f>IF(ISNUMBER(G468),G468-IF(ISNUMBER(H468),H468,30),"")</f>
        <v/>
      </c>
      <c r="J468" s="25">
        <f>IF(G468="","",IF(ISNUMBER(G468),G468-TODAY(),"Check date"))</f>
        <v/>
      </c>
      <c r="K468" s="26">
        <f>IF(J468="","",IF(ISNUMBER(J468),IF(J468&lt;0,"Expired",IF(J468&lt;=30,"Due ≤30 days",IF(J468&lt;=90,"Due ≤90 days","OK"))),"Check date"))</f>
        <v/>
      </c>
      <c r="L468" s="21" t="n"/>
      <c r="M468" s="21" t="n"/>
      <c r="N468" s="21" t="n"/>
      <c r="O468" s="21" t="n"/>
      <c r="P468" s="21" t="n"/>
      <c r="Q468" s="21" t="n"/>
    </row>
    <row r="469">
      <c r="A469" s="21" t="n"/>
      <c r="B469" s="21" t="n"/>
      <c r="C469" s="21" t="n"/>
      <c r="D469" s="21" t="n"/>
      <c r="E469" s="22" t="n"/>
      <c r="F469" s="23" t="n"/>
      <c r="G469" s="24">
        <f>IF(AND(ISNUMBER(F469),ISNUMBER(E469)),EDATE(F469,E469),"")</f>
        <v/>
      </c>
      <c r="H469" s="22" t="n"/>
      <c r="I469" s="24">
        <f>IF(ISNUMBER(G469),G469-IF(ISNUMBER(H469),H469,30),"")</f>
        <v/>
      </c>
      <c r="J469" s="25">
        <f>IF(G469="","",IF(ISNUMBER(G469),G469-TODAY(),"Check date"))</f>
        <v/>
      </c>
      <c r="K469" s="26">
        <f>IF(J469="","",IF(ISNUMBER(J469),IF(J469&lt;0,"Expired",IF(J469&lt;=30,"Due ≤30 days",IF(J469&lt;=90,"Due ≤90 days","OK"))),"Check date"))</f>
        <v/>
      </c>
      <c r="L469" s="21" t="n"/>
      <c r="M469" s="21" t="n"/>
      <c r="N469" s="21" t="n"/>
      <c r="O469" s="21" t="n"/>
      <c r="P469" s="21" t="n"/>
      <c r="Q469" s="21" t="n"/>
    </row>
    <row r="470">
      <c r="A470" s="21" t="n"/>
      <c r="B470" s="21" t="n"/>
      <c r="C470" s="21" t="n"/>
      <c r="D470" s="21" t="n"/>
      <c r="E470" s="22" t="n"/>
      <c r="F470" s="23" t="n"/>
      <c r="G470" s="24">
        <f>IF(AND(ISNUMBER(F470),ISNUMBER(E470)),EDATE(F470,E470),"")</f>
        <v/>
      </c>
      <c r="H470" s="22" t="n"/>
      <c r="I470" s="24">
        <f>IF(ISNUMBER(G470),G470-IF(ISNUMBER(H470),H470,30),"")</f>
        <v/>
      </c>
      <c r="J470" s="25">
        <f>IF(G470="","",IF(ISNUMBER(G470),G470-TODAY(),"Check date"))</f>
        <v/>
      </c>
      <c r="K470" s="26">
        <f>IF(J470="","",IF(ISNUMBER(J470),IF(J470&lt;0,"Expired",IF(J470&lt;=30,"Due ≤30 days",IF(J470&lt;=90,"Due ≤90 days","OK"))),"Check date"))</f>
        <v/>
      </c>
      <c r="L470" s="21" t="n"/>
      <c r="M470" s="21" t="n"/>
      <c r="N470" s="21" t="n"/>
      <c r="O470" s="21" t="n"/>
      <c r="P470" s="21" t="n"/>
      <c r="Q470" s="21" t="n"/>
    </row>
    <row r="471">
      <c r="A471" s="21" t="n"/>
      <c r="B471" s="21" t="n"/>
      <c r="C471" s="21" t="n"/>
      <c r="D471" s="21" t="n"/>
      <c r="E471" s="22" t="n"/>
      <c r="F471" s="23" t="n"/>
      <c r="G471" s="24">
        <f>IF(AND(ISNUMBER(F471),ISNUMBER(E471)),EDATE(F471,E471),"")</f>
        <v/>
      </c>
      <c r="H471" s="22" t="n"/>
      <c r="I471" s="24">
        <f>IF(ISNUMBER(G471),G471-IF(ISNUMBER(H471),H471,30),"")</f>
        <v/>
      </c>
      <c r="J471" s="25">
        <f>IF(G471="","",IF(ISNUMBER(G471),G471-TODAY(),"Check date"))</f>
        <v/>
      </c>
      <c r="K471" s="26">
        <f>IF(J471="","",IF(ISNUMBER(J471),IF(J471&lt;0,"Expired",IF(J471&lt;=30,"Due ≤30 days",IF(J471&lt;=90,"Due ≤90 days","OK"))),"Check date"))</f>
        <v/>
      </c>
      <c r="L471" s="21" t="n"/>
      <c r="M471" s="21" t="n"/>
      <c r="N471" s="21" t="n"/>
      <c r="O471" s="21" t="n"/>
      <c r="P471" s="21" t="n"/>
      <c r="Q471" s="21" t="n"/>
    </row>
    <row r="472">
      <c r="A472" s="21" t="n"/>
      <c r="B472" s="21" t="n"/>
      <c r="C472" s="21" t="n"/>
      <c r="D472" s="21" t="n"/>
      <c r="E472" s="22" t="n"/>
      <c r="F472" s="23" t="n"/>
      <c r="G472" s="24">
        <f>IF(AND(ISNUMBER(F472),ISNUMBER(E472)),EDATE(F472,E472),"")</f>
        <v/>
      </c>
      <c r="H472" s="22" t="n"/>
      <c r="I472" s="24">
        <f>IF(ISNUMBER(G472),G472-IF(ISNUMBER(H472),H472,30),"")</f>
        <v/>
      </c>
      <c r="J472" s="25">
        <f>IF(G472="","",IF(ISNUMBER(G472),G472-TODAY(),"Check date"))</f>
        <v/>
      </c>
      <c r="K472" s="26">
        <f>IF(J472="","",IF(ISNUMBER(J472),IF(J472&lt;0,"Expired",IF(J472&lt;=30,"Due ≤30 days",IF(J472&lt;=90,"Due ≤90 days","OK"))),"Check date"))</f>
        <v/>
      </c>
      <c r="L472" s="21" t="n"/>
      <c r="M472" s="21" t="n"/>
      <c r="N472" s="21" t="n"/>
      <c r="O472" s="21" t="n"/>
      <c r="P472" s="21" t="n"/>
      <c r="Q472" s="21" t="n"/>
    </row>
    <row r="473">
      <c r="A473" s="21" t="n"/>
      <c r="B473" s="21" t="n"/>
      <c r="C473" s="21" t="n"/>
      <c r="D473" s="21" t="n"/>
      <c r="E473" s="22" t="n"/>
      <c r="F473" s="23" t="n"/>
      <c r="G473" s="24">
        <f>IF(AND(ISNUMBER(F473),ISNUMBER(E473)),EDATE(F473,E473),"")</f>
        <v/>
      </c>
      <c r="H473" s="22" t="n"/>
      <c r="I473" s="24">
        <f>IF(ISNUMBER(G473),G473-IF(ISNUMBER(H473),H473,30),"")</f>
        <v/>
      </c>
      <c r="J473" s="25">
        <f>IF(G473="","",IF(ISNUMBER(G473),G473-TODAY(),"Check date"))</f>
        <v/>
      </c>
      <c r="K473" s="26">
        <f>IF(J473="","",IF(ISNUMBER(J473),IF(J473&lt;0,"Expired",IF(J473&lt;=30,"Due ≤30 days",IF(J473&lt;=90,"Due ≤90 days","OK"))),"Check date"))</f>
        <v/>
      </c>
      <c r="L473" s="21" t="n"/>
      <c r="M473" s="21" t="n"/>
      <c r="N473" s="21" t="n"/>
      <c r="O473" s="21" t="n"/>
      <c r="P473" s="21" t="n"/>
      <c r="Q473" s="21" t="n"/>
    </row>
    <row r="474">
      <c r="A474" s="21" t="n"/>
      <c r="B474" s="21" t="n"/>
      <c r="C474" s="21" t="n"/>
      <c r="D474" s="21" t="n"/>
      <c r="E474" s="22" t="n"/>
      <c r="F474" s="23" t="n"/>
      <c r="G474" s="24">
        <f>IF(AND(ISNUMBER(F474),ISNUMBER(E474)),EDATE(F474,E474),"")</f>
        <v/>
      </c>
      <c r="H474" s="22" t="n"/>
      <c r="I474" s="24">
        <f>IF(ISNUMBER(G474),G474-IF(ISNUMBER(H474),H474,30),"")</f>
        <v/>
      </c>
      <c r="J474" s="25">
        <f>IF(G474="","",IF(ISNUMBER(G474),G474-TODAY(),"Check date"))</f>
        <v/>
      </c>
      <c r="K474" s="26">
        <f>IF(J474="","",IF(ISNUMBER(J474),IF(J474&lt;0,"Expired",IF(J474&lt;=30,"Due ≤30 days",IF(J474&lt;=90,"Due ≤90 days","OK"))),"Check date"))</f>
        <v/>
      </c>
      <c r="L474" s="21" t="n"/>
      <c r="M474" s="21" t="n"/>
      <c r="N474" s="21" t="n"/>
      <c r="O474" s="21" t="n"/>
      <c r="P474" s="21" t="n"/>
      <c r="Q474" s="21" t="n"/>
    </row>
    <row r="475">
      <c r="A475" s="21" t="n"/>
      <c r="B475" s="21" t="n"/>
      <c r="C475" s="21" t="n"/>
      <c r="D475" s="21" t="n"/>
      <c r="E475" s="22" t="n"/>
      <c r="F475" s="23" t="n"/>
      <c r="G475" s="24">
        <f>IF(AND(ISNUMBER(F475),ISNUMBER(E475)),EDATE(F475,E475),"")</f>
        <v/>
      </c>
      <c r="H475" s="22" t="n"/>
      <c r="I475" s="24">
        <f>IF(ISNUMBER(G475),G475-IF(ISNUMBER(H475),H475,30),"")</f>
        <v/>
      </c>
      <c r="J475" s="25">
        <f>IF(G475="","",IF(ISNUMBER(G475),G475-TODAY(),"Check date"))</f>
        <v/>
      </c>
      <c r="K475" s="26">
        <f>IF(J475="","",IF(ISNUMBER(J475),IF(J475&lt;0,"Expired",IF(J475&lt;=30,"Due ≤30 days",IF(J475&lt;=90,"Due ≤90 days","OK"))),"Check date"))</f>
        <v/>
      </c>
      <c r="L475" s="21" t="n"/>
      <c r="M475" s="21" t="n"/>
      <c r="N475" s="21" t="n"/>
      <c r="O475" s="21" t="n"/>
      <c r="P475" s="21" t="n"/>
      <c r="Q475" s="21" t="n"/>
    </row>
    <row r="476">
      <c r="A476" s="21" t="n"/>
      <c r="B476" s="21" t="n"/>
      <c r="C476" s="21" t="n"/>
      <c r="D476" s="21" t="n"/>
      <c r="E476" s="22" t="n"/>
      <c r="F476" s="23" t="n"/>
      <c r="G476" s="24">
        <f>IF(AND(ISNUMBER(F476),ISNUMBER(E476)),EDATE(F476,E476),"")</f>
        <v/>
      </c>
      <c r="H476" s="22" t="n"/>
      <c r="I476" s="24">
        <f>IF(ISNUMBER(G476),G476-IF(ISNUMBER(H476),H476,30),"")</f>
        <v/>
      </c>
      <c r="J476" s="25">
        <f>IF(G476="","",IF(ISNUMBER(G476),G476-TODAY(),"Check date"))</f>
        <v/>
      </c>
      <c r="K476" s="26">
        <f>IF(J476="","",IF(ISNUMBER(J476),IF(J476&lt;0,"Expired",IF(J476&lt;=30,"Due ≤30 days",IF(J476&lt;=90,"Due ≤90 days","OK"))),"Check date"))</f>
        <v/>
      </c>
      <c r="L476" s="21" t="n"/>
      <c r="M476" s="21" t="n"/>
      <c r="N476" s="21" t="n"/>
      <c r="O476" s="21" t="n"/>
      <c r="P476" s="21" t="n"/>
      <c r="Q476" s="21" t="n"/>
    </row>
    <row r="477">
      <c r="A477" s="21" t="n"/>
      <c r="B477" s="21" t="n"/>
      <c r="C477" s="21" t="n"/>
      <c r="D477" s="21" t="n"/>
      <c r="E477" s="22" t="n"/>
      <c r="F477" s="23" t="n"/>
      <c r="G477" s="24">
        <f>IF(AND(ISNUMBER(F477),ISNUMBER(E477)),EDATE(F477,E477),"")</f>
        <v/>
      </c>
      <c r="H477" s="22" t="n"/>
      <c r="I477" s="24">
        <f>IF(ISNUMBER(G477),G477-IF(ISNUMBER(H477),H477,30),"")</f>
        <v/>
      </c>
      <c r="J477" s="25">
        <f>IF(G477="","",IF(ISNUMBER(G477),G477-TODAY(),"Check date"))</f>
        <v/>
      </c>
      <c r="K477" s="26">
        <f>IF(J477="","",IF(ISNUMBER(J477),IF(J477&lt;0,"Expired",IF(J477&lt;=30,"Due ≤30 days",IF(J477&lt;=90,"Due ≤90 days","OK"))),"Check date"))</f>
        <v/>
      </c>
      <c r="L477" s="21" t="n"/>
      <c r="M477" s="21" t="n"/>
      <c r="N477" s="21" t="n"/>
      <c r="O477" s="21" t="n"/>
      <c r="P477" s="21" t="n"/>
      <c r="Q477" s="21" t="n"/>
    </row>
    <row r="478">
      <c r="A478" s="21" t="n"/>
      <c r="B478" s="21" t="n"/>
      <c r="C478" s="21" t="n"/>
      <c r="D478" s="21" t="n"/>
      <c r="E478" s="22" t="n"/>
      <c r="F478" s="23" t="n"/>
      <c r="G478" s="24">
        <f>IF(AND(ISNUMBER(F478),ISNUMBER(E478)),EDATE(F478,E478),"")</f>
        <v/>
      </c>
      <c r="H478" s="22" t="n"/>
      <c r="I478" s="24">
        <f>IF(ISNUMBER(G478),G478-IF(ISNUMBER(H478),H478,30),"")</f>
        <v/>
      </c>
      <c r="J478" s="25">
        <f>IF(G478="","",IF(ISNUMBER(G478),G478-TODAY(),"Check date"))</f>
        <v/>
      </c>
      <c r="K478" s="26">
        <f>IF(J478="","",IF(ISNUMBER(J478),IF(J478&lt;0,"Expired",IF(J478&lt;=30,"Due ≤30 days",IF(J478&lt;=90,"Due ≤90 days","OK"))),"Check date"))</f>
        <v/>
      </c>
      <c r="L478" s="21" t="n"/>
      <c r="M478" s="21" t="n"/>
      <c r="N478" s="21" t="n"/>
      <c r="O478" s="21" t="n"/>
      <c r="P478" s="21" t="n"/>
      <c r="Q478" s="21" t="n"/>
    </row>
    <row r="479">
      <c r="A479" s="21" t="n"/>
      <c r="B479" s="21" t="n"/>
      <c r="C479" s="21" t="n"/>
      <c r="D479" s="21" t="n"/>
      <c r="E479" s="22" t="n"/>
      <c r="F479" s="23" t="n"/>
      <c r="G479" s="24">
        <f>IF(AND(ISNUMBER(F479),ISNUMBER(E479)),EDATE(F479,E479),"")</f>
        <v/>
      </c>
      <c r="H479" s="22" t="n"/>
      <c r="I479" s="24">
        <f>IF(ISNUMBER(G479),G479-IF(ISNUMBER(H479),H479,30),"")</f>
        <v/>
      </c>
      <c r="J479" s="25">
        <f>IF(G479="","",IF(ISNUMBER(G479),G479-TODAY(),"Check date"))</f>
        <v/>
      </c>
      <c r="K479" s="26">
        <f>IF(J479="","",IF(ISNUMBER(J479),IF(J479&lt;0,"Expired",IF(J479&lt;=30,"Due ≤30 days",IF(J479&lt;=90,"Due ≤90 days","OK"))),"Check date"))</f>
        <v/>
      </c>
      <c r="L479" s="21" t="n"/>
      <c r="M479" s="21" t="n"/>
      <c r="N479" s="21" t="n"/>
      <c r="O479" s="21" t="n"/>
      <c r="P479" s="21" t="n"/>
      <c r="Q479" s="21" t="n"/>
    </row>
    <row r="480">
      <c r="A480" s="21" t="n"/>
      <c r="B480" s="21" t="n"/>
      <c r="C480" s="21" t="n"/>
      <c r="D480" s="21" t="n"/>
      <c r="E480" s="22" t="n"/>
      <c r="F480" s="23" t="n"/>
      <c r="G480" s="24">
        <f>IF(AND(ISNUMBER(F480),ISNUMBER(E480)),EDATE(F480,E480),"")</f>
        <v/>
      </c>
      <c r="H480" s="22" t="n"/>
      <c r="I480" s="24">
        <f>IF(ISNUMBER(G480),G480-IF(ISNUMBER(H480),H480,30),"")</f>
        <v/>
      </c>
      <c r="J480" s="25">
        <f>IF(G480="","",IF(ISNUMBER(G480),G480-TODAY(),"Check date"))</f>
        <v/>
      </c>
      <c r="K480" s="26">
        <f>IF(J480="","",IF(ISNUMBER(J480),IF(J480&lt;0,"Expired",IF(J480&lt;=30,"Due ≤30 days",IF(J480&lt;=90,"Due ≤90 days","OK"))),"Check date"))</f>
        <v/>
      </c>
      <c r="L480" s="21" t="n"/>
      <c r="M480" s="21" t="n"/>
      <c r="N480" s="21" t="n"/>
      <c r="O480" s="21" t="n"/>
      <c r="P480" s="21" t="n"/>
      <c r="Q480" s="21" t="n"/>
    </row>
    <row r="481">
      <c r="A481" s="21" t="n"/>
      <c r="B481" s="21" t="n"/>
      <c r="C481" s="21" t="n"/>
      <c r="D481" s="21" t="n"/>
      <c r="E481" s="22" t="n"/>
      <c r="F481" s="23" t="n"/>
      <c r="G481" s="24">
        <f>IF(AND(ISNUMBER(F481),ISNUMBER(E481)),EDATE(F481,E481),"")</f>
        <v/>
      </c>
      <c r="H481" s="22" t="n"/>
      <c r="I481" s="24">
        <f>IF(ISNUMBER(G481),G481-IF(ISNUMBER(H481),H481,30),"")</f>
        <v/>
      </c>
      <c r="J481" s="25">
        <f>IF(G481="","",IF(ISNUMBER(G481),G481-TODAY(),"Check date"))</f>
        <v/>
      </c>
      <c r="K481" s="26">
        <f>IF(J481="","",IF(ISNUMBER(J481),IF(J481&lt;0,"Expired",IF(J481&lt;=30,"Due ≤30 days",IF(J481&lt;=90,"Due ≤90 days","OK"))),"Check date"))</f>
        <v/>
      </c>
      <c r="L481" s="21" t="n"/>
      <c r="M481" s="21" t="n"/>
      <c r="N481" s="21" t="n"/>
      <c r="O481" s="21" t="n"/>
      <c r="P481" s="21" t="n"/>
      <c r="Q481" s="21" t="n"/>
    </row>
    <row r="482">
      <c r="A482" s="21" t="n"/>
      <c r="B482" s="21" t="n"/>
      <c r="C482" s="21" t="n"/>
      <c r="D482" s="21" t="n"/>
      <c r="E482" s="22" t="n"/>
      <c r="F482" s="23" t="n"/>
      <c r="G482" s="24">
        <f>IF(AND(ISNUMBER(F482),ISNUMBER(E482)),EDATE(F482,E482),"")</f>
        <v/>
      </c>
      <c r="H482" s="22" t="n"/>
      <c r="I482" s="24">
        <f>IF(ISNUMBER(G482),G482-IF(ISNUMBER(H482),H482,30),"")</f>
        <v/>
      </c>
      <c r="J482" s="25">
        <f>IF(G482="","",IF(ISNUMBER(G482),G482-TODAY(),"Check date"))</f>
        <v/>
      </c>
      <c r="K482" s="26">
        <f>IF(J482="","",IF(ISNUMBER(J482),IF(J482&lt;0,"Expired",IF(J482&lt;=30,"Due ≤30 days",IF(J482&lt;=90,"Due ≤90 days","OK"))),"Check date"))</f>
        <v/>
      </c>
      <c r="L482" s="21" t="n"/>
      <c r="M482" s="21" t="n"/>
      <c r="N482" s="21" t="n"/>
      <c r="O482" s="21" t="n"/>
      <c r="P482" s="21" t="n"/>
      <c r="Q482" s="21" t="n"/>
    </row>
    <row r="483">
      <c r="A483" s="21" t="n"/>
      <c r="B483" s="21" t="n"/>
      <c r="C483" s="21" t="n"/>
      <c r="D483" s="21" t="n"/>
      <c r="E483" s="22" t="n"/>
      <c r="F483" s="23" t="n"/>
      <c r="G483" s="24">
        <f>IF(AND(ISNUMBER(F483),ISNUMBER(E483)),EDATE(F483,E483),"")</f>
        <v/>
      </c>
      <c r="H483" s="22" t="n"/>
      <c r="I483" s="24">
        <f>IF(ISNUMBER(G483),G483-IF(ISNUMBER(H483),H483,30),"")</f>
        <v/>
      </c>
      <c r="J483" s="25">
        <f>IF(G483="","",IF(ISNUMBER(G483),G483-TODAY(),"Check date"))</f>
        <v/>
      </c>
      <c r="K483" s="26">
        <f>IF(J483="","",IF(ISNUMBER(J483),IF(J483&lt;0,"Expired",IF(J483&lt;=30,"Due ≤30 days",IF(J483&lt;=90,"Due ≤90 days","OK"))),"Check date"))</f>
        <v/>
      </c>
      <c r="L483" s="21" t="n"/>
      <c r="M483" s="21" t="n"/>
      <c r="N483" s="21" t="n"/>
      <c r="O483" s="21" t="n"/>
      <c r="P483" s="21" t="n"/>
      <c r="Q483" s="21" t="n"/>
    </row>
    <row r="484">
      <c r="A484" s="21" t="n"/>
      <c r="B484" s="21" t="n"/>
      <c r="C484" s="21" t="n"/>
      <c r="D484" s="21" t="n"/>
      <c r="E484" s="22" t="n"/>
      <c r="F484" s="23" t="n"/>
      <c r="G484" s="24">
        <f>IF(AND(ISNUMBER(F484),ISNUMBER(E484)),EDATE(F484,E484),"")</f>
        <v/>
      </c>
      <c r="H484" s="22" t="n"/>
      <c r="I484" s="24">
        <f>IF(ISNUMBER(G484),G484-IF(ISNUMBER(H484),H484,30),"")</f>
        <v/>
      </c>
      <c r="J484" s="25">
        <f>IF(G484="","",IF(ISNUMBER(G484),G484-TODAY(),"Check date"))</f>
        <v/>
      </c>
      <c r="K484" s="26">
        <f>IF(J484="","",IF(ISNUMBER(J484),IF(J484&lt;0,"Expired",IF(J484&lt;=30,"Due ≤30 days",IF(J484&lt;=90,"Due ≤90 days","OK"))),"Check date"))</f>
        <v/>
      </c>
      <c r="L484" s="21" t="n"/>
      <c r="M484" s="21" t="n"/>
      <c r="N484" s="21" t="n"/>
      <c r="O484" s="21" t="n"/>
      <c r="P484" s="21" t="n"/>
      <c r="Q484" s="21" t="n"/>
    </row>
    <row r="485">
      <c r="A485" s="21" t="n"/>
      <c r="B485" s="21" t="n"/>
      <c r="C485" s="21" t="n"/>
      <c r="D485" s="21" t="n"/>
      <c r="E485" s="22" t="n"/>
      <c r="F485" s="23" t="n"/>
      <c r="G485" s="24">
        <f>IF(AND(ISNUMBER(F485),ISNUMBER(E485)),EDATE(F485,E485),"")</f>
        <v/>
      </c>
      <c r="H485" s="22" t="n"/>
      <c r="I485" s="24">
        <f>IF(ISNUMBER(G485),G485-IF(ISNUMBER(H485),H485,30),"")</f>
        <v/>
      </c>
      <c r="J485" s="25">
        <f>IF(G485="","",IF(ISNUMBER(G485),G485-TODAY(),"Check date"))</f>
        <v/>
      </c>
      <c r="K485" s="26">
        <f>IF(J485="","",IF(ISNUMBER(J485),IF(J485&lt;0,"Expired",IF(J485&lt;=30,"Due ≤30 days",IF(J485&lt;=90,"Due ≤90 days","OK"))),"Check date"))</f>
        <v/>
      </c>
      <c r="L485" s="21" t="n"/>
      <c r="M485" s="21" t="n"/>
      <c r="N485" s="21" t="n"/>
      <c r="O485" s="21" t="n"/>
      <c r="P485" s="21" t="n"/>
      <c r="Q485" s="21" t="n"/>
    </row>
    <row r="486">
      <c r="A486" s="21" t="n"/>
      <c r="B486" s="21" t="n"/>
      <c r="C486" s="21" t="n"/>
      <c r="D486" s="21" t="n"/>
      <c r="E486" s="22" t="n"/>
      <c r="F486" s="23" t="n"/>
      <c r="G486" s="24">
        <f>IF(AND(ISNUMBER(F486),ISNUMBER(E486)),EDATE(F486,E486),"")</f>
        <v/>
      </c>
      <c r="H486" s="22" t="n"/>
      <c r="I486" s="24">
        <f>IF(ISNUMBER(G486),G486-IF(ISNUMBER(H486),H486,30),"")</f>
        <v/>
      </c>
      <c r="J486" s="25">
        <f>IF(G486="","",IF(ISNUMBER(G486),G486-TODAY(),"Check date"))</f>
        <v/>
      </c>
      <c r="K486" s="26">
        <f>IF(J486="","",IF(ISNUMBER(J486),IF(J486&lt;0,"Expired",IF(J486&lt;=30,"Due ≤30 days",IF(J486&lt;=90,"Due ≤90 days","OK"))),"Check date"))</f>
        <v/>
      </c>
      <c r="L486" s="21" t="n"/>
      <c r="M486" s="21" t="n"/>
      <c r="N486" s="21" t="n"/>
      <c r="O486" s="21" t="n"/>
      <c r="P486" s="21" t="n"/>
      <c r="Q486" s="21" t="n"/>
    </row>
    <row r="487">
      <c r="A487" s="21" t="n"/>
      <c r="B487" s="21" t="n"/>
      <c r="C487" s="21" t="n"/>
      <c r="D487" s="21" t="n"/>
      <c r="E487" s="22" t="n"/>
      <c r="F487" s="23" t="n"/>
      <c r="G487" s="24">
        <f>IF(AND(ISNUMBER(F487),ISNUMBER(E487)),EDATE(F487,E487),"")</f>
        <v/>
      </c>
      <c r="H487" s="22" t="n"/>
      <c r="I487" s="24">
        <f>IF(ISNUMBER(G487),G487-IF(ISNUMBER(H487),H487,30),"")</f>
        <v/>
      </c>
      <c r="J487" s="25">
        <f>IF(G487="","",IF(ISNUMBER(G487),G487-TODAY(),"Check date"))</f>
        <v/>
      </c>
      <c r="K487" s="26">
        <f>IF(J487="","",IF(ISNUMBER(J487),IF(J487&lt;0,"Expired",IF(J487&lt;=30,"Due ≤30 days",IF(J487&lt;=90,"Due ≤90 days","OK"))),"Check date"))</f>
        <v/>
      </c>
      <c r="L487" s="21" t="n"/>
      <c r="M487" s="21" t="n"/>
      <c r="N487" s="21" t="n"/>
      <c r="O487" s="21" t="n"/>
      <c r="P487" s="21" t="n"/>
      <c r="Q487" s="21" t="n"/>
    </row>
    <row r="488">
      <c r="A488" s="21" t="n"/>
      <c r="B488" s="21" t="n"/>
      <c r="C488" s="21" t="n"/>
      <c r="D488" s="21" t="n"/>
      <c r="E488" s="22" t="n"/>
      <c r="F488" s="23" t="n"/>
      <c r="G488" s="24">
        <f>IF(AND(ISNUMBER(F488),ISNUMBER(E488)),EDATE(F488,E488),"")</f>
        <v/>
      </c>
      <c r="H488" s="22" t="n"/>
      <c r="I488" s="24">
        <f>IF(ISNUMBER(G488),G488-IF(ISNUMBER(H488),H488,30),"")</f>
        <v/>
      </c>
      <c r="J488" s="25">
        <f>IF(G488="","",IF(ISNUMBER(G488),G488-TODAY(),"Check date"))</f>
        <v/>
      </c>
      <c r="K488" s="26">
        <f>IF(J488="","",IF(ISNUMBER(J488),IF(J488&lt;0,"Expired",IF(J488&lt;=30,"Due ≤30 days",IF(J488&lt;=90,"Due ≤90 days","OK"))),"Check date"))</f>
        <v/>
      </c>
      <c r="L488" s="21" t="n"/>
      <c r="M488" s="21" t="n"/>
      <c r="N488" s="21" t="n"/>
      <c r="O488" s="21" t="n"/>
      <c r="P488" s="21" t="n"/>
      <c r="Q488" s="21" t="n"/>
    </row>
    <row r="489">
      <c r="A489" s="21" t="n"/>
      <c r="B489" s="21" t="n"/>
      <c r="C489" s="21" t="n"/>
      <c r="D489" s="21" t="n"/>
      <c r="E489" s="22" t="n"/>
      <c r="F489" s="23" t="n"/>
      <c r="G489" s="24">
        <f>IF(AND(ISNUMBER(F489),ISNUMBER(E489)),EDATE(F489,E489),"")</f>
        <v/>
      </c>
      <c r="H489" s="22" t="n"/>
      <c r="I489" s="24">
        <f>IF(ISNUMBER(G489),G489-IF(ISNUMBER(H489),H489,30),"")</f>
        <v/>
      </c>
      <c r="J489" s="25">
        <f>IF(G489="","",IF(ISNUMBER(G489),G489-TODAY(),"Check date"))</f>
        <v/>
      </c>
      <c r="K489" s="26">
        <f>IF(J489="","",IF(ISNUMBER(J489),IF(J489&lt;0,"Expired",IF(J489&lt;=30,"Due ≤30 days",IF(J489&lt;=90,"Due ≤90 days","OK"))),"Check date"))</f>
        <v/>
      </c>
      <c r="L489" s="21" t="n"/>
      <c r="M489" s="21" t="n"/>
      <c r="N489" s="21" t="n"/>
      <c r="O489" s="21" t="n"/>
      <c r="P489" s="21" t="n"/>
      <c r="Q489" s="21" t="n"/>
    </row>
    <row r="490">
      <c r="A490" s="21" t="n"/>
      <c r="B490" s="21" t="n"/>
      <c r="C490" s="21" t="n"/>
      <c r="D490" s="21" t="n"/>
      <c r="E490" s="22" t="n"/>
      <c r="F490" s="23" t="n"/>
      <c r="G490" s="24">
        <f>IF(AND(ISNUMBER(F490),ISNUMBER(E490)),EDATE(F490,E490),"")</f>
        <v/>
      </c>
      <c r="H490" s="22" t="n"/>
      <c r="I490" s="24">
        <f>IF(ISNUMBER(G490),G490-IF(ISNUMBER(H490),H490,30),"")</f>
        <v/>
      </c>
      <c r="J490" s="25">
        <f>IF(G490="","",IF(ISNUMBER(G490),G490-TODAY(),"Check date"))</f>
        <v/>
      </c>
      <c r="K490" s="26">
        <f>IF(J490="","",IF(ISNUMBER(J490),IF(J490&lt;0,"Expired",IF(J490&lt;=30,"Due ≤30 days",IF(J490&lt;=90,"Due ≤90 days","OK"))),"Check date"))</f>
        <v/>
      </c>
      <c r="L490" s="21" t="n"/>
      <c r="M490" s="21" t="n"/>
      <c r="N490" s="21" t="n"/>
      <c r="O490" s="21" t="n"/>
      <c r="P490" s="21" t="n"/>
      <c r="Q490" s="21" t="n"/>
    </row>
    <row r="491">
      <c r="A491" s="21" t="n"/>
      <c r="B491" s="21" t="n"/>
      <c r="C491" s="21" t="n"/>
      <c r="D491" s="21" t="n"/>
      <c r="E491" s="22" t="n"/>
      <c r="F491" s="23" t="n"/>
      <c r="G491" s="24">
        <f>IF(AND(ISNUMBER(F491),ISNUMBER(E491)),EDATE(F491,E491),"")</f>
        <v/>
      </c>
      <c r="H491" s="22" t="n"/>
      <c r="I491" s="24">
        <f>IF(ISNUMBER(G491),G491-IF(ISNUMBER(H491),H491,30),"")</f>
        <v/>
      </c>
      <c r="J491" s="25">
        <f>IF(G491="","",IF(ISNUMBER(G491),G491-TODAY(),"Check date"))</f>
        <v/>
      </c>
      <c r="K491" s="26">
        <f>IF(J491="","",IF(ISNUMBER(J491),IF(J491&lt;0,"Expired",IF(J491&lt;=30,"Due ≤30 days",IF(J491&lt;=90,"Due ≤90 days","OK"))),"Check date"))</f>
        <v/>
      </c>
      <c r="L491" s="21" t="n"/>
      <c r="M491" s="21" t="n"/>
      <c r="N491" s="21" t="n"/>
      <c r="O491" s="21" t="n"/>
      <c r="P491" s="21" t="n"/>
      <c r="Q491" s="21" t="n"/>
    </row>
    <row r="492">
      <c r="A492" s="21" t="n"/>
      <c r="B492" s="21" t="n"/>
      <c r="C492" s="21" t="n"/>
      <c r="D492" s="21" t="n"/>
      <c r="E492" s="22" t="n"/>
      <c r="F492" s="23" t="n"/>
      <c r="G492" s="24">
        <f>IF(AND(ISNUMBER(F492),ISNUMBER(E492)),EDATE(F492,E492),"")</f>
        <v/>
      </c>
      <c r="H492" s="22" t="n"/>
      <c r="I492" s="24">
        <f>IF(ISNUMBER(G492),G492-IF(ISNUMBER(H492),H492,30),"")</f>
        <v/>
      </c>
      <c r="J492" s="25">
        <f>IF(G492="","",IF(ISNUMBER(G492),G492-TODAY(),"Check date"))</f>
        <v/>
      </c>
      <c r="K492" s="26">
        <f>IF(J492="","",IF(ISNUMBER(J492),IF(J492&lt;0,"Expired",IF(J492&lt;=30,"Due ≤30 days",IF(J492&lt;=90,"Due ≤90 days","OK"))),"Check date"))</f>
        <v/>
      </c>
      <c r="L492" s="21" t="n"/>
      <c r="M492" s="21" t="n"/>
      <c r="N492" s="21" t="n"/>
      <c r="O492" s="21" t="n"/>
      <c r="P492" s="21" t="n"/>
      <c r="Q492" s="21" t="n"/>
    </row>
    <row r="493">
      <c r="A493" s="21" t="n"/>
      <c r="B493" s="21" t="n"/>
      <c r="C493" s="21" t="n"/>
      <c r="D493" s="21" t="n"/>
      <c r="E493" s="22" t="n"/>
      <c r="F493" s="23" t="n"/>
      <c r="G493" s="24">
        <f>IF(AND(ISNUMBER(F493),ISNUMBER(E493)),EDATE(F493,E493),"")</f>
        <v/>
      </c>
      <c r="H493" s="22" t="n"/>
      <c r="I493" s="24">
        <f>IF(ISNUMBER(G493),G493-IF(ISNUMBER(H493),H493,30),"")</f>
        <v/>
      </c>
      <c r="J493" s="25">
        <f>IF(G493="","",IF(ISNUMBER(G493),G493-TODAY(),"Check date"))</f>
        <v/>
      </c>
      <c r="K493" s="26">
        <f>IF(J493="","",IF(ISNUMBER(J493),IF(J493&lt;0,"Expired",IF(J493&lt;=30,"Due ≤30 days",IF(J493&lt;=90,"Due ≤90 days","OK"))),"Check date"))</f>
        <v/>
      </c>
      <c r="L493" s="21" t="n"/>
      <c r="M493" s="21" t="n"/>
      <c r="N493" s="21" t="n"/>
      <c r="O493" s="21" t="n"/>
      <c r="P493" s="21" t="n"/>
      <c r="Q493" s="21" t="n"/>
    </row>
    <row r="494">
      <c r="A494" s="21" t="n"/>
      <c r="B494" s="21" t="n"/>
      <c r="C494" s="21" t="n"/>
      <c r="D494" s="21" t="n"/>
      <c r="E494" s="22" t="n"/>
      <c r="F494" s="23" t="n"/>
      <c r="G494" s="24">
        <f>IF(AND(ISNUMBER(F494),ISNUMBER(E494)),EDATE(F494,E494),"")</f>
        <v/>
      </c>
      <c r="H494" s="22" t="n"/>
      <c r="I494" s="24">
        <f>IF(ISNUMBER(G494),G494-IF(ISNUMBER(H494),H494,30),"")</f>
        <v/>
      </c>
      <c r="J494" s="25">
        <f>IF(G494="","",IF(ISNUMBER(G494),G494-TODAY(),"Check date"))</f>
        <v/>
      </c>
      <c r="K494" s="26">
        <f>IF(J494="","",IF(ISNUMBER(J494),IF(J494&lt;0,"Expired",IF(J494&lt;=30,"Due ≤30 days",IF(J494&lt;=90,"Due ≤90 days","OK"))),"Check date"))</f>
        <v/>
      </c>
      <c r="L494" s="21" t="n"/>
      <c r="M494" s="21" t="n"/>
      <c r="N494" s="21" t="n"/>
      <c r="O494" s="21" t="n"/>
      <c r="P494" s="21" t="n"/>
      <c r="Q494" s="21" t="n"/>
    </row>
    <row r="495">
      <c r="A495" s="21" t="n"/>
      <c r="B495" s="21" t="n"/>
      <c r="C495" s="21" t="n"/>
      <c r="D495" s="21" t="n"/>
      <c r="E495" s="22" t="n"/>
      <c r="F495" s="23" t="n"/>
      <c r="G495" s="24">
        <f>IF(AND(ISNUMBER(F495),ISNUMBER(E495)),EDATE(F495,E495),"")</f>
        <v/>
      </c>
      <c r="H495" s="22" t="n"/>
      <c r="I495" s="24">
        <f>IF(ISNUMBER(G495),G495-IF(ISNUMBER(H495),H495,30),"")</f>
        <v/>
      </c>
      <c r="J495" s="25">
        <f>IF(G495="","",IF(ISNUMBER(G495),G495-TODAY(),"Check date"))</f>
        <v/>
      </c>
      <c r="K495" s="26">
        <f>IF(J495="","",IF(ISNUMBER(J495),IF(J495&lt;0,"Expired",IF(J495&lt;=30,"Due ≤30 days",IF(J495&lt;=90,"Due ≤90 days","OK"))),"Check date"))</f>
        <v/>
      </c>
      <c r="L495" s="21" t="n"/>
      <c r="M495" s="21" t="n"/>
      <c r="N495" s="21" t="n"/>
      <c r="O495" s="21" t="n"/>
      <c r="P495" s="21" t="n"/>
      <c r="Q495" s="21" t="n"/>
    </row>
    <row r="496">
      <c r="A496" s="21" t="n"/>
      <c r="B496" s="21" t="n"/>
      <c r="C496" s="21" t="n"/>
      <c r="D496" s="21" t="n"/>
      <c r="E496" s="22" t="n"/>
      <c r="F496" s="23" t="n"/>
      <c r="G496" s="24">
        <f>IF(AND(ISNUMBER(F496),ISNUMBER(E496)),EDATE(F496,E496),"")</f>
        <v/>
      </c>
      <c r="H496" s="22" t="n"/>
      <c r="I496" s="24">
        <f>IF(ISNUMBER(G496),G496-IF(ISNUMBER(H496),H496,30),"")</f>
        <v/>
      </c>
      <c r="J496" s="25">
        <f>IF(G496="","",IF(ISNUMBER(G496),G496-TODAY(),"Check date"))</f>
        <v/>
      </c>
      <c r="K496" s="26">
        <f>IF(J496="","",IF(ISNUMBER(J496),IF(J496&lt;0,"Expired",IF(J496&lt;=30,"Due ≤30 days",IF(J496&lt;=90,"Due ≤90 days","OK"))),"Check date"))</f>
        <v/>
      </c>
      <c r="L496" s="21" t="n"/>
      <c r="M496" s="21" t="n"/>
      <c r="N496" s="21" t="n"/>
      <c r="O496" s="21" t="n"/>
      <c r="P496" s="21" t="n"/>
      <c r="Q496" s="21" t="n"/>
    </row>
    <row r="497">
      <c r="A497" s="21" t="n"/>
      <c r="B497" s="21" t="n"/>
      <c r="C497" s="21" t="n"/>
      <c r="D497" s="21" t="n"/>
      <c r="E497" s="22" t="n"/>
      <c r="F497" s="23" t="n"/>
      <c r="G497" s="24">
        <f>IF(AND(ISNUMBER(F497),ISNUMBER(E497)),EDATE(F497,E497),"")</f>
        <v/>
      </c>
      <c r="H497" s="22" t="n"/>
      <c r="I497" s="24">
        <f>IF(ISNUMBER(G497),G497-IF(ISNUMBER(H497),H497,30),"")</f>
        <v/>
      </c>
      <c r="J497" s="25">
        <f>IF(G497="","",IF(ISNUMBER(G497),G497-TODAY(),"Check date"))</f>
        <v/>
      </c>
      <c r="K497" s="26">
        <f>IF(J497="","",IF(ISNUMBER(J497),IF(J497&lt;0,"Expired",IF(J497&lt;=30,"Due ≤30 days",IF(J497&lt;=90,"Due ≤90 days","OK"))),"Check date"))</f>
        <v/>
      </c>
      <c r="L497" s="21" t="n"/>
      <c r="M497" s="21" t="n"/>
      <c r="N497" s="21" t="n"/>
      <c r="O497" s="21" t="n"/>
      <c r="P497" s="21" t="n"/>
      <c r="Q497" s="21" t="n"/>
    </row>
    <row r="498">
      <c r="A498" s="21" t="n"/>
      <c r="B498" s="21" t="n"/>
      <c r="C498" s="21" t="n"/>
      <c r="D498" s="21" t="n"/>
      <c r="E498" s="22" t="n"/>
      <c r="F498" s="23" t="n"/>
      <c r="G498" s="24">
        <f>IF(AND(ISNUMBER(F498),ISNUMBER(E498)),EDATE(F498,E498),"")</f>
        <v/>
      </c>
      <c r="H498" s="22" t="n"/>
      <c r="I498" s="24">
        <f>IF(ISNUMBER(G498),G498-IF(ISNUMBER(H498),H498,30),"")</f>
        <v/>
      </c>
      <c r="J498" s="25">
        <f>IF(G498="","",IF(ISNUMBER(G498),G498-TODAY(),"Check date"))</f>
        <v/>
      </c>
      <c r="K498" s="26">
        <f>IF(J498="","",IF(ISNUMBER(J498),IF(J498&lt;0,"Expired",IF(J498&lt;=30,"Due ≤30 days",IF(J498&lt;=90,"Due ≤90 days","OK"))),"Check date"))</f>
        <v/>
      </c>
      <c r="L498" s="21" t="n"/>
      <c r="M498" s="21" t="n"/>
      <c r="N498" s="21" t="n"/>
      <c r="O498" s="21" t="n"/>
      <c r="P498" s="21" t="n"/>
      <c r="Q498" s="21" t="n"/>
    </row>
    <row r="499">
      <c r="A499" s="21" t="n"/>
      <c r="B499" s="21" t="n"/>
      <c r="C499" s="21" t="n"/>
      <c r="D499" s="21" t="n"/>
      <c r="E499" s="22" t="n"/>
      <c r="F499" s="23" t="n"/>
      <c r="G499" s="24">
        <f>IF(AND(ISNUMBER(F499),ISNUMBER(E499)),EDATE(F499,E499),"")</f>
        <v/>
      </c>
      <c r="H499" s="22" t="n"/>
      <c r="I499" s="24">
        <f>IF(ISNUMBER(G499),G499-IF(ISNUMBER(H499),H499,30),"")</f>
        <v/>
      </c>
      <c r="J499" s="25">
        <f>IF(G499="","",IF(ISNUMBER(G499),G499-TODAY(),"Check date"))</f>
        <v/>
      </c>
      <c r="K499" s="26">
        <f>IF(J499="","",IF(ISNUMBER(J499),IF(J499&lt;0,"Expired",IF(J499&lt;=30,"Due ≤30 days",IF(J499&lt;=90,"Due ≤90 days","OK"))),"Check date"))</f>
        <v/>
      </c>
      <c r="L499" s="21" t="n"/>
      <c r="M499" s="21" t="n"/>
      <c r="N499" s="21" t="n"/>
      <c r="O499" s="21" t="n"/>
      <c r="P499" s="21" t="n"/>
      <c r="Q499" s="21" t="n"/>
    </row>
    <row r="500">
      <c r="A500" s="21" t="n"/>
      <c r="B500" s="21" t="n"/>
      <c r="C500" s="21" t="n"/>
      <c r="D500" s="21" t="n"/>
      <c r="E500" s="22" t="n"/>
      <c r="F500" s="23" t="n"/>
      <c r="G500" s="24">
        <f>IF(AND(ISNUMBER(F500),ISNUMBER(E500)),EDATE(F500,E500),"")</f>
        <v/>
      </c>
      <c r="H500" s="22" t="n"/>
      <c r="I500" s="24">
        <f>IF(ISNUMBER(G500),G500-IF(ISNUMBER(H500),H500,30),"")</f>
        <v/>
      </c>
      <c r="J500" s="25">
        <f>IF(G500="","",IF(ISNUMBER(G500),G500-TODAY(),"Check date"))</f>
        <v/>
      </c>
      <c r="K500" s="26">
        <f>IF(J500="","",IF(ISNUMBER(J500),IF(J500&lt;0,"Expired",IF(J500&lt;=30,"Due ≤30 days",IF(J500&lt;=90,"Due ≤90 days","OK"))),"Check date"))</f>
        <v/>
      </c>
      <c r="L500" s="21" t="n"/>
      <c r="M500" s="21" t="n"/>
      <c r="N500" s="21" t="n"/>
      <c r="O500" s="21" t="n"/>
      <c r="P500" s="21" t="n"/>
      <c r="Q500" s="21" t="n"/>
    </row>
    <row r="501">
      <c r="A501" s="21" t="n"/>
      <c r="B501" s="21" t="n"/>
      <c r="C501" s="21" t="n"/>
      <c r="D501" s="21" t="n"/>
      <c r="E501" s="22" t="n"/>
      <c r="F501" s="23" t="n"/>
      <c r="G501" s="24">
        <f>IF(AND(ISNUMBER(F501),ISNUMBER(E501)),EDATE(F501,E501),"")</f>
        <v/>
      </c>
      <c r="H501" s="22" t="n"/>
      <c r="I501" s="24">
        <f>IF(ISNUMBER(G501),G501-IF(ISNUMBER(H501),H501,30),"")</f>
        <v/>
      </c>
      <c r="J501" s="25">
        <f>IF(G501="","",IF(ISNUMBER(G501),G501-TODAY(),"Check date"))</f>
        <v/>
      </c>
      <c r="K501" s="26">
        <f>IF(J501="","",IF(ISNUMBER(J501),IF(J501&lt;0,"Expired",IF(J501&lt;=30,"Due ≤30 days",IF(J501&lt;=90,"Due ≤90 days","OK"))),"Check date"))</f>
        <v/>
      </c>
      <c r="L501" s="21" t="n"/>
      <c r="M501" s="21" t="n"/>
      <c r="N501" s="21" t="n"/>
      <c r="O501" s="21" t="n"/>
      <c r="P501" s="21" t="n"/>
      <c r="Q501" s="21" t="n"/>
    </row>
    <row r="502">
      <c r="A502" s="21" t="n"/>
      <c r="B502" s="21" t="n"/>
      <c r="C502" s="21" t="n"/>
      <c r="D502" s="21" t="n"/>
      <c r="E502" s="22" t="n"/>
      <c r="F502" s="23" t="n"/>
      <c r="G502" s="24">
        <f>IF(AND(ISNUMBER(F502),ISNUMBER(E502)),EDATE(F502,E502),"")</f>
        <v/>
      </c>
      <c r="H502" s="22" t="n"/>
      <c r="I502" s="24">
        <f>IF(ISNUMBER(G502),G502-IF(ISNUMBER(H502),H502,30),"")</f>
        <v/>
      </c>
      <c r="J502" s="25">
        <f>IF(G502="","",IF(ISNUMBER(G502),G502-TODAY(),"Check date"))</f>
        <v/>
      </c>
      <c r="K502" s="26">
        <f>IF(J502="","",IF(ISNUMBER(J502),IF(J502&lt;0,"Expired",IF(J502&lt;=30,"Due ≤30 days",IF(J502&lt;=90,"Due ≤90 days","OK"))),"Check date"))</f>
        <v/>
      </c>
      <c r="L502" s="21" t="n"/>
      <c r="M502" s="21" t="n"/>
      <c r="N502" s="21" t="n"/>
      <c r="O502" s="21" t="n"/>
      <c r="P502" s="21" t="n"/>
      <c r="Q502" s="21" t="n"/>
    </row>
    <row r="503">
      <c r="A503" s="21" t="n"/>
      <c r="B503" s="21" t="n"/>
      <c r="C503" s="21" t="n"/>
      <c r="D503" s="21" t="n"/>
      <c r="E503" s="22" t="n"/>
      <c r="F503" s="23" t="n"/>
      <c r="G503" s="24">
        <f>IF(AND(ISNUMBER(F503),ISNUMBER(E503)),EDATE(F503,E503),"")</f>
        <v/>
      </c>
      <c r="H503" s="22" t="n"/>
      <c r="I503" s="24">
        <f>IF(ISNUMBER(G503),G503-IF(ISNUMBER(H503),H503,30),"")</f>
        <v/>
      </c>
      <c r="J503" s="25">
        <f>IF(G503="","",IF(ISNUMBER(G503),G503-TODAY(),"Check date"))</f>
        <v/>
      </c>
      <c r="K503" s="26">
        <f>IF(J503="","",IF(ISNUMBER(J503),IF(J503&lt;0,"Expired",IF(J503&lt;=30,"Due ≤30 days",IF(J503&lt;=90,"Due ≤90 days","OK"))),"Check date"))</f>
        <v/>
      </c>
      <c r="L503" s="21" t="n"/>
      <c r="M503" s="21" t="n"/>
      <c r="N503" s="21" t="n"/>
      <c r="O503" s="21" t="n"/>
      <c r="P503" s="21" t="n"/>
      <c r="Q503" s="21" t="n"/>
    </row>
  </sheetData>
  <conditionalFormatting sqref="G4:G503 J4:J503 K4:K503">
    <cfRule type="expression" priority="1" dxfId="0" stopIfTrue="1">
      <formula>AND(ISNUMBER($J4),$J4&lt;0)</formula>
    </cfRule>
    <cfRule type="expression" priority="2" dxfId="1" stopIfTrue="1">
      <formula>AND(ISNUMBER($J4),$J4&lt;=30)</formula>
    </cfRule>
    <cfRule type="expression" priority="3" dxfId="2" stopIfTrue="1">
      <formula>AND(ISNUMBER($J4),$J4&lt;=90)</formula>
    </cfRule>
    <cfRule type="expression" priority="4" dxfId="3" stopIfTrue="1">
      <formula>ISNUMBER($J4)</formula>
    </cfRule>
  </conditionalFormatting>
  <conditionalFormatting sqref="A4:A503 B4:B503 C4:C503 D4:D503 E4:E503 F4:F503 H4:H503 L4:L503 M4:M503 N4:N503 O4:O503 P4:P503 Q4:Q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D4:D503" showDropDown="0" showInputMessage="0" showErrorMessage="1" allowBlank="1" errorTitle="Inspection / service" error="That is not on the list. Keep it anyway, or add it to the Lists sheet." type="list" errorStyle="warning">
      <formula1>=Lists!$A$2:$A$9</formula1>
    </dataValidation>
    <dataValidation sqref="E4:E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M4:M503" showDropDown="0" showInputMessage="0" showErrorMessage="1" allowBlank="1" errorTitle="Last result" error="Pick one of: Pass, Pass with actions, Fail, Not applicable." type="list" errorStyle="stop">
      <formula1>"Pass,Pass with actions,Fail,Not applicable"</formula1>
    </dataValidation>
    <dataValidation sqref="O4:O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0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4" customWidth="1" min="3" max="3"/>
    <col width="22" customWidth="1" min="4" max="4"/>
    <col width="16" customWidth="1" min="5" max="5"/>
    <col width="36" customWidth="1" min="6" max="6"/>
    <col width="13" customWidth="1" min="7" max="7"/>
    <col width="26" customWidth="1" min="8" max="8"/>
  </cols>
  <sheetData>
    <row r="1">
      <c r="A1" s="18" t="inlineStr">
        <is>
          <t>Inspection history (one row per visit)</t>
        </is>
      </c>
    </row>
    <row r="2">
      <c r="A2" s="3" t="inlineStr">
        <is>
          <t>Add a row after every inspection or service, then update "Last inspected" on the Assets sheet.</t>
        </is>
      </c>
    </row>
    <row r="3" ht="32" customHeight="1">
      <c r="A3" s="27" t="inlineStr">
        <is>
          <t>Date</t>
        </is>
      </c>
      <c r="B3" s="27" t="inlineStr">
        <is>
          <t>Asset ID</t>
        </is>
      </c>
      <c r="C3" s="27" t="inlineStr">
        <is>
          <t>Inspection / service</t>
        </is>
      </c>
      <c r="D3" s="27" t="inlineStr">
        <is>
          <t>Inspector / contractor</t>
        </is>
      </c>
      <c r="E3" s="27" t="inlineStr">
        <is>
          <t>Result</t>
        </is>
      </c>
      <c r="F3" s="27" t="inlineStr">
        <is>
          <t>Actions raised</t>
        </is>
      </c>
      <c r="G3" s="27" t="inlineStr">
        <is>
          <t>Actions closed on</t>
        </is>
      </c>
      <c r="H3" s="27" t="inlineStr">
        <is>
          <t>Report link</t>
        </is>
      </c>
    </row>
    <row r="4">
      <c r="A4" s="23" t="n">
        <v>45944</v>
      </c>
      <c r="B4" s="21" t="inlineStr">
        <is>
          <t>FLT-01</t>
        </is>
      </c>
      <c r="C4" s="21" t="inlineStr">
        <is>
          <t>Thorough examination</t>
        </is>
      </c>
      <c r="D4" s="21" t="inlineStr">
        <is>
          <t>Example Inspection Ltd</t>
        </is>
      </c>
      <c r="E4" s="21" t="inlineStr">
        <is>
          <t>Pass</t>
        </is>
      </c>
      <c r="F4" s="21" t="n"/>
      <c r="G4" s="23" t="n"/>
      <c r="H4" s="21" t="n"/>
    </row>
    <row r="5">
      <c r="A5" s="23" t="n">
        <v>46114</v>
      </c>
      <c r="B5" s="21" t="inlineStr">
        <is>
          <t>LIFT-01</t>
        </is>
      </c>
      <c r="C5" s="21" t="inlineStr">
        <is>
          <t>Thorough examination</t>
        </is>
      </c>
      <c r="D5" s="21" t="inlineStr">
        <is>
          <t>Example Inspection Ltd</t>
        </is>
      </c>
      <c r="E5" s="21" t="inlineStr">
        <is>
          <t>Pass with actions</t>
        </is>
      </c>
      <c r="F5" s="21" t="inlineStr">
        <is>
          <t>Example – replace worn door seal (Jo)</t>
        </is>
      </c>
      <c r="G5" s="23" t="n"/>
      <c r="H5" s="21" t="n"/>
    </row>
    <row r="6">
      <c r="A6" s="23" t="n"/>
      <c r="B6" s="21" t="n"/>
      <c r="C6" s="21" t="n"/>
      <c r="D6" s="21" t="n"/>
      <c r="E6" s="21" t="n"/>
      <c r="F6" s="21" t="n"/>
      <c r="G6" s="23" t="n"/>
      <c r="H6" s="21" t="n"/>
    </row>
    <row r="7">
      <c r="A7" s="23" t="n"/>
      <c r="B7" s="21" t="n"/>
      <c r="C7" s="21" t="n"/>
      <c r="D7" s="21" t="n"/>
      <c r="E7" s="21" t="n"/>
      <c r="F7" s="21" t="n"/>
      <c r="G7" s="23" t="n"/>
      <c r="H7" s="21" t="n"/>
    </row>
    <row r="8">
      <c r="A8" s="23" t="n"/>
      <c r="B8" s="21" t="n"/>
      <c r="C8" s="21" t="n"/>
      <c r="D8" s="21" t="n"/>
      <c r="E8" s="21" t="n"/>
      <c r="F8" s="21" t="n"/>
      <c r="G8" s="23" t="n"/>
      <c r="H8" s="21" t="n"/>
    </row>
    <row r="9">
      <c r="A9" s="23" t="n"/>
      <c r="B9" s="21" t="n"/>
      <c r="C9" s="21" t="n"/>
      <c r="D9" s="21" t="n"/>
      <c r="E9" s="21" t="n"/>
      <c r="F9" s="21" t="n"/>
      <c r="G9" s="23" t="n"/>
      <c r="H9" s="21" t="n"/>
    </row>
    <row r="10">
      <c r="A10" s="23" t="n"/>
      <c r="B10" s="21" t="n"/>
      <c r="C10" s="21" t="n"/>
      <c r="D10" s="21" t="n"/>
      <c r="E10" s="21" t="n"/>
      <c r="F10" s="21" t="n"/>
      <c r="G10" s="23" t="n"/>
      <c r="H10" s="21" t="n"/>
    </row>
    <row r="11">
      <c r="A11" s="23" t="n"/>
      <c r="B11" s="21" t="n"/>
      <c r="C11" s="21" t="n"/>
      <c r="D11" s="21" t="n"/>
      <c r="E11" s="21" t="n"/>
      <c r="F11" s="21" t="n"/>
      <c r="G11" s="23" t="n"/>
      <c r="H11" s="21" t="n"/>
    </row>
    <row r="12">
      <c r="A12" s="23" t="n"/>
      <c r="B12" s="21" t="n"/>
      <c r="C12" s="21" t="n"/>
      <c r="D12" s="21" t="n"/>
      <c r="E12" s="21" t="n"/>
      <c r="F12" s="21" t="n"/>
      <c r="G12" s="23" t="n"/>
      <c r="H12" s="21" t="n"/>
    </row>
    <row r="13">
      <c r="A13" s="23" t="n"/>
      <c r="B13" s="21" t="n"/>
      <c r="C13" s="21" t="n"/>
      <c r="D13" s="21" t="n"/>
      <c r="E13" s="21" t="n"/>
      <c r="F13" s="21" t="n"/>
      <c r="G13" s="23" t="n"/>
      <c r="H13" s="21" t="n"/>
    </row>
    <row r="14">
      <c r="A14" s="23" t="n"/>
      <c r="B14" s="21" t="n"/>
      <c r="C14" s="21" t="n"/>
      <c r="D14" s="21" t="n"/>
      <c r="E14" s="21" t="n"/>
      <c r="F14" s="21" t="n"/>
      <c r="G14" s="23" t="n"/>
      <c r="H14" s="21" t="n"/>
    </row>
    <row r="15">
      <c r="A15" s="23" t="n"/>
      <c r="B15" s="21" t="n"/>
      <c r="C15" s="21" t="n"/>
      <c r="D15" s="21" t="n"/>
      <c r="E15" s="21" t="n"/>
      <c r="F15" s="21" t="n"/>
      <c r="G15" s="23" t="n"/>
      <c r="H15" s="21" t="n"/>
    </row>
    <row r="16">
      <c r="A16" s="23" t="n"/>
      <c r="B16" s="21" t="n"/>
      <c r="C16" s="21" t="n"/>
      <c r="D16" s="21" t="n"/>
      <c r="E16" s="21" t="n"/>
      <c r="F16" s="21" t="n"/>
      <c r="G16" s="23" t="n"/>
      <c r="H16" s="21" t="n"/>
    </row>
    <row r="17">
      <c r="A17" s="23" t="n"/>
      <c r="B17" s="21" t="n"/>
      <c r="C17" s="21" t="n"/>
      <c r="D17" s="21" t="n"/>
      <c r="E17" s="21" t="n"/>
      <c r="F17" s="21" t="n"/>
      <c r="G17" s="23" t="n"/>
      <c r="H17" s="21" t="n"/>
    </row>
    <row r="18">
      <c r="A18" s="23" t="n"/>
      <c r="B18" s="21" t="n"/>
      <c r="C18" s="21" t="n"/>
      <c r="D18" s="21" t="n"/>
      <c r="E18" s="21" t="n"/>
      <c r="F18" s="21" t="n"/>
      <c r="G18" s="23" t="n"/>
      <c r="H18" s="21" t="n"/>
    </row>
    <row r="19">
      <c r="A19" s="23" t="n"/>
      <c r="B19" s="21" t="n"/>
      <c r="C19" s="21" t="n"/>
      <c r="D19" s="21" t="n"/>
      <c r="E19" s="21" t="n"/>
      <c r="F19" s="21" t="n"/>
      <c r="G19" s="23" t="n"/>
      <c r="H19" s="21" t="n"/>
    </row>
    <row r="20">
      <c r="A20" s="23" t="n"/>
      <c r="B20" s="21" t="n"/>
      <c r="C20" s="21" t="n"/>
      <c r="D20" s="21" t="n"/>
      <c r="E20" s="21" t="n"/>
      <c r="F20" s="21" t="n"/>
      <c r="G20" s="23" t="n"/>
      <c r="H20" s="21" t="n"/>
    </row>
    <row r="21">
      <c r="A21" s="23" t="n"/>
      <c r="B21" s="21" t="n"/>
      <c r="C21" s="21" t="n"/>
      <c r="D21" s="21" t="n"/>
      <c r="E21" s="21" t="n"/>
      <c r="F21" s="21" t="n"/>
      <c r="G21" s="23" t="n"/>
      <c r="H21" s="21" t="n"/>
    </row>
    <row r="22">
      <c r="A22" s="23" t="n"/>
      <c r="B22" s="21" t="n"/>
      <c r="C22" s="21" t="n"/>
      <c r="D22" s="21" t="n"/>
      <c r="E22" s="21" t="n"/>
      <c r="F22" s="21" t="n"/>
      <c r="G22" s="23" t="n"/>
      <c r="H22" s="21" t="n"/>
    </row>
    <row r="23">
      <c r="A23" s="23" t="n"/>
      <c r="B23" s="21" t="n"/>
      <c r="C23" s="21" t="n"/>
      <c r="D23" s="21" t="n"/>
      <c r="E23" s="21" t="n"/>
      <c r="F23" s="21" t="n"/>
      <c r="G23" s="23" t="n"/>
      <c r="H23" s="21" t="n"/>
    </row>
    <row r="24">
      <c r="A24" s="23" t="n"/>
      <c r="B24" s="21" t="n"/>
      <c r="C24" s="21" t="n"/>
      <c r="D24" s="21" t="n"/>
      <c r="E24" s="21" t="n"/>
      <c r="F24" s="21" t="n"/>
      <c r="G24" s="23" t="n"/>
      <c r="H24" s="21" t="n"/>
    </row>
    <row r="25">
      <c r="A25" s="23" t="n"/>
      <c r="B25" s="21" t="n"/>
      <c r="C25" s="21" t="n"/>
      <c r="D25" s="21" t="n"/>
      <c r="E25" s="21" t="n"/>
      <c r="F25" s="21" t="n"/>
      <c r="G25" s="23" t="n"/>
      <c r="H25" s="21" t="n"/>
    </row>
    <row r="26">
      <c r="A26" s="23" t="n"/>
      <c r="B26" s="21" t="n"/>
      <c r="C26" s="21" t="n"/>
      <c r="D26" s="21" t="n"/>
      <c r="E26" s="21" t="n"/>
      <c r="F26" s="21" t="n"/>
      <c r="G26" s="23" t="n"/>
      <c r="H26" s="21" t="n"/>
    </row>
    <row r="27">
      <c r="A27" s="23" t="n"/>
      <c r="B27" s="21" t="n"/>
      <c r="C27" s="21" t="n"/>
      <c r="D27" s="21" t="n"/>
      <c r="E27" s="21" t="n"/>
      <c r="F27" s="21" t="n"/>
      <c r="G27" s="23" t="n"/>
      <c r="H27" s="21" t="n"/>
    </row>
    <row r="28">
      <c r="A28" s="23" t="n"/>
      <c r="B28" s="21" t="n"/>
      <c r="C28" s="21" t="n"/>
      <c r="D28" s="21" t="n"/>
      <c r="E28" s="21" t="n"/>
      <c r="F28" s="21" t="n"/>
      <c r="G28" s="23" t="n"/>
      <c r="H28" s="21" t="n"/>
    </row>
    <row r="29">
      <c r="A29" s="23" t="n"/>
      <c r="B29" s="21" t="n"/>
      <c r="C29" s="21" t="n"/>
      <c r="D29" s="21" t="n"/>
      <c r="E29" s="21" t="n"/>
      <c r="F29" s="21" t="n"/>
      <c r="G29" s="23" t="n"/>
      <c r="H29" s="21" t="n"/>
    </row>
    <row r="30">
      <c r="A30" s="23" t="n"/>
      <c r="B30" s="21" t="n"/>
      <c r="C30" s="21" t="n"/>
      <c r="D30" s="21" t="n"/>
      <c r="E30" s="21" t="n"/>
      <c r="F30" s="21" t="n"/>
      <c r="G30" s="23" t="n"/>
      <c r="H30" s="21" t="n"/>
    </row>
    <row r="31">
      <c r="A31" s="23" t="n"/>
      <c r="B31" s="21" t="n"/>
      <c r="C31" s="21" t="n"/>
      <c r="D31" s="21" t="n"/>
      <c r="E31" s="21" t="n"/>
      <c r="F31" s="21" t="n"/>
      <c r="G31" s="23" t="n"/>
      <c r="H31" s="21" t="n"/>
    </row>
    <row r="32">
      <c r="A32" s="23" t="n"/>
      <c r="B32" s="21" t="n"/>
      <c r="C32" s="21" t="n"/>
      <c r="D32" s="21" t="n"/>
      <c r="E32" s="21" t="n"/>
      <c r="F32" s="21" t="n"/>
      <c r="G32" s="23" t="n"/>
      <c r="H32" s="21" t="n"/>
    </row>
    <row r="33">
      <c r="A33" s="23" t="n"/>
      <c r="B33" s="21" t="n"/>
      <c r="C33" s="21" t="n"/>
      <c r="D33" s="21" t="n"/>
      <c r="E33" s="21" t="n"/>
      <c r="F33" s="21" t="n"/>
      <c r="G33" s="23" t="n"/>
      <c r="H33" s="21" t="n"/>
    </row>
    <row r="34">
      <c r="A34" s="23" t="n"/>
      <c r="B34" s="21" t="n"/>
      <c r="C34" s="21" t="n"/>
      <c r="D34" s="21" t="n"/>
      <c r="E34" s="21" t="n"/>
      <c r="F34" s="21" t="n"/>
      <c r="G34" s="23" t="n"/>
      <c r="H34" s="21" t="n"/>
    </row>
    <row r="35">
      <c r="A35" s="23" t="n"/>
      <c r="B35" s="21" t="n"/>
      <c r="C35" s="21" t="n"/>
      <c r="D35" s="21" t="n"/>
      <c r="E35" s="21" t="n"/>
      <c r="F35" s="21" t="n"/>
      <c r="G35" s="23" t="n"/>
      <c r="H35" s="21" t="n"/>
    </row>
    <row r="36">
      <c r="A36" s="23" t="n"/>
      <c r="B36" s="21" t="n"/>
      <c r="C36" s="21" t="n"/>
      <c r="D36" s="21" t="n"/>
      <c r="E36" s="21" t="n"/>
      <c r="F36" s="21" t="n"/>
      <c r="G36" s="23" t="n"/>
      <c r="H36" s="21" t="n"/>
    </row>
    <row r="37">
      <c r="A37" s="23" t="n"/>
      <c r="B37" s="21" t="n"/>
      <c r="C37" s="21" t="n"/>
      <c r="D37" s="21" t="n"/>
      <c r="E37" s="21" t="n"/>
      <c r="F37" s="21" t="n"/>
      <c r="G37" s="23" t="n"/>
      <c r="H37" s="21" t="n"/>
    </row>
    <row r="38">
      <c r="A38" s="23" t="n"/>
      <c r="B38" s="21" t="n"/>
      <c r="C38" s="21" t="n"/>
      <c r="D38" s="21" t="n"/>
      <c r="E38" s="21" t="n"/>
      <c r="F38" s="21" t="n"/>
      <c r="G38" s="23" t="n"/>
      <c r="H38" s="21" t="n"/>
    </row>
    <row r="39">
      <c r="A39" s="23" t="n"/>
      <c r="B39" s="21" t="n"/>
      <c r="C39" s="21" t="n"/>
      <c r="D39" s="21" t="n"/>
      <c r="E39" s="21" t="n"/>
      <c r="F39" s="21" t="n"/>
      <c r="G39" s="23" t="n"/>
      <c r="H39" s="21" t="n"/>
    </row>
    <row r="40">
      <c r="A40" s="23" t="n"/>
      <c r="B40" s="21" t="n"/>
      <c r="C40" s="21" t="n"/>
      <c r="D40" s="21" t="n"/>
      <c r="E40" s="21" t="n"/>
      <c r="F40" s="21" t="n"/>
      <c r="G40" s="23" t="n"/>
      <c r="H40" s="21" t="n"/>
    </row>
    <row r="41">
      <c r="A41" s="23" t="n"/>
      <c r="B41" s="21" t="n"/>
      <c r="C41" s="21" t="n"/>
      <c r="D41" s="21" t="n"/>
      <c r="E41" s="21" t="n"/>
      <c r="F41" s="21" t="n"/>
      <c r="G41" s="23" t="n"/>
      <c r="H41" s="21" t="n"/>
    </row>
    <row r="42">
      <c r="A42" s="23" t="n"/>
      <c r="B42" s="21" t="n"/>
      <c r="C42" s="21" t="n"/>
      <c r="D42" s="21" t="n"/>
      <c r="E42" s="21" t="n"/>
      <c r="F42" s="21" t="n"/>
      <c r="G42" s="23" t="n"/>
      <c r="H42" s="21" t="n"/>
    </row>
    <row r="43">
      <c r="A43" s="23" t="n"/>
      <c r="B43" s="21" t="n"/>
      <c r="C43" s="21" t="n"/>
      <c r="D43" s="21" t="n"/>
      <c r="E43" s="21" t="n"/>
      <c r="F43" s="21" t="n"/>
      <c r="G43" s="23" t="n"/>
      <c r="H43" s="21" t="n"/>
    </row>
    <row r="44">
      <c r="A44" s="23" t="n"/>
      <c r="B44" s="21" t="n"/>
      <c r="C44" s="21" t="n"/>
      <c r="D44" s="21" t="n"/>
      <c r="E44" s="21" t="n"/>
      <c r="F44" s="21" t="n"/>
      <c r="G44" s="23" t="n"/>
      <c r="H44" s="21" t="n"/>
    </row>
    <row r="45">
      <c r="A45" s="23" t="n"/>
      <c r="B45" s="21" t="n"/>
      <c r="C45" s="21" t="n"/>
      <c r="D45" s="21" t="n"/>
      <c r="E45" s="21" t="n"/>
      <c r="F45" s="21" t="n"/>
      <c r="G45" s="23" t="n"/>
      <c r="H45" s="21" t="n"/>
    </row>
    <row r="46">
      <c r="A46" s="23" t="n"/>
      <c r="B46" s="21" t="n"/>
      <c r="C46" s="21" t="n"/>
      <c r="D46" s="21" t="n"/>
      <c r="E46" s="21" t="n"/>
      <c r="F46" s="21" t="n"/>
      <c r="G46" s="23" t="n"/>
      <c r="H46" s="21" t="n"/>
    </row>
    <row r="47">
      <c r="A47" s="23" t="n"/>
      <c r="B47" s="21" t="n"/>
      <c r="C47" s="21" t="n"/>
      <c r="D47" s="21" t="n"/>
      <c r="E47" s="21" t="n"/>
      <c r="F47" s="21" t="n"/>
      <c r="G47" s="23" t="n"/>
      <c r="H47" s="21" t="n"/>
    </row>
    <row r="48">
      <c r="A48" s="23" t="n"/>
      <c r="B48" s="21" t="n"/>
      <c r="C48" s="21" t="n"/>
      <c r="D48" s="21" t="n"/>
      <c r="E48" s="21" t="n"/>
      <c r="F48" s="21" t="n"/>
      <c r="G48" s="23" t="n"/>
      <c r="H48" s="21" t="n"/>
    </row>
    <row r="49">
      <c r="A49" s="23" t="n"/>
      <c r="B49" s="21" t="n"/>
      <c r="C49" s="21" t="n"/>
      <c r="D49" s="21" t="n"/>
      <c r="E49" s="21" t="n"/>
      <c r="F49" s="21" t="n"/>
      <c r="G49" s="23" t="n"/>
      <c r="H49" s="21" t="n"/>
    </row>
    <row r="50">
      <c r="A50" s="23" t="n"/>
      <c r="B50" s="21" t="n"/>
      <c r="C50" s="21" t="n"/>
      <c r="D50" s="21" t="n"/>
      <c r="E50" s="21" t="n"/>
      <c r="F50" s="21" t="n"/>
      <c r="G50" s="23" t="n"/>
      <c r="H50" s="21" t="n"/>
    </row>
    <row r="51">
      <c r="A51" s="23" t="n"/>
      <c r="B51" s="21" t="n"/>
      <c r="C51" s="21" t="n"/>
      <c r="D51" s="21" t="n"/>
      <c r="E51" s="21" t="n"/>
      <c r="F51" s="21" t="n"/>
      <c r="G51" s="23" t="n"/>
      <c r="H51" s="21" t="n"/>
    </row>
    <row r="52">
      <c r="A52" s="23" t="n"/>
      <c r="B52" s="21" t="n"/>
      <c r="C52" s="21" t="n"/>
      <c r="D52" s="21" t="n"/>
      <c r="E52" s="21" t="n"/>
      <c r="F52" s="21" t="n"/>
      <c r="G52" s="23" t="n"/>
      <c r="H52" s="21" t="n"/>
    </row>
    <row r="53">
      <c r="A53" s="23" t="n"/>
      <c r="B53" s="21" t="n"/>
      <c r="C53" s="21" t="n"/>
      <c r="D53" s="21" t="n"/>
      <c r="E53" s="21" t="n"/>
      <c r="F53" s="21" t="n"/>
      <c r="G53" s="23" t="n"/>
      <c r="H53" s="21" t="n"/>
    </row>
    <row r="54">
      <c r="A54" s="23" t="n"/>
      <c r="B54" s="21" t="n"/>
      <c r="C54" s="21" t="n"/>
      <c r="D54" s="21" t="n"/>
      <c r="E54" s="21" t="n"/>
      <c r="F54" s="21" t="n"/>
      <c r="G54" s="23" t="n"/>
      <c r="H54" s="21" t="n"/>
    </row>
    <row r="55">
      <c r="A55" s="23" t="n"/>
      <c r="B55" s="21" t="n"/>
      <c r="C55" s="21" t="n"/>
      <c r="D55" s="21" t="n"/>
      <c r="E55" s="21" t="n"/>
      <c r="F55" s="21" t="n"/>
      <c r="G55" s="23" t="n"/>
      <c r="H55" s="21" t="n"/>
    </row>
    <row r="56">
      <c r="A56" s="23" t="n"/>
      <c r="B56" s="21" t="n"/>
      <c r="C56" s="21" t="n"/>
      <c r="D56" s="21" t="n"/>
      <c r="E56" s="21" t="n"/>
      <c r="F56" s="21" t="n"/>
      <c r="G56" s="23" t="n"/>
      <c r="H56" s="21" t="n"/>
    </row>
    <row r="57">
      <c r="A57" s="23" t="n"/>
      <c r="B57" s="21" t="n"/>
      <c r="C57" s="21" t="n"/>
      <c r="D57" s="21" t="n"/>
      <c r="E57" s="21" t="n"/>
      <c r="F57" s="21" t="n"/>
      <c r="G57" s="23" t="n"/>
      <c r="H57" s="21" t="n"/>
    </row>
    <row r="58">
      <c r="A58" s="23" t="n"/>
      <c r="B58" s="21" t="n"/>
      <c r="C58" s="21" t="n"/>
      <c r="D58" s="21" t="n"/>
      <c r="E58" s="21" t="n"/>
      <c r="F58" s="21" t="n"/>
      <c r="G58" s="23" t="n"/>
      <c r="H58" s="21" t="n"/>
    </row>
    <row r="59">
      <c r="A59" s="23" t="n"/>
      <c r="B59" s="21" t="n"/>
      <c r="C59" s="21" t="n"/>
      <c r="D59" s="21" t="n"/>
      <c r="E59" s="21" t="n"/>
      <c r="F59" s="21" t="n"/>
      <c r="G59" s="23" t="n"/>
      <c r="H59" s="21" t="n"/>
    </row>
    <row r="60">
      <c r="A60" s="23" t="n"/>
      <c r="B60" s="21" t="n"/>
      <c r="C60" s="21" t="n"/>
      <c r="D60" s="21" t="n"/>
      <c r="E60" s="21" t="n"/>
      <c r="F60" s="21" t="n"/>
      <c r="G60" s="23" t="n"/>
      <c r="H60" s="21" t="n"/>
    </row>
    <row r="61">
      <c r="A61" s="23" t="n"/>
      <c r="B61" s="21" t="n"/>
      <c r="C61" s="21" t="n"/>
      <c r="D61" s="21" t="n"/>
      <c r="E61" s="21" t="n"/>
      <c r="F61" s="21" t="n"/>
      <c r="G61" s="23" t="n"/>
      <c r="H61" s="21" t="n"/>
    </row>
    <row r="62">
      <c r="A62" s="23" t="n"/>
      <c r="B62" s="21" t="n"/>
      <c r="C62" s="21" t="n"/>
      <c r="D62" s="21" t="n"/>
      <c r="E62" s="21" t="n"/>
      <c r="F62" s="21" t="n"/>
      <c r="G62" s="23" t="n"/>
      <c r="H62" s="21" t="n"/>
    </row>
    <row r="63">
      <c r="A63" s="23" t="n"/>
      <c r="B63" s="21" t="n"/>
      <c r="C63" s="21" t="n"/>
      <c r="D63" s="21" t="n"/>
      <c r="E63" s="21" t="n"/>
      <c r="F63" s="21" t="n"/>
      <c r="G63" s="23" t="n"/>
      <c r="H63" s="21" t="n"/>
    </row>
    <row r="64">
      <c r="A64" s="23" t="n"/>
      <c r="B64" s="21" t="n"/>
      <c r="C64" s="21" t="n"/>
      <c r="D64" s="21" t="n"/>
      <c r="E64" s="21" t="n"/>
      <c r="F64" s="21" t="n"/>
      <c r="G64" s="23" t="n"/>
      <c r="H64" s="21" t="n"/>
    </row>
    <row r="65">
      <c r="A65" s="23" t="n"/>
      <c r="B65" s="21" t="n"/>
      <c r="C65" s="21" t="n"/>
      <c r="D65" s="21" t="n"/>
      <c r="E65" s="21" t="n"/>
      <c r="F65" s="21" t="n"/>
      <c r="G65" s="23" t="n"/>
      <c r="H65" s="21" t="n"/>
    </row>
    <row r="66">
      <c r="A66" s="23" t="n"/>
      <c r="B66" s="21" t="n"/>
      <c r="C66" s="21" t="n"/>
      <c r="D66" s="21" t="n"/>
      <c r="E66" s="21" t="n"/>
      <c r="F66" s="21" t="n"/>
      <c r="G66" s="23" t="n"/>
      <c r="H66" s="21" t="n"/>
    </row>
    <row r="67">
      <c r="A67" s="23" t="n"/>
      <c r="B67" s="21" t="n"/>
      <c r="C67" s="21" t="n"/>
      <c r="D67" s="21" t="n"/>
      <c r="E67" s="21" t="n"/>
      <c r="F67" s="21" t="n"/>
      <c r="G67" s="23" t="n"/>
      <c r="H67" s="21" t="n"/>
    </row>
    <row r="68">
      <c r="A68" s="23" t="n"/>
      <c r="B68" s="21" t="n"/>
      <c r="C68" s="21" t="n"/>
      <c r="D68" s="21" t="n"/>
      <c r="E68" s="21" t="n"/>
      <c r="F68" s="21" t="n"/>
      <c r="G68" s="23" t="n"/>
      <c r="H68" s="21" t="n"/>
    </row>
    <row r="69">
      <c r="A69" s="23" t="n"/>
      <c r="B69" s="21" t="n"/>
      <c r="C69" s="21" t="n"/>
      <c r="D69" s="21" t="n"/>
      <c r="E69" s="21" t="n"/>
      <c r="F69" s="21" t="n"/>
      <c r="G69" s="23" t="n"/>
      <c r="H69" s="21" t="n"/>
    </row>
    <row r="70">
      <c r="A70" s="23" t="n"/>
      <c r="B70" s="21" t="n"/>
      <c r="C70" s="21" t="n"/>
      <c r="D70" s="21" t="n"/>
      <c r="E70" s="21" t="n"/>
      <c r="F70" s="21" t="n"/>
      <c r="G70" s="23" t="n"/>
      <c r="H70" s="21" t="n"/>
    </row>
    <row r="71">
      <c r="A71" s="23" t="n"/>
      <c r="B71" s="21" t="n"/>
      <c r="C71" s="21" t="n"/>
      <c r="D71" s="21" t="n"/>
      <c r="E71" s="21" t="n"/>
      <c r="F71" s="21" t="n"/>
      <c r="G71" s="23" t="n"/>
      <c r="H71" s="21" t="n"/>
    </row>
    <row r="72">
      <c r="A72" s="23" t="n"/>
      <c r="B72" s="21" t="n"/>
      <c r="C72" s="21" t="n"/>
      <c r="D72" s="21" t="n"/>
      <c r="E72" s="21" t="n"/>
      <c r="F72" s="21" t="n"/>
      <c r="G72" s="23" t="n"/>
      <c r="H72" s="21" t="n"/>
    </row>
    <row r="73">
      <c r="A73" s="23" t="n"/>
      <c r="B73" s="21" t="n"/>
      <c r="C73" s="21" t="n"/>
      <c r="D73" s="21" t="n"/>
      <c r="E73" s="21" t="n"/>
      <c r="F73" s="21" t="n"/>
      <c r="G73" s="23" t="n"/>
      <c r="H73" s="21" t="n"/>
    </row>
    <row r="74">
      <c r="A74" s="23" t="n"/>
      <c r="B74" s="21" t="n"/>
      <c r="C74" s="21" t="n"/>
      <c r="D74" s="21" t="n"/>
      <c r="E74" s="21" t="n"/>
      <c r="F74" s="21" t="n"/>
      <c r="G74" s="23" t="n"/>
      <c r="H74" s="21" t="n"/>
    </row>
    <row r="75">
      <c r="A75" s="23" t="n"/>
      <c r="B75" s="21" t="n"/>
      <c r="C75" s="21" t="n"/>
      <c r="D75" s="21" t="n"/>
      <c r="E75" s="21" t="n"/>
      <c r="F75" s="21" t="n"/>
      <c r="G75" s="23" t="n"/>
      <c r="H75" s="21" t="n"/>
    </row>
    <row r="76">
      <c r="A76" s="23" t="n"/>
      <c r="B76" s="21" t="n"/>
      <c r="C76" s="21" t="n"/>
      <c r="D76" s="21" t="n"/>
      <c r="E76" s="21" t="n"/>
      <c r="F76" s="21" t="n"/>
      <c r="G76" s="23" t="n"/>
      <c r="H76" s="21" t="n"/>
    </row>
    <row r="77">
      <c r="A77" s="23" t="n"/>
      <c r="B77" s="21" t="n"/>
      <c r="C77" s="21" t="n"/>
      <c r="D77" s="21" t="n"/>
      <c r="E77" s="21" t="n"/>
      <c r="F77" s="21" t="n"/>
      <c r="G77" s="23" t="n"/>
      <c r="H77" s="21" t="n"/>
    </row>
    <row r="78">
      <c r="A78" s="23" t="n"/>
      <c r="B78" s="21" t="n"/>
      <c r="C78" s="21" t="n"/>
      <c r="D78" s="21" t="n"/>
      <c r="E78" s="21" t="n"/>
      <c r="F78" s="21" t="n"/>
      <c r="G78" s="23" t="n"/>
      <c r="H78" s="21" t="n"/>
    </row>
    <row r="79">
      <c r="A79" s="23" t="n"/>
      <c r="B79" s="21" t="n"/>
      <c r="C79" s="21" t="n"/>
      <c r="D79" s="21" t="n"/>
      <c r="E79" s="21" t="n"/>
      <c r="F79" s="21" t="n"/>
      <c r="G79" s="23" t="n"/>
      <c r="H79" s="21" t="n"/>
    </row>
    <row r="80">
      <c r="A80" s="23" t="n"/>
      <c r="B80" s="21" t="n"/>
      <c r="C80" s="21" t="n"/>
      <c r="D80" s="21" t="n"/>
      <c r="E80" s="21" t="n"/>
      <c r="F80" s="21" t="n"/>
      <c r="G80" s="23" t="n"/>
      <c r="H80" s="21" t="n"/>
    </row>
    <row r="81">
      <c r="A81" s="23" t="n"/>
      <c r="B81" s="21" t="n"/>
      <c r="C81" s="21" t="n"/>
      <c r="D81" s="21" t="n"/>
      <c r="E81" s="21" t="n"/>
      <c r="F81" s="21" t="n"/>
      <c r="G81" s="23" t="n"/>
      <c r="H81" s="21" t="n"/>
    </row>
    <row r="82">
      <c r="A82" s="23" t="n"/>
      <c r="B82" s="21" t="n"/>
      <c r="C82" s="21" t="n"/>
      <c r="D82" s="21" t="n"/>
      <c r="E82" s="21" t="n"/>
      <c r="F82" s="21" t="n"/>
      <c r="G82" s="23" t="n"/>
      <c r="H82" s="21" t="n"/>
    </row>
    <row r="83">
      <c r="A83" s="23" t="n"/>
      <c r="B83" s="21" t="n"/>
      <c r="C83" s="21" t="n"/>
      <c r="D83" s="21" t="n"/>
      <c r="E83" s="21" t="n"/>
      <c r="F83" s="21" t="n"/>
      <c r="G83" s="23" t="n"/>
      <c r="H83" s="21" t="n"/>
    </row>
    <row r="84">
      <c r="A84" s="23" t="n"/>
      <c r="B84" s="21" t="n"/>
      <c r="C84" s="21" t="n"/>
      <c r="D84" s="21" t="n"/>
      <c r="E84" s="21" t="n"/>
      <c r="F84" s="21" t="n"/>
      <c r="G84" s="23" t="n"/>
      <c r="H84" s="21" t="n"/>
    </row>
    <row r="85">
      <c r="A85" s="23" t="n"/>
      <c r="B85" s="21" t="n"/>
      <c r="C85" s="21" t="n"/>
      <c r="D85" s="21" t="n"/>
      <c r="E85" s="21" t="n"/>
      <c r="F85" s="21" t="n"/>
      <c r="G85" s="23" t="n"/>
      <c r="H85" s="21" t="n"/>
    </row>
    <row r="86">
      <c r="A86" s="23" t="n"/>
      <c r="B86" s="21" t="n"/>
      <c r="C86" s="21" t="n"/>
      <c r="D86" s="21" t="n"/>
      <c r="E86" s="21" t="n"/>
      <c r="F86" s="21" t="n"/>
      <c r="G86" s="23" t="n"/>
      <c r="H86" s="21" t="n"/>
    </row>
    <row r="87">
      <c r="A87" s="23" t="n"/>
      <c r="B87" s="21" t="n"/>
      <c r="C87" s="21" t="n"/>
      <c r="D87" s="21" t="n"/>
      <c r="E87" s="21" t="n"/>
      <c r="F87" s="21" t="n"/>
      <c r="G87" s="23" t="n"/>
      <c r="H87" s="21" t="n"/>
    </row>
    <row r="88">
      <c r="A88" s="23" t="n"/>
      <c r="B88" s="21" t="n"/>
      <c r="C88" s="21" t="n"/>
      <c r="D88" s="21" t="n"/>
      <c r="E88" s="21" t="n"/>
      <c r="F88" s="21" t="n"/>
      <c r="G88" s="23" t="n"/>
      <c r="H88" s="21" t="n"/>
    </row>
    <row r="89">
      <c r="A89" s="23" t="n"/>
      <c r="B89" s="21" t="n"/>
      <c r="C89" s="21" t="n"/>
      <c r="D89" s="21" t="n"/>
      <c r="E89" s="21" t="n"/>
      <c r="F89" s="21" t="n"/>
      <c r="G89" s="23" t="n"/>
      <c r="H89" s="21" t="n"/>
    </row>
    <row r="90">
      <c r="A90" s="23" t="n"/>
      <c r="B90" s="21" t="n"/>
      <c r="C90" s="21" t="n"/>
      <c r="D90" s="21" t="n"/>
      <c r="E90" s="21" t="n"/>
      <c r="F90" s="21" t="n"/>
      <c r="G90" s="23" t="n"/>
      <c r="H90" s="21" t="n"/>
    </row>
    <row r="91">
      <c r="A91" s="23" t="n"/>
      <c r="B91" s="21" t="n"/>
      <c r="C91" s="21" t="n"/>
      <c r="D91" s="21" t="n"/>
      <c r="E91" s="21" t="n"/>
      <c r="F91" s="21" t="n"/>
      <c r="G91" s="23" t="n"/>
      <c r="H91" s="21" t="n"/>
    </row>
    <row r="92">
      <c r="A92" s="23" t="n"/>
      <c r="B92" s="21" t="n"/>
      <c r="C92" s="21" t="n"/>
      <c r="D92" s="21" t="n"/>
      <c r="E92" s="21" t="n"/>
      <c r="F92" s="21" t="n"/>
      <c r="G92" s="23" t="n"/>
      <c r="H92" s="21" t="n"/>
    </row>
    <row r="93">
      <c r="A93" s="23" t="n"/>
      <c r="B93" s="21" t="n"/>
      <c r="C93" s="21" t="n"/>
      <c r="D93" s="21" t="n"/>
      <c r="E93" s="21" t="n"/>
      <c r="F93" s="21" t="n"/>
      <c r="G93" s="23" t="n"/>
      <c r="H93" s="21" t="n"/>
    </row>
    <row r="94">
      <c r="A94" s="23" t="n"/>
      <c r="B94" s="21" t="n"/>
      <c r="C94" s="21" t="n"/>
      <c r="D94" s="21" t="n"/>
      <c r="E94" s="21" t="n"/>
      <c r="F94" s="21" t="n"/>
      <c r="G94" s="23" t="n"/>
      <c r="H94" s="21" t="n"/>
    </row>
    <row r="95">
      <c r="A95" s="23" t="n"/>
      <c r="B95" s="21" t="n"/>
      <c r="C95" s="21" t="n"/>
      <c r="D95" s="21" t="n"/>
      <c r="E95" s="21" t="n"/>
      <c r="F95" s="21" t="n"/>
      <c r="G95" s="23" t="n"/>
      <c r="H95" s="21" t="n"/>
    </row>
    <row r="96">
      <c r="A96" s="23" t="n"/>
      <c r="B96" s="21" t="n"/>
      <c r="C96" s="21" t="n"/>
      <c r="D96" s="21" t="n"/>
      <c r="E96" s="21" t="n"/>
      <c r="F96" s="21" t="n"/>
      <c r="G96" s="23" t="n"/>
      <c r="H96" s="21" t="n"/>
    </row>
    <row r="97">
      <c r="A97" s="23" t="n"/>
      <c r="B97" s="21" t="n"/>
      <c r="C97" s="21" t="n"/>
      <c r="D97" s="21" t="n"/>
      <c r="E97" s="21" t="n"/>
      <c r="F97" s="21" t="n"/>
      <c r="G97" s="23" t="n"/>
      <c r="H97" s="21" t="n"/>
    </row>
    <row r="98">
      <c r="A98" s="23" t="n"/>
      <c r="B98" s="21" t="n"/>
      <c r="C98" s="21" t="n"/>
      <c r="D98" s="21" t="n"/>
      <c r="E98" s="21" t="n"/>
      <c r="F98" s="21" t="n"/>
      <c r="G98" s="23" t="n"/>
      <c r="H98" s="21" t="n"/>
    </row>
    <row r="99">
      <c r="A99" s="23" t="n"/>
      <c r="B99" s="21" t="n"/>
      <c r="C99" s="21" t="n"/>
      <c r="D99" s="21" t="n"/>
      <c r="E99" s="21" t="n"/>
      <c r="F99" s="21" t="n"/>
      <c r="G99" s="23" t="n"/>
      <c r="H99" s="21" t="n"/>
    </row>
    <row r="100">
      <c r="A100" s="23" t="n"/>
      <c r="B100" s="21" t="n"/>
      <c r="C100" s="21" t="n"/>
      <c r="D100" s="21" t="n"/>
      <c r="E100" s="21" t="n"/>
      <c r="F100" s="21" t="n"/>
      <c r="G100" s="23" t="n"/>
      <c r="H100" s="21" t="n"/>
    </row>
    <row r="101">
      <c r="A101" s="23" t="n"/>
      <c r="B101" s="21" t="n"/>
      <c r="C101" s="21" t="n"/>
      <c r="D101" s="21" t="n"/>
      <c r="E101" s="21" t="n"/>
      <c r="F101" s="21" t="n"/>
      <c r="G101" s="23" t="n"/>
      <c r="H101" s="21" t="n"/>
    </row>
    <row r="102">
      <c r="A102" s="23" t="n"/>
      <c r="B102" s="21" t="n"/>
      <c r="C102" s="21" t="n"/>
      <c r="D102" s="21" t="n"/>
      <c r="E102" s="21" t="n"/>
      <c r="F102" s="21" t="n"/>
      <c r="G102" s="23" t="n"/>
      <c r="H102" s="21" t="n"/>
    </row>
    <row r="103">
      <c r="A103" s="23" t="n"/>
      <c r="B103" s="21" t="n"/>
      <c r="C103" s="21" t="n"/>
      <c r="D103" s="21" t="n"/>
      <c r="E103" s="21" t="n"/>
      <c r="F103" s="21" t="n"/>
      <c r="G103" s="23" t="n"/>
      <c r="H103" s="21" t="n"/>
    </row>
    <row r="104">
      <c r="A104" s="23" t="n"/>
      <c r="B104" s="21" t="n"/>
      <c r="C104" s="21" t="n"/>
      <c r="D104" s="21" t="n"/>
      <c r="E104" s="21" t="n"/>
      <c r="F104" s="21" t="n"/>
      <c r="G104" s="23" t="n"/>
      <c r="H104" s="21" t="n"/>
    </row>
    <row r="105">
      <c r="A105" s="23" t="n"/>
      <c r="B105" s="21" t="n"/>
      <c r="C105" s="21" t="n"/>
      <c r="D105" s="21" t="n"/>
      <c r="E105" s="21" t="n"/>
      <c r="F105" s="21" t="n"/>
      <c r="G105" s="23" t="n"/>
      <c r="H105" s="21" t="n"/>
    </row>
    <row r="106">
      <c r="A106" s="23" t="n"/>
      <c r="B106" s="21" t="n"/>
      <c r="C106" s="21" t="n"/>
      <c r="D106" s="21" t="n"/>
      <c r="E106" s="21" t="n"/>
      <c r="F106" s="21" t="n"/>
      <c r="G106" s="23" t="n"/>
      <c r="H106" s="21" t="n"/>
    </row>
    <row r="107">
      <c r="A107" s="23" t="n"/>
      <c r="B107" s="21" t="n"/>
      <c r="C107" s="21" t="n"/>
      <c r="D107" s="21" t="n"/>
      <c r="E107" s="21" t="n"/>
      <c r="F107" s="21" t="n"/>
      <c r="G107" s="23" t="n"/>
      <c r="H107" s="21" t="n"/>
    </row>
    <row r="108">
      <c r="A108" s="23" t="n"/>
      <c r="B108" s="21" t="n"/>
      <c r="C108" s="21" t="n"/>
      <c r="D108" s="21" t="n"/>
      <c r="E108" s="21" t="n"/>
      <c r="F108" s="21" t="n"/>
      <c r="G108" s="23" t="n"/>
      <c r="H108" s="21" t="n"/>
    </row>
    <row r="109">
      <c r="A109" s="23" t="n"/>
      <c r="B109" s="21" t="n"/>
      <c r="C109" s="21" t="n"/>
      <c r="D109" s="21" t="n"/>
      <c r="E109" s="21" t="n"/>
      <c r="F109" s="21" t="n"/>
      <c r="G109" s="23" t="n"/>
      <c r="H109" s="21" t="n"/>
    </row>
    <row r="110">
      <c r="A110" s="23" t="n"/>
      <c r="B110" s="21" t="n"/>
      <c r="C110" s="21" t="n"/>
      <c r="D110" s="21" t="n"/>
      <c r="E110" s="21" t="n"/>
      <c r="F110" s="21" t="n"/>
      <c r="G110" s="23" t="n"/>
      <c r="H110" s="21" t="n"/>
    </row>
    <row r="111">
      <c r="A111" s="23" t="n"/>
      <c r="B111" s="21" t="n"/>
      <c r="C111" s="21" t="n"/>
      <c r="D111" s="21" t="n"/>
      <c r="E111" s="21" t="n"/>
      <c r="F111" s="21" t="n"/>
      <c r="G111" s="23" t="n"/>
      <c r="H111" s="21" t="n"/>
    </row>
    <row r="112">
      <c r="A112" s="23" t="n"/>
      <c r="B112" s="21" t="n"/>
      <c r="C112" s="21" t="n"/>
      <c r="D112" s="21" t="n"/>
      <c r="E112" s="21" t="n"/>
      <c r="F112" s="21" t="n"/>
      <c r="G112" s="23" t="n"/>
      <c r="H112" s="21" t="n"/>
    </row>
    <row r="113">
      <c r="A113" s="23" t="n"/>
      <c r="B113" s="21" t="n"/>
      <c r="C113" s="21" t="n"/>
      <c r="D113" s="21" t="n"/>
      <c r="E113" s="21" t="n"/>
      <c r="F113" s="21" t="n"/>
      <c r="G113" s="23" t="n"/>
      <c r="H113" s="21" t="n"/>
    </row>
    <row r="114">
      <c r="A114" s="23" t="n"/>
      <c r="B114" s="21" t="n"/>
      <c r="C114" s="21" t="n"/>
      <c r="D114" s="21" t="n"/>
      <c r="E114" s="21" t="n"/>
      <c r="F114" s="21" t="n"/>
      <c r="G114" s="23" t="n"/>
      <c r="H114" s="21" t="n"/>
    </row>
    <row r="115">
      <c r="A115" s="23" t="n"/>
      <c r="B115" s="21" t="n"/>
      <c r="C115" s="21" t="n"/>
      <c r="D115" s="21" t="n"/>
      <c r="E115" s="21" t="n"/>
      <c r="F115" s="21" t="n"/>
      <c r="G115" s="23" t="n"/>
      <c r="H115" s="21" t="n"/>
    </row>
    <row r="116">
      <c r="A116" s="23" t="n"/>
      <c r="B116" s="21" t="n"/>
      <c r="C116" s="21" t="n"/>
      <c r="D116" s="21" t="n"/>
      <c r="E116" s="21" t="n"/>
      <c r="F116" s="21" t="n"/>
      <c r="G116" s="23" t="n"/>
      <c r="H116" s="21" t="n"/>
    </row>
    <row r="117">
      <c r="A117" s="23" t="n"/>
      <c r="B117" s="21" t="n"/>
      <c r="C117" s="21" t="n"/>
      <c r="D117" s="21" t="n"/>
      <c r="E117" s="21" t="n"/>
      <c r="F117" s="21" t="n"/>
      <c r="G117" s="23" t="n"/>
      <c r="H117" s="21" t="n"/>
    </row>
    <row r="118">
      <c r="A118" s="23" t="n"/>
      <c r="B118" s="21" t="n"/>
      <c r="C118" s="21" t="n"/>
      <c r="D118" s="21" t="n"/>
      <c r="E118" s="21" t="n"/>
      <c r="F118" s="21" t="n"/>
      <c r="G118" s="23" t="n"/>
      <c r="H118" s="21" t="n"/>
    </row>
    <row r="119">
      <c r="A119" s="23" t="n"/>
      <c r="B119" s="21" t="n"/>
      <c r="C119" s="21" t="n"/>
      <c r="D119" s="21" t="n"/>
      <c r="E119" s="21" t="n"/>
      <c r="F119" s="21" t="n"/>
      <c r="G119" s="23" t="n"/>
      <c r="H119" s="21" t="n"/>
    </row>
    <row r="120">
      <c r="A120" s="23" t="n"/>
      <c r="B120" s="21" t="n"/>
      <c r="C120" s="21" t="n"/>
      <c r="D120" s="21" t="n"/>
      <c r="E120" s="21" t="n"/>
      <c r="F120" s="21" t="n"/>
      <c r="G120" s="23" t="n"/>
      <c r="H120" s="21" t="n"/>
    </row>
    <row r="121">
      <c r="A121" s="23" t="n"/>
      <c r="B121" s="21" t="n"/>
      <c r="C121" s="21" t="n"/>
      <c r="D121" s="21" t="n"/>
      <c r="E121" s="21" t="n"/>
      <c r="F121" s="21" t="n"/>
      <c r="G121" s="23" t="n"/>
      <c r="H121" s="21" t="n"/>
    </row>
    <row r="122">
      <c r="A122" s="23" t="n"/>
      <c r="B122" s="21" t="n"/>
      <c r="C122" s="21" t="n"/>
      <c r="D122" s="21" t="n"/>
      <c r="E122" s="21" t="n"/>
      <c r="F122" s="21" t="n"/>
      <c r="G122" s="23" t="n"/>
      <c r="H122" s="21" t="n"/>
    </row>
    <row r="123">
      <c r="A123" s="23" t="n"/>
      <c r="B123" s="21" t="n"/>
      <c r="C123" s="21" t="n"/>
      <c r="D123" s="21" t="n"/>
      <c r="E123" s="21" t="n"/>
      <c r="F123" s="21" t="n"/>
      <c r="G123" s="23" t="n"/>
      <c r="H123" s="21" t="n"/>
    </row>
    <row r="124">
      <c r="A124" s="23" t="n"/>
      <c r="B124" s="21" t="n"/>
      <c r="C124" s="21" t="n"/>
      <c r="D124" s="21" t="n"/>
      <c r="E124" s="21" t="n"/>
      <c r="F124" s="21" t="n"/>
      <c r="G124" s="23" t="n"/>
      <c r="H124" s="21" t="n"/>
    </row>
    <row r="125">
      <c r="A125" s="23" t="n"/>
      <c r="B125" s="21" t="n"/>
      <c r="C125" s="21" t="n"/>
      <c r="D125" s="21" t="n"/>
      <c r="E125" s="21" t="n"/>
      <c r="F125" s="21" t="n"/>
      <c r="G125" s="23" t="n"/>
      <c r="H125" s="21" t="n"/>
    </row>
    <row r="126">
      <c r="A126" s="23" t="n"/>
      <c r="B126" s="21" t="n"/>
      <c r="C126" s="21" t="n"/>
      <c r="D126" s="21" t="n"/>
      <c r="E126" s="21" t="n"/>
      <c r="F126" s="21" t="n"/>
      <c r="G126" s="23" t="n"/>
      <c r="H126" s="21" t="n"/>
    </row>
    <row r="127">
      <c r="A127" s="23" t="n"/>
      <c r="B127" s="21" t="n"/>
      <c r="C127" s="21" t="n"/>
      <c r="D127" s="21" t="n"/>
      <c r="E127" s="21" t="n"/>
      <c r="F127" s="21" t="n"/>
      <c r="G127" s="23" t="n"/>
      <c r="H127" s="21" t="n"/>
    </row>
    <row r="128">
      <c r="A128" s="23" t="n"/>
      <c r="B128" s="21" t="n"/>
      <c r="C128" s="21" t="n"/>
      <c r="D128" s="21" t="n"/>
      <c r="E128" s="21" t="n"/>
      <c r="F128" s="21" t="n"/>
      <c r="G128" s="23" t="n"/>
      <c r="H128" s="21" t="n"/>
    </row>
    <row r="129">
      <c r="A129" s="23" t="n"/>
      <c r="B129" s="21" t="n"/>
      <c r="C129" s="21" t="n"/>
      <c r="D129" s="21" t="n"/>
      <c r="E129" s="21" t="n"/>
      <c r="F129" s="21" t="n"/>
      <c r="G129" s="23" t="n"/>
      <c r="H129" s="21" t="n"/>
    </row>
    <row r="130">
      <c r="A130" s="23" t="n"/>
      <c r="B130" s="21" t="n"/>
      <c r="C130" s="21" t="n"/>
      <c r="D130" s="21" t="n"/>
      <c r="E130" s="21" t="n"/>
      <c r="F130" s="21" t="n"/>
      <c r="G130" s="23" t="n"/>
      <c r="H130" s="21" t="n"/>
    </row>
    <row r="131">
      <c r="A131" s="23" t="n"/>
      <c r="B131" s="21" t="n"/>
      <c r="C131" s="21" t="n"/>
      <c r="D131" s="21" t="n"/>
      <c r="E131" s="21" t="n"/>
      <c r="F131" s="21" t="n"/>
      <c r="G131" s="23" t="n"/>
      <c r="H131" s="21" t="n"/>
    </row>
    <row r="132">
      <c r="A132" s="23" t="n"/>
      <c r="B132" s="21" t="n"/>
      <c r="C132" s="21" t="n"/>
      <c r="D132" s="21" t="n"/>
      <c r="E132" s="21" t="n"/>
      <c r="F132" s="21" t="n"/>
      <c r="G132" s="23" t="n"/>
      <c r="H132" s="21" t="n"/>
    </row>
    <row r="133">
      <c r="A133" s="23" t="n"/>
      <c r="B133" s="21" t="n"/>
      <c r="C133" s="21" t="n"/>
      <c r="D133" s="21" t="n"/>
      <c r="E133" s="21" t="n"/>
      <c r="F133" s="21" t="n"/>
      <c r="G133" s="23" t="n"/>
      <c r="H133" s="21" t="n"/>
    </row>
    <row r="134">
      <c r="A134" s="23" t="n"/>
      <c r="B134" s="21" t="n"/>
      <c r="C134" s="21" t="n"/>
      <c r="D134" s="21" t="n"/>
      <c r="E134" s="21" t="n"/>
      <c r="F134" s="21" t="n"/>
      <c r="G134" s="23" t="n"/>
      <c r="H134" s="21" t="n"/>
    </row>
    <row r="135">
      <c r="A135" s="23" t="n"/>
      <c r="B135" s="21" t="n"/>
      <c r="C135" s="21" t="n"/>
      <c r="D135" s="21" t="n"/>
      <c r="E135" s="21" t="n"/>
      <c r="F135" s="21" t="n"/>
      <c r="G135" s="23" t="n"/>
      <c r="H135" s="21" t="n"/>
    </row>
    <row r="136">
      <c r="A136" s="23" t="n"/>
      <c r="B136" s="21" t="n"/>
      <c r="C136" s="21" t="n"/>
      <c r="D136" s="21" t="n"/>
      <c r="E136" s="21" t="n"/>
      <c r="F136" s="21" t="n"/>
      <c r="G136" s="23" t="n"/>
      <c r="H136" s="21" t="n"/>
    </row>
    <row r="137">
      <c r="A137" s="23" t="n"/>
      <c r="B137" s="21" t="n"/>
      <c r="C137" s="21" t="n"/>
      <c r="D137" s="21" t="n"/>
      <c r="E137" s="21" t="n"/>
      <c r="F137" s="21" t="n"/>
      <c r="G137" s="23" t="n"/>
      <c r="H137" s="21" t="n"/>
    </row>
    <row r="138">
      <c r="A138" s="23" t="n"/>
      <c r="B138" s="21" t="n"/>
      <c r="C138" s="21" t="n"/>
      <c r="D138" s="21" t="n"/>
      <c r="E138" s="21" t="n"/>
      <c r="F138" s="21" t="n"/>
      <c r="G138" s="23" t="n"/>
      <c r="H138" s="21" t="n"/>
    </row>
    <row r="139">
      <c r="A139" s="23" t="n"/>
      <c r="B139" s="21" t="n"/>
      <c r="C139" s="21" t="n"/>
      <c r="D139" s="21" t="n"/>
      <c r="E139" s="21" t="n"/>
      <c r="F139" s="21" t="n"/>
      <c r="G139" s="23" t="n"/>
      <c r="H139" s="21" t="n"/>
    </row>
    <row r="140">
      <c r="A140" s="23" t="n"/>
      <c r="B140" s="21" t="n"/>
      <c r="C140" s="21" t="n"/>
      <c r="D140" s="21" t="n"/>
      <c r="E140" s="21" t="n"/>
      <c r="F140" s="21" t="n"/>
      <c r="G140" s="23" t="n"/>
      <c r="H140" s="21" t="n"/>
    </row>
    <row r="141">
      <c r="A141" s="23" t="n"/>
      <c r="B141" s="21" t="n"/>
      <c r="C141" s="21" t="n"/>
      <c r="D141" s="21" t="n"/>
      <c r="E141" s="21" t="n"/>
      <c r="F141" s="21" t="n"/>
      <c r="G141" s="23" t="n"/>
      <c r="H141" s="21" t="n"/>
    </row>
    <row r="142">
      <c r="A142" s="23" t="n"/>
      <c r="B142" s="21" t="n"/>
      <c r="C142" s="21" t="n"/>
      <c r="D142" s="21" t="n"/>
      <c r="E142" s="21" t="n"/>
      <c r="F142" s="21" t="n"/>
      <c r="G142" s="23" t="n"/>
      <c r="H142" s="21" t="n"/>
    </row>
    <row r="143">
      <c r="A143" s="23" t="n"/>
      <c r="B143" s="21" t="n"/>
      <c r="C143" s="21" t="n"/>
      <c r="D143" s="21" t="n"/>
      <c r="E143" s="21" t="n"/>
      <c r="F143" s="21" t="n"/>
      <c r="G143" s="23" t="n"/>
      <c r="H143" s="21" t="n"/>
    </row>
    <row r="144">
      <c r="A144" s="23" t="n"/>
      <c r="B144" s="21" t="n"/>
      <c r="C144" s="21" t="n"/>
      <c r="D144" s="21" t="n"/>
      <c r="E144" s="21" t="n"/>
      <c r="F144" s="21" t="n"/>
      <c r="G144" s="23" t="n"/>
      <c r="H144" s="21" t="n"/>
    </row>
    <row r="145">
      <c r="A145" s="23" t="n"/>
      <c r="B145" s="21" t="n"/>
      <c r="C145" s="21" t="n"/>
      <c r="D145" s="21" t="n"/>
      <c r="E145" s="21" t="n"/>
      <c r="F145" s="21" t="n"/>
      <c r="G145" s="23" t="n"/>
      <c r="H145" s="21" t="n"/>
    </row>
    <row r="146">
      <c r="A146" s="23" t="n"/>
      <c r="B146" s="21" t="n"/>
      <c r="C146" s="21" t="n"/>
      <c r="D146" s="21" t="n"/>
      <c r="E146" s="21" t="n"/>
      <c r="F146" s="21" t="n"/>
      <c r="G146" s="23" t="n"/>
      <c r="H146" s="21" t="n"/>
    </row>
    <row r="147">
      <c r="A147" s="23" t="n"/>
      <c r="B147" s="21" t="n"/>
      <c r="C147" s="21" t="n"/>
      <c r="D147" s="21" t="n"/>
      <c r="E147" s="21" t="n"/>
      <c r="F147" s="21" t="n"/>
      <c r="G147" s="23" t="n"/>
      <c r="H147" s="21" t="n"/>
    </row>
    <row r="148">
      <c r="A148" s="23" t="n"/>
      <c r="B148" s="21" t="n"/>
      <c r="C148" s="21" t="n"/>
      <c r="D148" s="21" t="n"/>
      <c r="E148" s="21" t="n"/>
      <c r="F148" s="21" t="n"/>
      <c r="G148" s="23" t="n"/>
      <c r="H148" s="21" t="n"/>
    </row>
    <row r="149">
      <c r="A149" s="23" t="n"/>
      <c r="B149" s="21" t="n"/>
      <c r="C149" s="21" t="n"/>
      <c r="D149" s="21" t="n"/>
      <c r="E149" s="21" t="n"/>
      <c r="F149" s="21" t="n"/>
      <c r="G149" s="23" t="n"/>
      <c r="H149" s="21" t="n"/>
    </row>
    <row r="150">
      <c r="A150" s="23" t="n"/>
      <c r="B150" s="21" t="n"/>
      <c r="C150" s="21" t="n"/>
      <c r="D150" s="21" t="n"/>
      <c r="E150" s="21" t="n"/>
      <c r="F150" s="21" t="n"/>
      <c r="G150" s="23" t="n"/>
      <c r="H150" s="21" t="n"/>
    </row>
    <row r="151">
      <c r="A151" s="23" t="n"/>
      <c r="B151" s="21" t="n"/>
      <c r="C151" s="21" t="n"/>
      <c r="D151" s="21" t="n"/>
      <c r="E151" s="21" t="n"/>
      <c r="F151" s="21" t="n"/>
      <c r="G151" s="23" t="n"/>
      <c r="H151" s="21" t="n"/>
    </row>
    <row r="152">
      <c r="A152" s="23" t="n"/>
      <c r="B152" s="21" t="n"/>
      <c r="C152" s="21" t="n"/>
      <c r="D152" s="21" t="n"/>
      <c r="E152" s="21" t="n"/>
      <c r="F152" s="21" t="n"/>
      <c r="G152" s="23" t="n"/>
      <c r="H152" s="21" t="n"/>
    </row>
    <row r="153">
      <c r="A153" s="23" t="n"/>
      <c r="B153" s="21" t="n"/>
      <c r="C153" s="21" t="n"/>
      <c r="D153" s="21" t="n"/>
      <c r="E153" s="21" t="n"/>
      <c r="F153" s="21" t="n"/>
      <c r="G153" s="23" t="n"/>
      <c r="H153" s="21" t="n"/>
    </row>
    <row r="154">
      <c r="A154" s="23" t="n"/>
      <c r="B154" s="21" t="n"/>
      <c r="C154" s="21" t="n"/>
      <c r="D154" s="21" t="n"/>
      <c r="E154" s="21" t="n"/>
      <c r="F154" s="21" t="n"/>
      <c r="G154" s="23" t="n"/>
      <c r="H154" s="21" t="n"/>
    </row>
    <row r="155">
      <c r="A155" s="23" t="n"/>
      <c r="B155" s="21" t="n"/>
      <c r="C155" s="21" t="n"/>
      <c r="D155" s="21" t="n"/>
      <c r="E155" s="21" t="n"/>
      <c r="F155" s="21" t="n"/>
      <c r="G155" s="23" t="n"/>
      <c r="H155" s="21" t="n"/>
    </row>
    <row r="156">
      <c r="A156" s="23" t="n"/>
      <c r="B156" s="21" t="n"/>
      <c r="C156" s="21" t="n"/>
      <c r="D156" s="21" t="n"/>
      <c r="E156" s="21" t="n"/>
      <c r="F156" s="21" t="n"/>
      <c r="G156" s="23" t="n"/>
      <c r="H156" s="21" t="n"/>
    </row>
    <row r="157">
      <c r="A157" s="23" t="n"/>
      <c r="B157" s="21" t="n"/>
      <c r="C157" s="21" t="n"/>
      <c r="D157" s="21" t="n"/>
      <c r="E157" s="21" t="n"/>
      <c r="F157" s="21" t="n"/>
      <c r="G157" s="23" t="n"/>
      <c r="H157" s="21" t="n"/>
    </row>
    <row r="158">
      <c r="A158" s="23" t="n"/>
      <c r="B158" s="21" t="n"/>
      <c r="C158" s="21" t="n"/>
      <c r="D158" s="21" t="n"/>
      <c r="E158" s="21" t="n"/>
      <c r="F158" s="21" t="n"/>
      <c r="G158" s="23" t="n"/>
      <c r="H158" s="21" t="n"/>
    </row>
    <row r="159">
      <c r="A159" s="23" t="n"/>
      <c r="B159" s="21" t="n"/>
      <c r="C159" s="21" t="n"/>
      <c r="D159" s="21" t="n"/>
      <c r="E159" s="21" t="n"/>
      <c r="F159" s="21" t="n"/>
      <c r="G159" s="23" t="n"/>
      <c r="H159" s="21" t="n"/>
    </row>
    <row r="160">
      <c r="A160" s="23" t="n"/>
      <c r="B160" s="21" t="n"/>
      <c r="C160" s="21" t="n"/>
      <c r="D160" s="21" t="n"/>
      <c r="E160" s="21" t="n"/>
      <c r="F160" s="21" t="n"/>
      <c r="G160" s="23" t="n"/>
      <c r="H160" s="21" t="n"/>
    </row>
    <row r="161">
      <c r="A161" s="23" t="n"/>
      <c r="B161" s="21" t="n"/>
      <c r="C161" s="21" t="n"/>
      <c r="D161" s="21" t="n"/>
      <c r="E161" s="21" t="n"/>
      <c r="F161" s="21" t="n"/>
      <c r="G161" s="23" t="n"/>
      <c r="H161" s="21" t="n"/>
    </row>
    <row r="162">
      <c r="A162" s="23" t="n"/>
      <c r="B162" s="21" t="n"/>
      <c r="C162" s="21" t="n"/>
      <c r="D162" s="21" t="n"/>
      <c r="E162" s="21" t="n"/>
      <c r="F162" s="21" t="n"/>
      <c r="G162" s="23" t="n"/>
      <c r="H162" s="21" t="n"/>
    </row>
    <row r="163">
      <c r="A163" s="23" t="n"/>
      <c r="B163" s="21" t="n"/>
      <c r="C163" s="21" t="n"/>
      <c r="D163" s="21" t="n"/>
      <c r="E163" s="21" t="n"/>
      <c r="F163" s="21" t="n"/>
      <c r="G163" s="23" t="n"/>
      <c r="H163" s="21" t="n"/>
    </row>
    <row r="164">
      <c r="A164" s="23" t="n"/>
      <c r="B164" s="21" t="n"/>
      <c r="C164" s="21" t="n"/>
      <c r="D164" s="21" t="n"/>
      <c r="E164" s="21" t="n"/>
      <c r="F164" s="21" t="n"/>
      <c r="G164" s="23" t="n"/>
      <c r="H164" s="21" t="n"/>
    </row>
    <row r="165">
      <c r="A165" s="23" t="n"/>
      <c r="B165" s="21" t="n"/>
      <c r="C165" s="21" t="n"/>
      <c r="D165" s="21" t="n"/>
      <c r="E165" s="21" t="n"/>
      <c r="F165" s="21" t="n"/>
      <c r="G165" s="23" t="n"/>
      <c r="H165" s="21" t="n"/>
    </row>
    <row r="166">
      <c r="A166" s="23" t="n"/>
      <c r="B166" s="21" t="n"/>
      <c r="C166" s="21" t="n"/>
      <c r="D166" s="21" t="n"/>
      <c r="E166" s="21" t="n"/>
      <c r="F166" s="21" t="n"/>
      <c r="G166" s="23" t="n"/>
      <c r="H166" s="21" t="n"/>
    </row>
    <row r="167">
      <c r="A167" s="23" t="n"/>
      <c r="B167" s="21" t="n"/>
      <c r="C167" s="21" t="n"/>
      <c r="D167" s="21" t="n"/>
      <c r="E167" s="21" t="n"/>
      <c r="F167" s="21" t="n"/>
      <c r="G167" s="23" t="n"/>
      <c r="H167" s="21" t="n"/>
    </row>
    <row r="168">
      <c r="A168" s="23" t="n"/>
      <c r="B168" s="21" t="n"/>
      <c r="C168" s="21" t="n"/>
      <c r="D168" s="21" t="n"/>
      <c r="E168" s="21" t="n"/>
      <c r="F168" s="21" t="n"/>
      <c r="G168" s="23" t="n"/>
      <c r="H168" s="21" t="n"/>
    </row>
    <row r="169">
      <c r="A169" s="23" t="n"/>
      <c r="B169" s="21" t="n"/>
      <c r="C169" s="21" t="n"/>
      <c r="D169" s="21" t="n"/>
      <c r="E169" s="21" t="n"/>
      <c r="F169" s="21" t="n"/>
      <c r="G169" s="23" t="n"/>
      <c r="H169" s="21" t="n"/>
    </row>
    <row r="170">
      <c r="A170" s="23" t="n"/>
      <c r="B170" s="21" t="n"/>
      <c r="C170" s="21" t="n"/>
      <c r="D170" s="21" t="n"/>
      <c r="E170" s="21" t="n"/>
      <c r="F170" s="21" t="n"/>
      <c r="G170" s="23" t="n"/>
      <c r="H170" s="21" t="n"/>
    </row>
    <row r="171">
      <c r="A171" s="23" t="n"/>
      <c r="B171" s="21" t="n"/>
      <c r="C171" s="21" t="n"/>
      <c r="D171" s="21" t="n"/>
      <c r="E171" s="21" t="n"/>
      <c r="F171" s="21" t="n"/>
      <c r="G171" s="23" t="n"/>
      <c r="H171" s="21" t="n"/>
    </row>
    <row r="172">
      <c r="A172" s="23" t="n"/>
      <c r="B172" s="21" t="n"/>
      <c r="C172" s="21" t="n"/>
      <c r="D172" s="21" t="n"/>
      <c r="E172" s="21" t="n"/>
      <c r="F172" s="21" t="n"/>
      <c r="G172" s="23" t="n"/>
      <c r="H172" s="21" t="n"/>
    </row>
    <row r="173">
      <c r="A173" s="23" t="n"/>
      <c r="B173" s="21" t="n"/>
      <c r="C173" s="21" t="n"/>
      <c r="D173" s="21" t="n"/>
      <c r="E173" s="21" t="n"/>
      <c r="F173" s="21" t="n"/>
      <c r="G173" s="23" t="n"/>
      <c r="H173" s="21" t="n"/>
    </row>
    <row r="174">
      <c r="A174" s="23" t="n"/>
      <c r="B174" s="21" t="n"/>
      <c r="C174" s="21" t="n"/>
      <c r="D174" s="21" t="n"/>
      <c r="E174" s="21" t="n"/>
      <c r="F174" s="21" t="n"/>
      <c r="G174" s="23" t="n"/>
      <c r="H174" s="21" t="n"/>
    </row>
    <row r="175">
      <c r="A175" s="23" t="n"/>
      <c r="B175" s="21" t="n"/>
      <c r="C175" s="21" t="n"/>
      <c r="D175" s="21" t="n"/>
      <c r="E175" s="21" t="n"/>
      <c r="F175" s="21" t="n"/>
      <c r="G175" s="23" t="n"/>
      <c r="H175" s="21" t="n"/>
    </row>
    <row r="176">
      <c r="A176" s="23" t="n"/>
      <c r="B176" s="21" t="n"/>
      <c r="C176" s="21" t="n"/>
      <c r="D176" s="21" t="n"/>
      <c r="E176" s="21" t="n"/>
      <c r="F176" s="21" t="n"/>
      <c r="G176" s="23" t="n"/>
      <c r="H176" s="21" t="n"/>
    </row>
    <row r="177">
      <c r="A177" s="23" t="n"/>
      <c r="B177" s="21" t="n"/>
      <c r="C177" s="21" t="n"/>
      <c r="D177" s="21" t="n"/>
      <c r="E177" s="21" t="n"/>
      <c r="F177" s="21" t="n"/>
      <c r="G177" s="23" t="n"/>
      <c r="H177" s="21" t="n"/>
    </row>
    <row r="178">
      <c r="A178" s="23" t="n"/>
      <c r="B178" s="21" t="n"/>
      <c r="C178" s="21" t="n"/>
      <c r="D178" s="21" t="n"/>
      <c r="E178" s="21" t="n"/>
      <c r="F178" s="21" t="n"/>
      <c r="G178" s="23" t="n"/>
      <c r="H178" s="21" t="n"/>
    </row>
    <row r="179">
      <c r="A179" s="23" t="n"/>
      <c r="B179" s="21" t="n"/>
      <c r="C179" s="21" t="n"/>
      <c r="D179" s="21" t="n"/>
      <c r="E179" s="21" t="n"/>
      <c r="F179" s="21" t="n"/>
      <c r="G179" s="23" t="n"/>
      <c r="H179" s="21" t="n"/>
    </row>
    <row r="180">
      <c r="A180" s="23" t="n"/>
      <c r="B180" s="21" t="n"/>
      <c r="C180" s="21" t="n"/>
      <c r="D180" s="21" t="n"/>
      <c r="E180" s="21" t="n"/>
      <c r="F180" s="21" t="n"/>
      <c r="G180" s="23" t="n"/>
      <c r="H180" s="21" t="n"/>
    </row>
    <row r="181">
      <c r="A181" s="23" t="n"/>
      <c r="B181" s="21" t="n"/>
      <c r="C181" s="21" t="n"/>
      <c r="D181" s="21" t="n"/>
      <c r="E181" s="21" t="n"/>
      <c r="F181" s="21" t="n"/>
      <c r="G181" s="23" t="n"/>
      <c r="H181" s="21" t="n"/>
    </row>
    <row r="182">
      <c r="A182" s="23" t="n"/>
      <c r="B182" s="21" t="n"/>
      <c r="C182" s="21" t="n"/>
      <c r="D182" s="21" t="n"/>
      <c r="E182" s="21" t="n"/>
      <c r="F182" s="21" t="n"/>
      <c r="G182" s="23" t="n"/>
      <c r="H182" s="21" t="n"/>
    </row>
    <row r="183">
      <c r="A183" s="23" t="n"/>
      <c r="B183" s="21" t="n"/>
      <c r="C183" s="21" t="n"/>
      <c r="D183" s="21" t="n"/>
      <c r="E183" s="21" t="n"/>
      <c r="F183" s="21" t="n"/>
      <c r="G183" s="23" t="n"/>
      <c r="H183" s="21" t="n"/>
    </row>
    <row r="184">
      <c r="A184" s="23" t="n"/>
      <c r="B184" s="21" t="n"/>
      <c r="C184" s="21" t="n"/>
      <c r="D184" s="21" t="n"/>
      <c r="E184" s="21" t="n"/>
      <c r="F184" s="21" t="n"/>
      <c r="G184" s="23" t="n"/>
      <c r="H184" s="21" t="n"/>
    </row>
    <row r="185">
      <c r="A185" s="23" t="n"/>
      <c r="B185" s="21" t="n"/>
      <c r="C185" s="21" t="n"/>
      <c r="D185" s="21" t="n"/>
      <c r="E185" s="21" t="n"/>
      <c r="F185" s="21" t="n"/>
      <c r="G185" s="23" t="n"/>
      <c r="H185" s="21" t="n"/>
    </row>
    <row r="186">
      <c r="A186" s="23" t="n"/>
      <c r="B186" s="21" t="n"/>
      <c r="C186" s="21" t="n"/>
      <c r="D186" s="21" t="n"/>
      <c r="E186" s="21" t="n"/>
      <c r="F186" s="21" t="n"/>
      <c r="G186" s="23" t="n"/>
      <c r="H186" s="21" t="n"/>
    </row>
    <row r="187">
      <c r="A187" s="23" t="n"/>
      <c r="B187" s="21" t="n"/>
      <c r="C187" s="21" t="n"/>
      <c r="D187" s="21" t="n"/>
      <c r="E187" s="21" t="n"/>
      <c r="F187" s="21" t="n"/>
      <c r="G187" s="23" t="n"/>
      <c r="H187" s="21" t="n"/>
    </row>
    <row r="188">
      <c r="A188" s="23" t="n"/>
      <c r="B188" s="21" t="n"/>
      <c r="C188" s="21" t="n"/>
      <c r="D188" s="21" t="n"/>
      <c r="E188" s="21" t="n"/>
      <c r="F188" s="21" t="n"/>
      <c r="G188" s="23" t="n"/>
      <c r="H188" s="21" t="n"/>
    </row>
    <row r="189">
      <c r="A189" s="23" t="n"/>
      <c r="B189" s="21" t="n"/>
      <c r="C189" s="21" t="n"/>
      <c r="D189" s="21" t="n"/>
      <c r="E189" s="21" t="n"/>
      <c r="F189" s="21" t="n"/>
      <c r="G189" s="23" t="n"/>
      <c r="H189" s="21" t="n"/>
    </row>
    <row r="190">
      <c r="A190" s="23" t="n"/>
      <c r="B190" s="21" t="n"/>
      <c r="C190" s="21" t="n"/>
      <c r="D190" s="21" t="n"/>
      <c r="E190" s="21" t="n"/>
      <c r="F190" s="21" t="n"/>
      <c r="G190" s="23" t="n"/>
      <c r="H190" s="21" t="n"/>
    </row>
    <row r="191">
      <c r="A191" s="23" t="n"/>
      <c r="B191" s="21" t="n"/>
      <c r="C191" s="21" t="n"/>
      <c r="D191" s="21" t="n"/>
      <c r="E191" s="21" t="n"/>
      <c r="F191" s="21" t="n"/>
      <c r="G191" s="23" t="n"/>
      <c r="H191" s="21" t="n"/>
    </row>
    <row r="192">
      <c r="A192" s="23" t="n"/>
      <c r="B192" s="21" t="n"/>
      <c r="C192" s="21" t="n"/>
      <c r="D192" s="21" t="n"/>
      <c r="E192" s="21" t="n"/>
      <c r="F192" s="21" t="n"/>
      <c r="G192" s="23" t="n"/>
      <c r="H192" s="21" t="n"/>
    </row>
    <row r="193">
      <c r="A193" s="23" t="n"/>
      <c r="B193" s="21" t="n"/>
      <c r="C193" s="21" t="n"/>
      <c r="D193" s="21" t="n"/>
      <c r="E193" s="21" t="n"/>
      <c r="F193" s="21" t="n"/>
      <c r="G193" s="23" t="n"/>
      <c r="H193" s="21" t="n"/>
    </row>
    <row r="194">
      <c r="A194" s="23" t="n"/>
      <c r="B194" s="21" t="n"/>
      <c r="C194" s="21" t="n"/>
      <c r="D194" s="21" t="n"/>
      <c r="E194" s="21" t="n"/>
      <c r="F194" s="21" t="n"/>
      <c r="G194" s="23" t="n"/>
      <c r="H194" s="21" t="n"/>
    </row>
    <row r="195">
      <c r="A195" s="23" t="n"/>
      <c r="B195" s="21" t="n"/>
      <c r="C195" s="21" t="n"/>
      <c r="D195" s="21" t="n"/>
      <c r="E195" s="21" t="n"/>
      <c r="F195" s="21" t="n"/>
      <c r="G195" s="23" t="n"/>
      <c r="H195" s="21" t="n"/>
    </row>
    <row r="196">
      <c r="A196" s="23" t="n"/>
      <c r="B196" s="21" t="n"/>
      <c r="C196" s="21" t="n"/>
      <c r="D196" s="21" t="n"/>
      <c r="E196" s="21" t="n"/>
      <c r="F196" s="21" t="n"/>
      <c r="G196" s="23" t="n"/>
      <c r="H196" s="21" t="n"/>
    </row>
    <row r="197">
      <c r="A197" s="23" t="n"/>
      <c r="B197" s="21" t="n"/>
      <c r="C197" s="21" t="n"/>
      <c r="D197" s="21" t="n"/>
      <c r="E197" s="21" t="n"/>
      <c r="F197" s="21" t="n"/>
      <c r="G197" s="23" t="n"/>
      <c r="H197" s="21" t="n"/>
    </row>
    <row r="198">
      <c r="A198" s="23" t="n"/>
      <c r="B198" s="21" t="n"/>
      <c r="C198" s="21" t="n"/>
      <c r="D198" s="21" t="n"/>
      <c r="E198" s="21" t="n"/>
      <c r="F198" s="21" t="n"/>
      <c r="G198" s="23" t="n"/>
      <c r="H198" s="21" t="n"/>
    </row>
    <row r="199">
      <c r="A199" s="23" t="n"/>
      <c r="B199" s="21" t="n"/>
      <c r="C199" s="21" t="n"/>
      <c r="D199" s="21" t="n"/>
      <c r="E199" s="21" t="n"/>
      <c r="F199" s="21" t="n"/>
      <c r="G199" s="23" t="n"/>
      <c r="H199" s="21" t="n"/>
    </row>
    <row r="200">
      <c r="A200" s="23" t="n"/>
      <c r="B200" s="21" t="n"/>
      <c r="C200" s="21" t="n"/>
      <c r="D200" s="21" t="n"/>
      <c r="E200" s="21" t="n"/>
      <c r="F200" s="21" t="n"/>
      <c r="G200" s="23" t="n"/>
      <c r="H200" s="21" t="n"/>
    </row>
    <row r="201">
      <c r="A201" s="23" t="n"/>
      <c r="B201" s="21" t="n"/>
      <c r="C201" s="21" t="n"/>
      <c r="D201" s="21" t="n"/>
      <c r="E201" s="21" t="n"/>
      <c r="F201" s="21" t="n"/>
      <c r="G201" s="23" t="n"/>
      <c r="H201" s="21" t="n"/>
    </row>
    <row r="202">
      <c r="A202" s="23" t="n"/>
      <c r="B202" s="21" t="n"/>
      <c r="C202" s="21" t="n"/>
      <c r="D202" s="21" t="n"/>
      <c r="E202" s="21" t="n"/>
      <c r="F202" s="21" t="n"/>
      <c r="G202" s="23" t="n"/>
      <c r="H202" s="21" t="n"/>
    </row>
    <row r="203">
      <c r="A203" s="23" t="n"/>
      <c r="B203" s="21" t="n"/>
      <c r="C203" s="21" t="n"/>
      <c r="D203" s="21" t="n"/>
      <c r="E203" s="21" t="n"/>
      <c r="F203" s="21" t="n"/>
      <c r="G203" s="23" t="n"/>
      <c r="H203" s="21" t="n"/>
    </row>
    <row r="204">
      <c r="A204" s="23" t="n"/>
      <c r="B204" s="21" t="n"/>
      <c r="C204" s="21" t="n"/>
      <c r="D204" s="21" t="n"/>
      <c r="E204" s="21" t="n"/>
      <c r="F204" s="21" t="n"/>
      <c r="G204" s="23" t="n"/>
      <c r="H204" s="21" t="n"/>
    </row>
    <row r="205">
      <c r="A205" s="23" t="n"/>
      <c r="B205" s="21" t="n"/>
      <c r="C205" s="21" t="n"/>
      <c r="D205" s="21" t="n"/>
      <c r="E205" s="21" t="n"/>
      <c r="F205" s="21" t="n"/>
      <c r="G205" s="23" t="n"/>
      <c r="H205" s="21" t="n"/>
    </row>
    <row r="206">
      <c r="A206" s="23" t="n"/>
      <c r="B206" s="21" t="n"/>
      <c r="C206" s="21" t="n"/>
      <c r="D206" s="21" t="n"/>
      <c r="E206" s="21" t="n"/>
      <c r="F206" s="21" t="n"/>
      <c r="G206" s="23" t="n"/>
      <c r="H206" s="21" t="n"/>
    </row>
    <row r="207">
      <c r="A207" s="23" t="n"/>
      <c r="B207" s="21" t="n"/>
      <c r="C207" s="21" t="n"/>
      <c r="D207" s="21" t="n"/>
      <c r="E207" s="21" t="n"/>
      <c r="F207" s="21" t="n"/>
      <c r="G207" s="23" t="n"/>
      <c r="H207" s="21" t="n"/>
    </row>
    <row r="208">
      <c r="A208" s="23" t="n"/>
      <c r="B208" s="21" t="n"/>
      <c r="C208" s="21" t="n"/>
      <c r="D208" s="21" t="n"/>
      <c r="E208" s="21" t="n"/>
      <c r="F208" s="21" t="n"/>
      <c r="G208" s="23" t="n"/>
      <c r="H208" s="21" t="n"/>
    </row>
    <row r="209">
      <c r="A209" s="23" t="n"/>
      <c r="B209" s="21" t="n"/>
      <c r="C209" s="21" t="n"/>
      <c r="D209" s="21" t="n"/>
      <c r="E209" s="21" t="n"/>
      <c r="F209" s="21" t="n"/>
      <c r="G209" s="23" t="n"/>
      <c r="H209" s="21" t="n"/>
    </row>
    <row r="210">
      <c r="A210" s="23" t="n"/>
      <c r="B210" s="21" t="n"/>
      <c r="C210" s="21" t="n"/>
      <c r="D210" s="21" t="n"/>
      <c r="E210" s="21" t="n"/>
      <c r="F210" s="21" t="n"/>
      <c r="G210" s="23" t="n"/>
      <c r="H210" s="21" t="n"/>
    </row>
    <row r="211">
      <c r="A211" s="23" t="n"/>
      <c r="B211" s="21" t="n"/>
      <c r="C211" s="21" t="n"/>
      <c r="D211" s="21" t="n"/>
      <c r="E211" s="21" t="n"/>
      <c r="F211" s="21" t="n"/>
      <c r="G211" s="23" t="n"/>
      <c r="H211" s="21" t="n"/>
    </row>
    <row r="212">
      <c r="A212" s="23" t="n"/>
      <c r="B212" s="21" t="n"/>
      <c r="C212" s="21" t="n"/>
      <c r="D212" s="21" t="n"/>
      <c r="E212" s="21" t="n"/>
      <c r="F212" s="21" t="n"/>
      <c r="G212" s="23" t="n"/>
      <c r="H212" s="21" t="n"/>
    </row>
    <row r="213">
      <c r="A213" s="23" t="n"/>
      <c r="B213" s="21" t="n"/>
      <c r="C213" s="21" t="n"/>
      <c r="D213" s="21" t="n"/>
      <c r="E213" s="21" t="n"/>
      <c r="F213" s="21" t="n"/>
      <c r="G213" s="23" t="n"/>
      <c r="H213" s="21" t="n"/>
    </row>
    <row r="214">
      <c r="A214" s="23" t="n"/>
      <c r="B214" s="21" t="n"/>
      <c r="C214" s="21" t="n"/>
      <c r="D214" s="21" t="n"/>
      <c r="E214" s="21" t="n"/>
      <c r="F214" s="21" t="n"/>
      <c r="G214" s="23" t="n"/>
      <c r="H214" s="21" t="n"/>
    </row>
    <row r="215">
      <c r="A215" s="23" t="n"/>
      <c r="B215" s="21" t="n"/>
      <c r="C215" s="21" t="n"/>
      <c r="D215" s="21" t="n"/>
      <c r="E215" s="21" t="n"/>
      <c r="F215" s="21" t="n"/>
      <c r="G215" s="23" t="n"/>
      <c r="H215" s="21" t="n"/>
    </row>
    <row r="216">
      <c r="A216" s="23" t="n"/>
      <c r="B216" s="21" t="n"/>
      <c r="C216" s="21" t="n"/>
      <c r="D216" s="21" t="n"/>
      <c r="E216" s="21" t="n"/>
      <c r="F216" s="21" t="n"/>
      <c r="G216" s="23" t="n"/>
      <c r="H216" s="21" t="n"/>
    </row>
    <row r="217">
      <c r="A217" s="23" t="n"/>
      <c r="B217" s="21" t="n"/>
      <c r="C217" s="21" t="n"/>
      <c r="D217" s="21" t="n"/>
      <c r="E217" s="21" t="n"/>
      <c r="F217" s="21" t="n"/>
      <c r="G217" s="23" t="n"/>
      <c r="H217" s="21" t="n"/>
    </row>
    <row r="218">
      <c r="A218" s="23" t="n"/>
      <c r="B218" s="21" t="n"/>
      <c r="C218" s="21" t="n"/>
      <c r="D218" s="21" t="n"/>
      <c r="E218" s="21" t="n"/>
      <c r="F218" s="21" t="n"/>
      <c r="G218" s="23" t="n"/>
      <c r="H218" s="21" t="n"/>
    </row>
    <row r="219">
      <c r="A219" s="23" t="n"/>
      <c r="B219" s="21" t="n"/>
      <c r="C219" s="21" t="n"/>
      <c r="D219" s="21" t="n"/>
      <c r="E219" s="21" t="n"/>
      <c r="F219" s="21" t="n"/>
      <c r="G219" s="23" t="n"/>
      <c r="H219" s="21" t="n"/>
    </row>
    <row r="220">
      <c r="A220" s="23" t="n"/>
      <c r="B220" s="21" t="n"/>
      <c r="C220" s="21" t="n"/>
      <c r="D220" s="21" t="n"/>
      <c r="E220" s="21" t="n"/>
      <c r="F220" s="21" t="n"/>
      <c r="G220" s="23" t="n"/>
      <c r="H220" s="21" t="n"/>
    </row>
    <row r="221">
      <c r="A221" s="23" t="n"/>
      <c r="B221" s="21" t="n"/>
      <c r="C221" s="21" t="n"/>
      <c r="D221" s="21" t="n"/>
      <c r="E221" s="21" t="n"/>
      <c r="F221" s="21" t="n"/>
      <c r="G221" s="23" t="n"/>
      <c r="H221" s="21" t="n"/>
    </row>
    <row r="222">
      <c r="A222" s="23" t="n"/>
      <c r="B222" s="21" t="n"/>
      <c r="C222" s="21" t="n"/>
      <c r="D222" s="21" t="n"/>
      <c r="E222" s="21" t="n"/>
      <c r="F222" s="21" t="n"/>
      <c r="G222" s="23" t="n"/>
      <c r="H222" s="21" t="n"/>
    </row>
    <row r="223">
      <c r="A223" s="23" t="n"/>
      <c r="B223" s="21" t="n"/>
      <c r="C223" s="21" t="n"/>
      <c r="D223" s="21" t="n"/>
      <c r="E223" s="21" t="n"/>
      <c r="F223" s="21" t="n"/>
      <c r="G223" s="23" t="n"/>
      <c r="H223" s="21" t="n"/>
    </row>
    <row r="224">
      <c r="A224" s="23" t="n"/>
      <c r="B224" s="21" t="n"/>
      <c r="C224" s="21" t="n"/>
      <c r="D224" s="21" t="n"/>
      <c r="E224" s="21" t="n"/>
      <c r="F224" s="21" t="n"/>
      <c r="G224" s="23" t="n"/>
      <c r="H224" s="21" t="n"/>
    </row>
    <row r="225">
      <c r="A225" s="23" t="n"/>
      <c r="B225" s="21" t="n"/>
      <c r="C225" s="21" t="n"/>
      <c r="D225" s="21" t="n"/>
      <c r="E225" s="21" t="n"/>
      <c r="F225" s="21" t="n"/>
      <c r="G225" s="23" t="n"/>
      <c r="H225" s="21" t="n"/>
    </row>
    <row r="226">
      <c r="A226" s="23" t="n"/>
      <c r="B226" s="21" t="n"/>
      <c r="C226" s="21" t="n"/>
      <c r="D226" s="21" t="n"/>
      <c r="E226" s="21" t="n"/>
      <c r="F226" s="21" t="n"/>
      <c r="G226" s="23" t="n"/>
      <c r="H226" s="21" t="n"/>
    </row>
    <row r="227">
      <c r="A227" s="23" t="n"/>
      <c r="B227" s="21" t="n"/>
      <c r="C227" s="21" t="n"/>
      <c r="D227" s="21" t="n"/>
      <c r="E227" s="21" t="n"/>
      <c r="F227" s="21" t="n"/>
      <c r="G227" s="23" t="n"/>
      <c r="H227" s="21" t="n"/>
    </row>
    <row r="228">
      <c r="A228" s="23" t="n"/>
      <c r="B228" s="21" t="n"/>
      <c r="C228" s="21" t="n"/>
      <c r="D228" s="21" t="n"/>
      <c r="E228" s="21" t="n"/>
      <c r="F228" s="21" t="n"/>
      <c r="G228" s="23" t="n"/>
      <c r="H228" s="21" t="n"/>
    </row>
    <row r="229">
      <c r="A229" s="23" t="n"/>
      <c r="B229" s="21" t="n"/>
      <c r="C229" s="21" t="n"/>
      <c r="D229" s="21" t="n"/>
      <c r="E229" s="21" t="n"/>
      <c r="F229" s="21" t="n"/>
      <c r="G229" s="23" t="n"/>
      <c r="H229" s="21" t="n"/>
    </row>
    <row r="230">
      <c r="A230" s="23" t="n"/>
      <c r="B230" s="21" t="n"/>
      <c r="C230" s="21" t="n"/>
      <c r="D230" s="21" t="n"/>
      <c r="E230" s="21" t="n"/>
      <c r="F230" s="21" t="n"/>
      <c r="G230" s="23" t="n"/>
      <c r="H230" s="21" t="n"/>
    </row>
    <row r="231">
      <c r="A231" s="23" t="n"/>
      <c r="B231" s="21" t="n"/>
      <c r="C231" s="21" t="n"/>
      <c r="D231" s="21" t="n"/>
      <c r="E231" s="21" t="n"/>
      <c r="F231" s="21" t="n"/>
      <c r="G231" s="23" t="n"/>
      <c r="H231" s="21" t="n"/>
    </row>
    <row r="232">
      <c r="A232" s="23" t="n"/>
      <c r="B232" s="21" t="n"/>
      <c r="C232" s="21" t="n"/>
      <c r="D232" s="21" t="n"/>
      <c r="E232" s="21" t="n"/>
      <c r="F232" s="21" t="n"/>
      <c r="G232" s="23" t="n"/>
      <c r="H232" s="21" t="n"/>
    </row>
    <row r="233">
      <c r="A233" s="23" t="n"/>
      <c r="B233" s="21" t="n"/>
      <c r="C233" s="21" t="n"/>
      <c r="D233" s="21" t="n"/>
      <c r="E233" s="21" t="n"/>
      <c r="F233" s="21" t="n"/>
      <c r="G233" s="23" t="n"/>
      <c r="H233" s="21" t="n"/>
    </row>
    <row r="234">
      <c r="A234" s="23" t="n"/>
      <c r="B234" s="21" t="n"/>
      <c r="C234" s="21" t="n"/>
      <c r="D234" s="21" t="n"/>
      <c r="E234" s="21" t="n"/>
      <c r="F234" s="21" t="n"/>
      <c r="G234" s="23" t="n"/>
      <c r="H234" s="21" t="n"/>
    </row>
    <row r="235">
      <c r="A235" s="23" t="n"/>
      <c r="B235" s="21" t="n"/>
      <c r="C235" s="21" t="n"/>
      <c r="D235" s="21" t="n"/>
      <c r="E235" s="21" t="n"/>
      <c r="F235" s="21" t="n"/>
      <c r="G235" s="23" t="n"/>
      <c r="H235" s="21" t="n"/>
    </row>
    <row r="236">
      <c r="A236" s="23" t="n"/>
      <c r="B236" s="21" t="n"/>
      <c r="C236" s="21" t="n"/>
      <c r="D236" s="21" t="n"/>
      <c r="E236" s="21" t="n"/>
      <c r="F236" s="21" t="n"/>
      <c r="G236" s="23" t="n"/>
      <c r="H236" s="21" t="n"/>
    </row>
    <row r="237">
      <c r="A237" s="23" t="n"/>
      <c r="B237" s="21" t="n"/>
      <c r="C237" s="21" t="n"/>
      <c r="D237" s="21" t="n"/>
      <c r="E237" s="21" t="n"/>
      <c r="F237" s="21" t="n"/>
      <c r="G237" s="23" t="n"/>
      <c r="H237" s="21" t="n"/>
    </row>
    <row r="238">
      <c r="A238" s="23" t="n"/>
      <c r="B238" s="21" t="n"/>
      <c r="C238" s="21" t="n"/>
      <c r="D238" s="21" t="n"/>
      <c r="E238" s="21" t="n"/>
      <c r="F238" s="21" t="n"/>
      <c r="G238" s="23" t="n"/>
      <c r="H238" s="21" t="n"/>
    </row>
    <row r="239">
      <c r="A239" s="23" t="n"/>
      <c r="B239" s="21" t="n"/>
      <c r="C239" s="21" t="n"/>
      <c r="D239" s="21" t="n"/>
      <c r="E239" s="21" t="n"/>
      <c r="F239" s="21" t="n"/>
      <c r="G239" s="23" t="n"/>
      <c r="H239" s="21" t="n"/>
    </row>
    <row r="240">
      <c r="A240" s="23" t="n"/>
      <c r="B240" s="21" t="n"/>
      <c r="C240" s="21" t="n"/>
      <c r="D240" s="21" t="n"/>
      <c r="E240" s="21" t="n"/>
      <c r="F240" s="21" t="n"/>
      <c r="G240" s="23" t="n"/>
      <c r="H240" s="21" t="n"/>
    </row>
    <row r="241">
      <c r="A241" s="23" t="n"/>
      <c r="B241" s="21" t="n"/>
      <c r="C241" s="21" t="n"/>
      <c r="D241" s="21" t="n"/>
      <c r="E241" s="21" t="n"/>
      <c r="F241" s="21" t="n"/>
      <c r="G241" s="23" t="n"/>
      <c r="H241" s="21" t="n"/>
    </row>
    <row r="242">
      <c r="A242" s="23" t="n"/>
      <c r="B242" s="21" t="n"/>
      <c r="C242" s="21" t="n"/>
      <c r="D242" s="21" t="n"/>
      <c r="E242" s="21" t="n"/>
      <c r="F242" s="21" t="n"/>
      <c r="G242" s="23" t="n"/>
      <c r="H242" s="21" t="n"/>
    </row>
    <row r="243">
      <c r="A243" s="23" t="n"/>
      <c r="B243" s="21" t="n"/>
      <c r="C243" s="21" t="n"/>
      <c r="D243" s="21" t="n"/>
      <c r="E243" s="21" t="n"/>
      <c r="F243" s="21" t="n"/>
      <c r="G243" s="23" t="n"/>
      <c r="H243" s="21" t="n"/>
    </row>
    <row r="244">
      <c r="A244" s="23" t="n"/>
      <c r="B244" s="21" t="n"/>
      <c r="C244" s="21" t="n"/>
      <c r="D244" s="21" t="n"/>
      <c r="E244" s="21" t="n"/>
      <c r="F244" s="21" t="n"/>
      <c r="G244" s="23" t="n"/>
      <c r="H244" s="21" t="n"/>
    </row>
    <row r="245">
      <c r="A245" s="23" t="n"/>
      <c r="B245" s="21" t="n"/>
      <c r="C245" s="21" t="n"/>
      <c r="D245" s="21" t="n"/>
      <c r="E245" s="21" t="n"/>
      <c r="F245" s="21" t="n"/>
      <c r="G245" s="23" t="n"/>
      <c r="H245" s="21" t="n"/>
    </row>
    <row r="246">
      <c r="A246" s="23" t="n"/>
      <c r="B246" s="21" t="n"/>
      <c r="C246" s="21" t="n"/>
      <c r="D246" s="21" t="n"/>
      <c r="E246" s="21" t="n"/>
      <c r="F246" s="21" t="n"/>
      <c r="G246" s="23" t="n"/>
      <c r="H246" s="21" t="n"/>
    </row>
    <row r="247">
      <c r="A247" s="23" t="n"/>
      <c r="B247" s="21" t="n"/>
      <c r="C247" s="21" t="n"/>
      <c r="D247" s="21" t="n"/>
      <c r="E247" s="21" t="n"/>
      <c r="F247" s="21" t="n"/>
      <c r="G247" s="23" t="n"/>
      <c r="H247" s="21" t="n"/>
    </row>
    <row r="248">
      <c r="A248" s="23" t="n"/>
      <c r="B248" s="21" t="n"/>
      <c r="C248" s="21" t="n"/>
      <c r="D248" s="21" t="n"/>
      <c r="E248" s="21" t="n"/>
      <c r="F248" s="21" t="n"/>
      <c r="G248" s="23" t="n"/>
      <c r="H248" s="21" t="n"/>
    </row>
    <row r="249">
      <c r="A249" s="23" t="n"/>
      <c r="B249" s="21" t="n"/>
      <c r="C249" s="21" t="n"/>
      <c r="D249" s="21" t="n"/>
      <c r="E249" s="21" t="n"/>
      <c r="F249" s="21" t="n"/>
      <c r="G249" s="23" t="n"/>
      <c r="H249" s="21" t="n"/>
    </row>
    <row r="250">
      <c r="A250" s="23" t="n"/>
      <c r="B250" s="21" t="n"/>
      <c r="C250" s="21" t="n"/>
      <c r="D250" s="21" t="n"/>
      <c r="E250" s="21" t="n"/>
      <c r="F250" s="21" t="n"/>
      <c r="G250" s="23" t="n"/>
      <c r="H250" s="21" t="n"/>
    </row>
    <row r="251">
      <c r="A251" s="23" t="n"/>
      <c r="B251" s="21" t="n"/>
      <c r="C251" s="21" t="n"/>
      <c r="D251" s="21" t="n"/>
      <c r="E251" s="21" t="n"/>
      <c r="F251" s="21" t="n"/>
      <c r="G251" s="23" t="n"/>
      <c r="H251" s="21" t="n"/>
    </row>
    <row r="252">
      <c r="A252" s="23" t="n"/>
      <c r="B252" s="21" t="n"/>
      <c r="C252" s="21" t="n"/>
      <c r="D252" s="21" t="n"/>
      <c r="E252" s="21" t="n"/>
      <c r="F252" s="21" t="n"/>
      <c r="G252" s="23" t="n"/>
      <c r="H252" s="21" t="n"/>
    </row>
    <row r="253">
      <c r="A253" s="23" t="n"/>
      <c r="B253" s="21" t="n"/>
      <c r="C253" s="21" t="n"/>
      <c r="D253" s="21" t="n"/>
      <c r="E253" s="21" t="n"/>
      <c r="F253" s="21" t="n"/>
      <c r="G253" s="23" t="n"/>
      <c r="H253" s="21" t="n"/>
    </row>
    <row r="254">
      <c r="A254" s="23" t="n"/>
      <c r="B254" s="21" t="n"/>
      <c r="C254" s="21" t="n"/>
      <c r="D254" s="21" t="n"/>
      <c r="E254" s="21" t="n"/>
      <c r="F254" s="21" t="n"/>
      <c r="G254" s="23" t="n"/>
      <c r="H254" s="21" t="n"/>
    </row>
    <row r="255">
      <c r="A255" s="23" t="n"/>
      <c r="B255" s="21" t="n"/>
      <c r="C255" s="21" t="n"/>
      <c r="D255" s="21" t="n"/>
      <c r="E255" s="21" t="n"/>
      <c r="F255" s="21" t="n"/>
      <c r="G255" s="23" t="n"/>
      <c r="H255" s="21" t="n"/>
    </row>
    <row r="256">
      <c r="A256" s="23" t="n"/>
      <c r="B256" s="21" t="n"/>
      <c r="C256" s="21" t="n"/>
      <c r="D256" s="21" t="n"/>
      <c r="E256" s="21" t="n"/>
      <c r="F256" s="21" t="n"/>
      <c r="G256" s="23" t="n"/>
      <c r="H256" s="21" t="n"/>
    </row>
    <row r="257">
      <c r="A257" s="23" t="n"/>
      <c r="B257" s="21" t="n"/>
      <c r="C257" s="21" t="n"/>
      <c r="D257" s="21" t="n"/>
      <c r="E257" s="21" t="n"/>
      <c r="F257" s="21" t="n"/>
      <c r="G257" s="23" t="n"/>
      <c r="H257" s="21" t="n"/>
    </row>
    <row r="258">
      <c r="A258" s="23" t="n"/>
      <c r="B258" s="21" t="n"/>
      <c r="C258" s="21" t="n"/>
      <c r="D258" s="21" t="n"/>
      <c r="E258" s="21" t="n"/>
      <c r="F258" s="21" t="n"/>
      <c r="G258" s="23" t="n"/>
      <c r="H258" s="21" t="n"/>
    </row>
    <row r="259">
      <c r="A259" s="23" t="n"/>
      <c r="B259" s="21" t="n"/>
      <c r="C259" s="21" t="n"/>
      <c r="D259" s="21" t="n"/>
      <c r="E259" s="21" t="n"/>
      <c r="F259" s="21" t="n"/>
      <c r="G259" s="23" t="n"/>
      <c r="H259" s="21" t="n"/>
    </row>
    <row r="260">
      <c r="A260" s="23" t="n"/>
      <c r="B260" s="21" t="n"/>
      <c r="C260" s="21" t="n"/>
      <c r="D260" s="21" t="n"/>
      <c r="E260" s="21" t="n"/>
      <c r="F260" s="21" t="n"/>
      <c r="G260" s="23" t="n"/>
      <c r="H260" s="21" t="n"/>
    </row>
    <row r="261">
      <c r="A261" s="23" t="n"/>
      <c r="B261" s="21" t="n"/>
      <c r="C261" s="21" t="n"/>
      <c r="D261" s="21" t="n"/>
      <c r="E261" s="21" t="n"/>
      <c r="F261" s="21" t="n"/>
      <c r="G261" s="23" t="n"/>
      <c r="H261" s="21" t="n"/>
    </row>
    <row r="262">
      <c r="A262" s="23" t="n"/>
      <c r="B262" s="21" t="n"/>
      <c r="C262" s="21" t="n"/>
      <c r="D262" s="21" t="n"/>
      <c r="E262" s="21" t="n"/>
      <c r="F262" s="21" t="n"/>
      <c r="G262" s="23" t="n"/>
      <c r="H262" s="21" t="n"/>
    </row>
    <row r="263">
      <c r="A263" s="23" t="n"/>
      <c r="B263" s="21" t="n"/>
      <c r="C263" s="21" t="n"/>
      <c r="D263" s="21" t="n"/>
      <c r="E263" s="21" t="n"/>
      <c r="F263" s="21" t="n"/>
      <c r="G263" s="23" t="n"/>
      <c r="H263" s="21" t="n"/>
    </row>
    <row r="264">
      <c r="A264" s="23" t="n"/>
      <c r="B264" s="21" t="n"/>
      <c r="C264" s="21" t="n"/>
      <c r="D264" s="21" t="n"/>
      <c r="E264" s="21" t="n"/>
      <c r="F264" s="21" t="n"/>
      <c r="G264" s="23" t="n"/>
      <c r="H264" s="21" t="n"/>
    </row>
    <row r="265">
      <c r="A265" s="23" t="n"/>
      <c r="B265" s="21" t="n"/>
      <c r="C265" s="21" t="n"/>
      <c r="D265" s="21" t="n"/>
      <c r="E265" s="21" t="n"/>
      <c r="F265" s="21" t="n"/>
      <c r="G265" s="23" t="n"/>
      <c r="H265" s="21" t="n"/>
    </row>
    <row r="266">
      <c r="A266" s="23" t="n"/>
      <c r="B266" s="21" t="n"/>
      <c r="C266" s="21" t="n"/>
      <c r="D266" s="21" t="n"/>
      <c r="E266" s="21" t="n"/>
      <c r="F266" s="21" t="n"/>
      <c r="G266" s="23" t="n"/>
      <c r="H266" s="21" t="n"/>
    </row>
    <row r="267">
      <c r="A267" s="23" t="n"/>
      <c r="B267" s="21" t="n"/>
      <c r="C267" s="21" t="n"/>
      <c r="D267" s="21" t="n"/>
      <c r="E267" s="21" t="n"/>
      <c r="F267" s="21" t="n"/>
      <c r="G267" s="23" t="n"/>
      <c r="H267" s="21" t="n"/>
    </row>
    <row r="268">
      <c r="A268" s="23" t="n"/>
      <c r="B268" s="21" t="n"/>
      <c r="C268" s="21" t="n"/>
      <c r="D268" s="21" t="n"/>
      <c r="E268" s="21" t="n"/>
      <c r="F268" s="21" t="n"/>
      <c r="G268" s="23" t="n"/>
      <c r="H268" s="21" t="n"/>
    </row>
    <row r="269">
      <c r="A269" s="23" t="n"/>
      <c r="B269" s="21" t="n"/>
      <c r="C269" s="21" t="n"/>
      <c r="D269" s="21" t="n"/>
      <c r="E269" s="21" t="n"/>
      <c r="F269" s="21" t="n"/>
      <c r="G269" s="23" t="n"/>
      <c r="H269" s="21" t="n"/>
    </row>
    <row r="270">
      <c r="A270" s="23" t="n"/>
      <c r="B270" s="21" t="n"/>
      <c r="C270" s="21" t="n"/>
      <c r="D270" s="21" t="n"/>
      <c r="E270" s="21" t="n"/>
      <c r="F270" s="21" t="n"/>
      <c r="G270" s="23" t="n"/>
      <c r="H270" s="21" t="n"/>
    </row>
    <row r="271">
      <c r="A271" s="23" t="n"/>
      <c r="B271" s="21" t="n"/>
      <c r="C271" s="21" t="n"/>
      <c r="D271" s="21" t="n"/>
      <c r="E271" s="21" t="n"/>
      <c r="F271" s="21" t="n"/>
      <c r="G271" s="23" t="n"/>
      <c r="H271" s="21" t="n"/>
    </row>
    <row r="272">
      <c r="A272" s="23" t="n"/>
      <c r="B272" s="21" t="n"/>
      <c r="C272" s="21" t="n"/>
      <c r="D272" s="21" t="n"/>
      <c r="E272" s="21" t="n"/>
      <c r="F272" s="21" t="n"/>
      <c r="G272" s="23" t="n"/>
      <c r="H272" s="21" t="n"/>
    </row>
    <row r="273">
      <c r="A273" s="23" t="n"/>
      <c r="B273" s="21" t="n"/>
      <c r="C273" s="21" t="n"/>
      <c r="D273" s="21" t="n"/>
      <c r="E273" s="21" t="n"/>
      <c r="F273" s="21" t="n"/>
      <c r="G273" s="23" t="n"/>
      <c r="H273" s="21" t="n"/>
    </row>
    <row r="274">
      <c r="A274" s="23" t="n"/>
      <c r="B274" s="21" t="n"/>
      <c r="C274" s="21" t="n"/>
      <c r="D274" s="21" t="n"/>
      <c r="E274" s="21" t="n"/>
      <c r="F274" s="21" t="n"/>
      <c r="G274" s="23" t="n"/>
      <c r="H274" s="21" t="n"/>
    </row>
    <row r="275">
      <c r="A275" s="23" t="n"/>
      <c r="B275" s="21" t="n"/>
      <c r="C275" s="21" t="n"/>
      <c r="D275" s="21" t="n"/>
      <c r="E275" s="21" t="n"/>
      <c r="F275" s="21" t="n"/>
      <c r="G275" s="23" t="n"/>
      <c r="H275" s="21" t="n"/>
    </row>
    <row r="276">
      <c r="A276" s="23" t="n"/>
      <c r="B276" s="21" t="n"/>
      <c r="C276" s="21" t="n"/>
      <c r="D276" s="21" t="n"/>
      <c r="E276" s="21" t="n"/>
      <c r="F276" s="21" t="n"/>
      <c r="G276" s="23" t="n"/>
      <c r="H276" s="21" t="n"/>
    </row>
    <row r="277">
      <c r="A277" s="23" t="n"/>
      <c r="B277" s="21" t="n"/>
      <c r="C277" s="21" t="n"/>
      <c r="D277" s="21" t="n"/>
      <c r="E277" s="21" t="n"/>
      <c r="F277" s="21" t="n"/>
      <c r="G277" s="23" t="n"/>
      <c r="H277" s="21" t="n"/>
    </row>
    <row r="278">
      <c r="A278" s="23" t="n"/>
      <c r="B278" s="21" t="n"/>
      <c r="C278" s="21" t="n"/>
      <c r="D278" s="21" t="n"/>
      <c r="E278" s="21" t="n"/>
      <c r="F278" s="21" t="n"/>
      <c r="G278" s="23" t="n"/>
      <c r="H278" s="21" t="n"/>
    </row>
    <row r="279">
      <c r="A279" s="23" t="n"/>
      <c r="B279" s="21" t="n"/>
      <c r="C279" s="21" t="n"/>
      <c r="D279" s="21" t="n"/>
      <c r="E279" s="21" t="n"/>
      <c r="F279" s="21" t="n"/>
      <c r="G279" s="23" t="n"/>
      <c r="H279" s="21" t="n"/>
    </row>
    <row r="280">
      <c r="A280" s="23" t="n"/>
      <c r="B280" s="21" t="n"/>
      <c r="C280" s="21" t="n"/>
      <c r="D280" s="21" t="n"/>
      <c r="E280" s="21" t="n"/>
      <c r="F280" s="21" t="n"/>
      <c r="G280" s="23" t="n"/>
      <c r="H280" s="21" t="n"/>
    </row>
    <row r="281">
      <c r="A281" s="23" t="n"/>
      <c r="B281" s="21" t="n"/>
      <c r="C281" s="21" t="n"/>
      <c r="D281" s="21" t="n"/>
      <c r="E281" s="21" t="n"/>
      <c r="F281" s="21" t="n"/>
      <c r="G281" s="23" t="n"/>
      <c r="H281" s="21" t="n"/>
    </row>
    <row r="282">
      <c r="A282" s="23" t="n"/>
      <c r="B282" s="21" t="n"/>
      <c r="C282" s="21" t="n"/>
      <c r="D282" s="21" t="n"/>
      <c r="E282" s="21" t="n"/>
      <c r="F282" s="21" t="n"/>
      <c r="G282" s="23" t="n"/>
      <c r="H282" s="21" t="n"/>
    </row>
    <row r="283">
      <c r="A283" s="23" t="n"/>
      <c r="B283" s="21" t="n"/>
      <c r="C283" s="21" t="n"/>
      <c r="D283" s="21" t="n"/>
      <c r="E283" s="21" t="n"/>
      <c r="F283" s="21" t="n"/>
      <c r="G283" s="23" t="n"/>
      <c r="H283" s="21" t="n"/>
    </row>
    <row r="284">
      <c r="A284" s="23" t="n"/>
      <c r="B284" s="21" t="n"/>
      <c r="C284" s="21" t="n"/>
      <c r="D284" s="21" t="n"/>
      <c r="E284" s="21" t="n"/>
      <c r="F284" s="21" t="n"/>
      <c r="G284" s="23" t="n"/>
      <c r="H284" s="21" t="n"/>
    </row>
    <row r="285">
      <c r="A285" s="23" t="n"/>
      <c r="B285" s="21" t="n"/>
      <c r="C285" s="21" t="n"/>
      <c r="D285" s="21" t="n"/>
      <c r="E285" s="21" t="n"/>
      <c r="F285" s="21" t="n"/>
      <c r="G285" s="23" t="n"/>
      <c r="H285" s="21" t="n"/>
    </row>
    <row r="286">
      <c r="A286" s="23" t="n"/>
      <c r="B286" s="21" t="n"/>
      <c r="C286" s="21" t="n"/>
      <c r="D286" s="21" t="n"/>
      <c r="E286" s="21" t="n"/>
      <c r="F286" s="21" t="n"/>
      <c r="G286" s="23" t="n"/>
      <c r="H286" s="21" t="n"/>
    </row>
    <row r="287">
      <c r="A287" s="23" t="n"/>
      <c r="B287" s="21" t="n"/>
      <c r="C287" s="21" t="n"/>
      <c r="D287" s="21" t="n"/>
      <c r="E287" s="21" t="n"/>
      <c r="F287" s="21" t="n"/>
      <c r="G287" s="23" t="n"/>
      <c r="H287" s="21" t="n"/>
    </row>
    <row r="288">
      <c r="A288" s="23" t="n"/>
      <c r="B288" s="21" t="n"/>
      <c r="C288" s="21" t="n"/>
      <c r="D288" s="21" t="n"/>
      <c r="E288" s="21" t="n"/>
      <c r="F288" s="21" t="n"/>
      <c r="G288" s="23" t="n"/>
      <c r="H288" s="21" t="n"/>
    </row>
    <row r="289">
      <c r="A289" s="23" t="n"/>
      <c r="B289" s="21" t="n"/>
      <c r="C289" s="21" t="n"/>
      <c r="D289" s="21" t="n"/>
      <c r="E289" s="21" t="n"/>
      <c r="F289" s="21" t="n"/>
      <c r="G289" s="23" t="n"/>
      <c r="H289" s="21" t="n"/>
    </row>
    <row r="290">
      <c r="A290" s="23" t="n"/>
      <c r="B290" s="21" t="n"/>
      <c r="C290" s="21" t="n"/>
      <c r="D290" s="21" t="n"/>
      <c r="E290" s="21" t="n"/>
      <c r="F290" s="21" t="n"/>
      <c r="G290" s="23" t="n"/>
      <c r="H290" s="21" t="n"/>
    </row>
    <row r="291">
      <c r="A291" s="23" t="n"/>
      <c r="B291" s="21" t="n"/>
      <c r="C291" s="21" t="n"/>
      <c r="D291" s="21" t="n"/>
      <c r="E291" s="21" t="n"/>
      <c r="F291" s="21" t="n"/>
      <c r="G291" s="23" t="n"/>
      <c r="H291" s="21" t="n"/>
    </row>
    <row r="292">
      <c r="A292" s="23" t="n"/>
      <c r="B292" s="21" t="n"/>
      <c r="C292" s="21" t="n"/>
      <c r="D292" s="21" t="n"/>
      <c r="E292" s="21" t="n"/>
      <c r="F292" s="21" t="n"/>
      <c r="G292" s="23" t="n"/>
      <c r="H292" s="21" t="n"/>
    </row>
    <row r="293">
      <c r="A293" s="23" t="n"/>
      <c r="B293" s="21" t="n"/>
      <c r="C293" s="21" t="n"/>
      <c r="D293" s="21" t="n"/>
      <c r="E293" s="21" t="n"/>
      <c r="F293" s="21" t="n"/>
      <c r="G293" s="23" t="n"/>
      <c r="H293" s="21" t="n"/>
    </row>
    <row r="294">
      <c r="A294" s="23" t="n"/>
      <c r="B294" s="21" t="n"/>
      <c r="C294" s="21" t="n"/>
      <c r="D294" s="21" t="n"/>
      <c r="E294" s="21" t="n"/>
      <c r="F294" s="21" t="n"/>
      <c r="G294" s="23" t="n"/>
      <c r="H294" s="21" t="n"/>
    </row>
    <row r="295">
      <c r="A295" s="23" t="n"/>
      <c r="B295" s="21" t="n"/>
      <c r="C295" s="21" t="n"/>
      <c r="D295" s="21" t="n"/>
      <c r="E295" s="21" t="n"/>
      <c r="F295" s="21" t="n"/>
      <c r="G295" s="23" t="n"/>
      <c r="H295" s="21" t="n"/>
    </row>
    <row r="296">
      <c r="A296" s="23" t="n"/>
      <c r="B296" s="21" t="n"/>
      <c r="C296" s="21" t="n"/>
      <c r="D296" s="21" t="n"/>
      <c r="E296" s="21" t="n"/>
      <c r="F296" s="21" t="n"/>
      <c r="G296" s="23" t="n"/>
      <c r="H296" s="21" t="n"/>
    </row>
    <row r="297">
      <c r="A297" s="23" t="n"/>
      <c r="B297" s="21" t="n"/>
      <c r="C297" s="21" t="n"/>
      <c r="D297" s="21" t="n"/>
      <c r="E297" s="21" t="n"/>
      <c r="F297" s="21" t="n"/>
      <c r="G297" s="23" t="n"/>
      <c r="H297" s="21" t="n"/>
    </row>
    <row r="298">
      <c r="A298" s="23" t="n"/>
      <c r="B298" s="21" t="n"/>
      <c r="C298" s="21" t="n"/>
      <c r="D298" s="21" t="n"/>
      <c r="E298" s="21" t="n"/>
      <c r="F298" s="21" t="n"/>
      <c r="G298" s="23" t="n"/>
      <c r="H298" s="21" t="n"/>
    </row>
    <row r="299">
      <c r="A299" s="23" t="n"/>
      <c r="B299" s="21" t="n"/>
      <c r="C299" s="21" t="n"/>
      <c r="D299" s="21" t="n"/>
      <c r="E299" s="21" t="n"/>
      <c r="F299" s="21" t="n"/>
      <c r="G299" s="23" t="n"/>
      <c r="H299" s="21" t="n"/>
    </row>
    <row r="300">
      <c r="A300" s="23" t="n"/>
      <c r="B300" s="21" t="n"/>
      <c r="C300" s="21" t="n"/>
      <c r="D300" s="21" t="n"/>
      <c r="E300" s="21" t="n"/>
      <c r="F300" s="21" t="n"/>
      <c r="G300" s="23" t="n"/>
      <c r="H300" s="21" t="n"/>
    </row>
    <row r="301">
      <c r="A301" s="23" t="n"/>
      <c r="B301" s="21" t="n"/>
      <c r="C301" s="21" t="n"/>
      <c r="D301" s="21" t="n"/>
      <c r="E301" s="21" t="n"/>
      <c r="F301" s="21" t="n"/>
      <c r="G301" s="23" t="n"/>
      <c r="H301" s="21" t="n"/>
    </row>
    <row r="302">
      <c r="A302" s="23" t="n"/>
      <c r="B302" s="21" t="n"/>
      <c r="C302" s="21" t="n"/>
      <c r="D302" s="21" t="n"/>
      <c r="E302" s="21" t="n"/>
      <c r="F302" s="21" t="n"/>
      <c r="G302" s="23" t="n"/>
      <c r="H302" s="21" t="n"/>
    </row>
    <row r="303">
      <c r="A303" s="23" t="n"/>
      <c r="B303" s="21" t="n"/>
      <c r="C303" s="21" t="n"/>
      <c r="D303" s="21" t="n"/>
      <c r="E303" s="21" t="n"/>
      <c r="F303" s="21" t="n"/>
      <c r="G303" s="23" t="n"/>
      <c r="H303" s="21" t="n"/>
    </row>
    <row r="304">
      <c r="A304" s="23" t="n"/>
      <c r="B304" s="21" t="n"/>
      <c r="C304" s="21" t="n"/>
      <c r="D304" s="21" t="n"/>
      <c r="E304" s="21" t="n"/>
      <c r="F304" s="21" t="n"/>
      <c r="G304" s="23" t="n"/>
      <c r="H304" s="21" t="n"/>
    </row>
    <row r="305">
      <c r="A305" s="23" t="n"/>
      <c r="B305" s="21" t="n"/>
      <c r="C305" s="21" t="n"/>
      <c r="D305" s="21" t="n"/>
      <c r="E305" s="21" t="n"/>
      <c r="F305" s="21" t="n"/>
      <c r="G305" s="23" t="n"/>
      <c r="H305" s="21" t="n"/>
    </row>
    <row r="306">
      <c r="A306" s="23" t="n"/>
      <c r="B306" s="21" t="n"/>
      <c r="C306" s="21" t="n"/>
      <c r="D306" s="21" t="n"/>
      <c r="E306" s="21" t="n"/>
      <c r="F306" s="21" t="n"/>
      <c r="G306" s="23" t="n"/>
      <c r="H306" s="21" t="n"/>
    </row>
    <row r="307">
      <c r="A307" s="23" t="n"/>
      <c r="B307" s="21" t="n"/>
      <c r="C307" s="21" t="n"/>
      <c r="D307" s="21" t="n"/>
      <c r="E307" s="21" t="n"/>
      <c r="F307" s="21" t="n"/>
      <c r="G307" s="23" t="n"/>
      <c r="H307" s="21" t="n"/>
    </row>
    <row r="308">
      <c r="A308" s="23" t="n"/>
      <c r="B308" s="21" t="n"/>
      <c r="C308" s="21" t="n"/>
      <c r="D308" s="21" t="n"/>
      <c r="E308" s="21" t="n"/>
      <c r="F308" s="21" t="n"/>
      <c r="G308" s="23" t="n"/>
      <c r="H308" s="21" t="n"/>
    </row>
    <row r="309">
      <c r="A309" s="23" t="n"/>
      <c r="B309" s="21" t="n"/>
      <c r="C309" s="21" t="n"/>
      <c r="D309" s="21" t="n"/>
      <c r="E309" s="21" t="n"/>
      <c r="F309" s="21" t="n"/>
      <c r="G309" s="23" t="n"/>
      <c r="H309" s="21" t="n"/>
    </row>
    <row r="310">
      <c r="A310" s="23" t="n"/>
      <c r="B310" s="21" t="n"/>
      <c r="C310" s="21" t="n"/>
      <c r="D310" s="21" t="n"/>
      <c r="E310" s="21" t="n"/>
      <c r="F310" s="21" t="n"/>
      <c r="G310" s="23" t="n"/>
      <c r="H310" s="21" t="n"/>
    </row>
    <row r="311">
      <c r="A311" s="23" t="n"/>
      <c r="B311" s="21" t="n"/>
      <c r="C311" s="21" t="n"/>
      <c r="D311" s="21" t="n"/>
      <c r="E311" s="21" t="n"/>
      <c r="F311" s="21" t="n"/>
      <c r="G311" s="23" t="n"/>
      <c r="H311" s="21" t="n"/>
    </row>
    <row r="312">
      <c r="A312" s="23" t="n"/>
      <c r="B312" s="21" t="n"/>
      <c r="C312" s="21" t="n"/>
      <c r="D312" s="21" t="n"/>
      <c r="E312" s="21" t="n"/>
      <c r="F312" s="21" t="n"/>
      <c r="G312" s="23" t="n"/>
      <c r="H312" s="21" t="n"/>
    </row>
    <row r="313">
      <c r="A313" s="23" t="n"/>
      <c r="B313" s="21" t="n"/>
      <c r="C313" s="21" t="n"/>
      <c r="D313" s="21" t="n"/>
      <c r="E313" s="21" t="n"/>
      <c r="F313" s="21" t="n"/>
      <c r="G313" s="23" t="n"/>
      <c r="H313" s="21" t="n"/>
    </row>
    <row r="314">
      <c r="A314" s="23" t="n"/>
      <c r="B314" s="21" t="n"/>
      <c r="C314" s="21" t="n"/>
      <c r="D314" s="21" t="n"/>
      <c r="E314" s="21" t="n"/>
      <c r="F314" s="21" t="n"/>
      <c r="G314" s="23" t="n"/>
      <c r="H314" s="21" t="n"/>
    </row>
    <row r="315">
      <c r="A315" s="23" t="n"/>
      <c r="B315" s="21" t="n"/>
      <c r="C315" s="21" t="n"/>
      <c r="D315" s="21" t="n"/>
      <c r="E315" s="21" t="n"/>
      <c r="F315" s="21" t="n"/>
      <c r="G315" s="23" t="n"/>
      <c r="H315" s="21" t="n"/>
    </row>
    <row r="316">
      <c r="A316" s="23" t="n"/>
      <c r="B316" s="21" t="n"/>
      <c r="C316" s="21" t="n"/>
      <c r="D316" s="21" t="n"/>
      <c r="E316" s="21" t="n"/>
      <c r="F316" s="21" t="n"/>
      <c r="G316" s="23" t="n"/>
      <c r="H316" s="21" t="n"/>
    </row>
    <row r="317">
      <c r="A317" s="23" t="n"/>
      <c r="B317" s="21" t="n"/>
      <c r="C317" s="21" t="n"/>
      <c r="D317" s="21" t="n"/>
      <c r="E317" s="21" t="n"/>
      <c r="F317" s="21" t="n"/>
      <c r="G317" s="23" t="n"/>
      <c r="H317" s="21" t="n"/>
    </row>
    <row r="318">
      <c r="A318" s="23" t="n"/>
      <c r="B318" s="21" t="n"/>
      <c r="C318" s="21" t="n"/>
      <c r="D318" s="21" t="n"/>
      <c r="E318" s="21" t="n"/>
      <c r="F318" s="21" t="n"/>
      <c r="G318" s="23" t="n"/>
      <c r="H318" s="21" t="n"/>
    </row>
    <row r="319">
      <c r="A319" s="23" t="n"/>
      <c r="B319" s="21" t="n"/>
      <c r="C319" s="21" t="n"/>
      <c r="D319" s="21" t="n"/>
      <c r="E319" s="21" t="n"/>
      <c r="F319" s="21" t="n"/>
      <c r="G319" s="23" t="n"/>
      <c r="H319" s="21" t="n"/>
    </row>
    <row r="320">
      <c r="A320" s="23" t="n"/>
      <c r="B320" s="21" t="n"/>
      <c r="C320" s="21" t="n"/>
      <c r="D320" s="21" t="n"/>
      <c r="E320" s="21" t="n"/>
      <c r="F320" s="21" t="n"/>
      <c r="G320" s="23" t="n"/>
      <c r="H320" s="21" t="n"/>
    </row>
    <row r="321">
      <c r="A321" s="23" t="n"/>
      <c r="B321" s="21" t="n"/>
      <c r="C321" s="21" t="n"/>
      <c r="D321" s="21" t="n"/>
      <c r="E321" s="21" t="n"/>
      <c r="F321" s="21" t="n"/>
      <c r="G321" s="23" t="n"/>
      <c r="H321" s="21" t="n"/>
    </row>
    <row r="322">
      <c r="A322" s="23" t="n"/>
      <c r="B322" s="21" t="n"/>
      <c r="C322" s="21" t="n"/>
      <c r="D322" s="21" t="n"/>
      <c r="E322" s="21" t="n"/>
      <c r="F322" s="21" t="n"/>
      <c r="G322" s="23" t="n"/>
      <c r="H322" s="21" t="n"/>
    </row>
    <row r="323">
      <c r="A323" s="23" t="n"/>
      <c r="B323" s="21" t="n"/>
      <c r="C323" s="21" t="n"/>
      <c r="D323" s="21" t="n"/>
      <c r="E323" s="21" t="n"/>
      <c r="F323" s="21" t="n"/>
      <c r="G323" s="23" t="n"/>
      <c r="H323" s="21" t="n"/>
    </row>
    <row r="324">
      <c r="A324" s="23" t="n"/>
      <c r="B324" s="21" t="n"/>
      <c r="C324" s="21" t="n"/>
      <c r="D324" s="21" t="n"/>
      <c r="E324" s="21" t="n"/>
      <c r="F324" s="21" t="n"/>
      <c r="G324" s="23" t="n"/>
      <c r="H324" s="21" t="n"/>
    </row>
    <row r="325">
      <c r="A325" s="23" t="n"/>
      <c r="B325" s="21" t="n"/>
      <c r="C325" s="21" t="n"/>
      <c r="D325" s="21" t="n"/>
      <c r="E325" s="21" t="n"/>
      <c r="F325" s="21" t="n"/>
      <c r="G325" s="23" t="n"/>
      <c r="H325" s="21" t="n"/>
    </row>
    <row r="326">
      <c r="A326" s="23" t="n"/>
      <c r="B326" s="21" t="n"/>
      <c r="C326" s="21" t="n"/>
      <c r="D326" s="21" t="n"/>
      <c r="E326" s="21" t="n"/>
      <c r="F326" s="21" t="n"/>
      <c r="G326" s="23" t="n"/>
      <c r="H326" s="21" t="n"/>
    </row>
    <row r="327">
      <c r="A327" s="23" t="n"/>
      <c r="B327" s="21" t="n"/>
      <c r="C327" s="21" t="n"/>
      <c r="D327" s="21" t="n"/>
      <c r="E327" s="21" t="n"/>
      <c r="F327" s="21" t="n"/>
      <c r="G327" s="23" t="n"/>
      <c r="H327" s="21" t="n"/>
    </row>
    <row r="328">
      <c r="A328" s="23" t="n"/>
      <c r="B328" s="21" t="n"/>
      <c r="C328" s="21" t="n"/>
      <c r="D328" s="21" t="n"/>
      <c r="E328" s="21" t="n"/>
      <c r="F328" s="21" t="n"/>
      <c r="G328" s="23" t="n"/>
      <c r="H328" s="21" t="n"/>
    </row>
    <row r="329">
      <c r="A329" s="23" t="n"/>
      <c r="B329" s="21" t="n"/>
      <c r="C329" s="21" t="n"/>
      <c r="D329" s="21" t="n"/>
      <c r="E329" s="21" t="n"/>
      <c r="F329" s="21" t="n"/>
      <c r="G329" s="23" t="n"/>
      <c r="H329" s="21" t="n"/>
    </row>
    <row r="330">
      <c r="A330" s="23" t="n"/>
      <c r="B330" s="21" t="n"/>
      <c r="C330" s="21" t="n"/>
      <c r="D330" s="21" t="n"/>
      <c r="E330" s="21" t="n"/>
      <c r="F330" s="21" t="n"/>
      <c r="G330" s="23" t="n"/>
      <c r="H330" s="21" t="n"/>
    </row>
    <row r="331">
      <c r="A331" s="23" t="n"/>
      <c r="B331" s="21" t="n"/>
      <c r="C331" s="21" t="n"/>
      <c r="D331" s="21" t="n"/>
      <c r="E331" s="21" t="n"/>
      <c r="F331" s="21" t="n"/>
      <c r="G331" s="23" t="n"/>
      <c r="H331" s="21" t="n"/>
    </row>
    <row r="332">
      <c r="A332" s="23" t="n"/>
      <c r="B332" s="21" t="n"/>
      <c r="C332" s="21" t="n"/>
      <c r="D332" s="21" t="n"/>
      <c r="E332" s="21" t="n"/>
      <c r="F332" s="21" t="n"/>
      <c r="G332" s="23" t="n"/>
      <c r="H332" s="21" t="n"/>
    </row>
    <row r="333">
      <c r="A333" s="23" t="n"/>
      <c r="B333" s="21" t="n"/>
      <c r="C333" s="21" t="n"/>
      <c r="D333" s="21" t="n"/>
      <c r="E333" s="21" t="n"/>
      <c r="F333" s="21" t="n"/>
      <c r="G333" s="23" t="n"/>
      <c r="H333" s="21" t="n"/>
    </row>
    <row r="334">
      <c r="A334" s="23" t="n"/>
      <c r="B334" s="21" t="n"/>
      <c r="C334" s="21" t="n"/>
      <c r="D334" s="21" t="n"/>
      <c r="E334" s="21" t="n"/>
      <c r="F334" s="21" t="n"/>
      <c r="G334" s="23" t="n"/>
      <c r="H334" s="21" t="n"/>
    </row>
    <row r="335">
      <c r="A335" s="23" t="n"/>
      <c r="B335" s="21" t="n"/>
      <c r="C335" s="21" t="n"/>
      <c r="D335" s="21" t="n"/>
      <c r="E335" s="21" t="n"/>
      <c r="F335" s="21" t="n"/>
      <c r="G335" s="23" t="n"/>
      <c r="H335" s="21" t="n"/>
    </row>
    <row r="336">
      <c r="A336" s="23" t="n"/>
      <c r="B336" s="21" t="n"/>
      <c r="C336" s="21" t="n"/>
      <c r="D336" s="21" t="n"/>
      <c r="E336" s="21" t="n"/>
      <c r="F336" s="21" t="n"/>
      <c r="G336" s="23" t="n"/>
      <c r="H336" s="21" t="n"/>
    </row>
    <row r="337">
      <c r="A337" s="23" t="n"/>
      <c r="B337" s="21" t="n"/>
      <c r="C337" s="21" t="n"/>
      <c r="D337" s="21" t="n"/>
      <c r="E337" s="21" t="n"/>
      <c r="F337" s="21" t="n"/>
      <c r="G337" s="23" t="n"/>
      <c r="H337" s="21" t="n"/>
    </row>
    <row r="338">
      <c r="A338" s="23" t="n"/>
      <c r="B338" s="21" t="n"/>
      <c r="C338" s="21" t="n"/>
      <c r="D338" s="21" t="n"/>
      <c r="E338" s="21" t="n"/>
      <c r="F338" s="21" t="n"/>
      <c r="G338" s="23" t="n"/>
      <c r="H338" s="21" t="n"/>
    </row>
    <row r="339">
      <c r="A339" s="23" t="n"/>
      <c r="B339" s="21" t="n"/>
      <c r="C339" s="21" t="n"/>
      <c r="D339" s="21" t="n"/>
      <c r="E339" s="21" t="n"/>
      <c r="F339" s="21" t="n"/>
      <c r="G339" s="23" t="n"/>
      <c r="H339" s="21" t="n"/>
    </row>
    <row r="340">
      <c r="A340" s="23" t="n"/>
      <c r="B340" s="21" t="n"/>
      <c r="C340" s="21" t="n"/>
      <c r="D340" s="21" t="n"/>
      <c r="E340" s="21" t="n"/>
      <c r="F340" s="21" t="n"/>
      <c r="G340" s="23" t="n"/>
      <c r="H340" s="21" t="n"/>
    </row>
    <row r="341">
      <c r="A341" s="23" t="n"/>
      <c r="B341" s="21" t="n"/>
      <c r="C341" s="21" t="n"/>
      <c r="D341" s="21" t="n"/>
      <c r="E341" s="21" t="n"/>
      <c r="F341" s="21" t="n"/>
      <c r="G341" s="23" t="n"/>
      <c r="H341" s="21" t="n"/>
    </row>
    <row r="342">
      <c r="A342" s="23" t="n"/>
      <c r="B342" s="21" t="n"/>
      <c r="C342" s="21" t="n"/>
      <c r="D342" s="21" t="n"/>
      <c r="E342" s="21" t="n"/>
      <c r="F342" s="21" t="n"/>
      <c r="G342" s="23" t="n"/>
      <c r="H342" s="21" t="n"/>
    </row>
    <row r="343">
      <c r="A343" s="23" t="n"/>
      <c r="B343" s="21" t="n"/>
      <c r="C343" s="21" t="n"/>
      <c r="D343" s="21" t="n"/>
      <c r="E343" s="21" t="n"/>
      <c r="F343" s="21" t="n"/>
      <c r="G343" s="23" t="n"/>
      <c r="H343" s="21" t="n"/>
    </row>
    <row r="344">
      <c r="A344" s="23" t="n"/>
      <c r="B344" s="21" t="n"/>
      <c r="C344" s="21" t="n"/>
      <c r="D344" s="21" t="n"/>
      <c r="E344" s="21" t="n"/>
      <c r="F344" s="21" t="n"/>
      <c r="G344" s="23" t="n"/>
      <c r="H344" s="21" t="n"/>
    </row>
    <row r="345">
      <c r="A345" s="23" t="n"/>
      <c r="B345" s="21" t="n"/>
      <c r="C345" s="21" t="n"/>
      <c r="D345" s="21" t="n"/>
      <c r="E345" s="21" t="n"/>
      <c r="F345" s="21" t="n"/>
      <c r="G345" s="23" t="n"/>
      <c r="H345" s="21" t="n"/>
    </row>
    <row r="346">
      <c r="A346" s="23" t="n"/>
      <c r="B346" s="21" t="n"/>
      <c r="C346" s="21" t="n"/>
      <c r="D346" s="21" t="n"/>
      <c r="E346" s="21" t="n"/>
      <c r="F346" s="21" t="n"/>
      <c r="G346" s="23" t="n"/>
      <c r="H346" s="21" t="n"/>
    </row>
    <row r="347">
      <c r="A347" s="23" t="n"/>
      <c r="B347" s="21" t="n"/>
      <c r="C347" s="21" t="n"/>
      <c r="D347" s="21" t="n"/>
      <c r="E347" s="21" t="n"/>
      <c r="F347" s="21" t="n"/>
      <c r="G347" s="23" t="n"/>
      <c r="H347" s="21" t="n"/>
    </row>
    <row r="348">
      <c r="A348" s="23" t="n"/>
      <c r="B348" s="21" t="n"/>
      <c r="C348" s="21" t="n"/>
      <c r="D348" s="21" t="n"/>
      <c r="E348" s="21" t="n"/>
      <c r="F348" s="21" t="n"/>
      <c r="G348" s="23" t="n"/>
      <c r="H348" s="21" t="n"/>
    </row>
    <row r="349">
      <c r="A349" s="23" t="n"/>
      <c r="B349" s="21" t="n"/>
      <c r="C349" s="21" t="n"/>
      <c r="D349" s="21" t="n"/>
      <c r="E349" s="21" t="n"/>
      <c r="F349" s="21" t="n"/>
      <c r="G349" s="23" t="n"/>
      <c r="H349" s="21" t="n"/>
    </row>
    <row r="350">
      <c r="A350" s="23" t="n"/>
      <c r="B350" s="21" t="n"/>
      <c r="C350" s="21" t="n"/>
      <c r="D350" s="21" t="n"/>
      <c r="E350" s="21" t="n"/>
      <c r="F350" s="21" t="n"/>
      <c r="G350" s="23" t="n"/>
      <c r="H350" s="21" t="n"/>
    </row>
    <row r="351">
      <c r="A351" s="23" t="n"/>
      <c r="B351" s="21" t="n"/>
      <c r="C351" s="21" t="n"/>
      <c r="D351" s="21" t="n"/>
      <c r="E351" s="21" t="n"/>
      <c r="F351" s="21" t="n"/>
      <c r="G351" s="23" t="n"/>
      <c r="H351" s="21" t="n"/>
    </row>
    <row r="352">
      <c r="A352" s="23" t="n"/>
      <c r="B352" s="21" t="n"/>
      <c r="C352" s="21" t="n"/>
      <c r="D352" s="21" t="n"/>
      <c r="E352" s="21" t="n"/>
      <c r="F352" s="21" t="n"/>
      <c r="G352" s="23" t="n"/>
      <c r="H352" s="21" t="n"/>
    </row>
    <row r="353">
      <c r="A353" s="23" t="n"/>
      <c r="B353" s="21" t="n"/>
      <c r="C353" s="21" t="n"/>
      <c r="D353" s="21" t="n"/>
      <c r="E353" s="21" t="n"/>
      <c r="F353" s="21" t="n"/>
      <c r="G353" s="23" t="n"/>
      <c r="H353" s="21" t="n"/>
    </row>
    <row r="354">
      <c r="A354" s="23" t="n"/>
      <c r="B354" s="21" t="n"/>
      <c r="C354" s="21" t="n"/>
      <c r="D354" s="21" t="n"/>
      <c r="E354" s="21" t="n"/>
      <c r="F354" s="21" t="n"/>
      <c r="G354" s="23" t="n"/>
      <c r="H354" s="21" t="n"/>
    </row>
    <row r="355">
      <c r="A355" s="23" t="n"/>
      <c r="B355" s="21" t="n"/>
      <c r="C355" s="21" t="n"/>
      <c r="D355" s="21" t="n"/>
      <c r="E355" s="21" t="n"/>
      <c r="F355" s="21" t="n"/>
      <c r="G355" s="23" t="n"/>
      <c r="H355" s="21" t="n"/>
    </row>
    <row r="356">
      <c r="A356" s="23" t="n"/>
      <c r="B356" s="21" t="n"/>
      <c r="C356" s="21" t="n"/>
      <c r="D356" s="21" t="n"/>
      <c r="E356" s="21" t="n"/>
      <c r="F356" s="21" t="n"/>
      <c r="G356" s="23" t="n"/>
      <c r="H356" s="21" t="n"/>
    </row>
    <row r="357">
      <c r="A357" s="23" t="n"/>
      <c r="B357" s="21" t="n"/>
      <c r="C357" s="21" t="n"/>
      <c r="D357" s="21" t="n"/>
      <c r="E357" s="21" t="n"/>
      <c r="F357" s="21" t="n"/>
      <c r="G357" s="23" t="n"/>
      <c r="H357" s="21" t="n"/>
    </row>
    <row r="358">
      <c r="A358" s="23" t="n"/>
      <c r="B358" s="21" t="n"/>
      <c r="C358" s="21" t="n"/>
      <c r="D358" s="21" t="n"/>
      <c r="E358" s="21" t="n"/>
      <c r="F358" s="21" t="n"/>
      <c r="G358" s="23" t="n"/>
      <c r="H358" s="21" t="n"/>
    </row>
    <row r="359">
      <c r="A359" s="23" t="n"/>
      <c r="B359" s="21" t="n"/>
      <c r="C359" s="21" t="n"/>
      <c r="D359" s="21" t="n"/>
      <c r="E359" s="21" t="n"/>
      <c r="F359" s="21" t="n"/>
      <c r="G359" s="23" t="n"/>
      <c r="H359" s="21" t="n"/>
    </row>
    <row r="360">
      <c r="A360" s="23" t="n"/>
      <c r="B360" s="21" t="n"/>
      <c r="C360" s="21" t="n"/>
      <c r="D360" s="21" t="n"/>
      <c r="E360" s="21" t="n"/>
      <c r="F360" s="21" t="n"/>
      <c r="G360" s="23" t="n"/>
      <c r="H360" s="21" t="n"/>
    </row>
    <row r="361">
      <c r="A361" s="23" t="n"/>
      <c r="B361" s="21" t="n"/>
      <c r="C361" s="21" t="n"/>
      <c r="D361" s="21" t="n"/>
      <c r="E361" s="21" t="n"/>
      <c r="F361" s="21" t="n"/>
      <c r="G361" s="23" t="n"/>
      <c r="H361" s="21" t="n"/>
    </row>
    <row r="362">
      <c r="A362" s="23" t="n"/>
      <c r="B362" s="21" t="n"/>
      <c r="C362" s="21" t="n"/>
      <c r="D362" s="21" t="n"/>
      <c r="E362" s="21" t="n"/>
      <c r="F362" s="21" t="n"/>
      <c r="G362" s="23" t="n"/>
      <c r="H362" s="21" t="n"/>
    </row>
    <row r="363">
      <c r="A363" s="23" t="n"/>
      <c r="B363" s="21" t="n"/>
      <c r="C363" s="21" t="n"/>
      <c r="D363" s="21" t="n"/>
      <c r="E363" s="21" t="n"/>
      <c r="F363" s="21" t="n"/>
      <c r="G363" s="23" t="n"/>
      <c r="H363" s="21" t="n"/>
    </row>
    <row r="364">
      <c r="A364" s="23" t="n"/>
      <c r="B364" s="21" t="n"/>
      <c r="C364" s="21" t="n"/>
      <c r="D364" s="21" t="n"/>
      <c r="E364" s="21" t="n"/>
      <c r="F364" s="21" t="n"/>
      <c r="G364" s="23" t="n"/>
      <c r="H364" s="21" t="n"/>
    </row>
    <row r="365">
      <c r="A365" s="23" t="n"/>
      <c r="B365" s="21" t="n"/>
      <c r="C365" s="21" t="n"/>
      <c r="D365" s="21" t="n"/>
      <c r="E365" s="21" t="n"/>
      <c r="F365" s="21" t="n"/>
      <c r="G365" s="23" t="n"/>
      <c r="H365" s="21" t="n"/>
    </row>
    <row r="366">
      <c r="A366" s="23" t="n"/>
      <c r="B366" s="21" t="n"/>
      <c r="C366" s="21" t="n"/>
      <c r="D366" s="21" t="n"/>
      <c r="E366" s="21" t="n"/>
      <c r="F366" s="21" t="n"/>
      <c r="G366" s="23" t="n"/>
      <c r="H366" s="21" t="n"/>
    </row>
    <row r="367">
      <c r="A367" s="23" t="n"/>
      <c r="B367" s="21" t="n"/>
      <c r="C367" s="21" t="n"/>
      <c r="D367" s="21" t="n"/>
      <c r="E367" s="21" t="n"/>
      <c r="F367" s="21" t="n"/>
      <c r="G367" s="23" t="n"/>
      <c r="H367" s="21" t="n"/>
    </row>
    <row r="368">
      <c r="A368" s="23" t="n"/>
      <c r="B368" s="21" t="n"/>
      <c r="C368" s="21" t="n"/>
      <c r="D368" s="21" t="n"/>
      <c r="E368" s="21" t="n"/>
      <c r="F368" s="21" t="n"/>
      <c r="G368" s="23" t="n"/>
      <c r="H368" s="21" t="n"/>
    </row>
    <row r="369">
      <c r="A369" s="23" t="n"/>
      <c r="B369" s="21" t="n"/>
      <c r="C369" s="21" t="n"/>
      <c r="D369" s="21" t="n"/>
      <c r="E369" s="21" t="n"/>
      <c r="F369" s="21" t="n"/>
      <c r="G369" s="23" t="n"/>
      <c r="H369" s="21" t="n"/>
    </row>
    <row r="370">
      <c r="A370" s="23" t="n"/>
      <c r="B370" s="21" t="n"/>
      <c r="C370" s="21" t="n"/>
      <c r="D370" s="21" t="n"/>
      <c r="E370" s="21" t="n"/>
      <c r="F370" s="21" t="n"/>
      <c r="G370" s="23" t="n"/>
      <c r="H370" s="21" t="n"/>
    </row>
    <row r="371">
      <c r="A371" s="23" t="n"/>
      <c r="B371" s="21" t="n"/>
      <c r="C371" s="21" t="n"/>
      <c r="D371" s="21" t="n"/>
      <c r="E371" s="21" t="n"/>
      <c r="F371" s="21" t="n"/>
      <c r="G371" s="23" t="n"/>
      <c r="H371" s="21" t="n"/>
    </row>
    <row r="372">
      <c r="A372" s="23" t="n"/>
      <c r="B372" s="21" t="n"/>
      <c r="C372" s="21" t="n"/>
      <c r="D372" s="21" t="n"/>
      <c r="E372" s="21" t="n"/>
      <c r="F372" s="21" t="n"/>
      <c r="G372" s="23" t="n"/>
      <c r="H372" s="21" t="n"/>
    </row>
    <row r="373">
      <c r="A373" s="23" t="n"/>
      <c r="B373" s="21" t="n"/>
      <c r="C373" s="21" t="n"/>
      <c r="D373" s="21" t="n"/>
      <c r="E373" s="21" t="n"/>
      <c r="F373" s="21" t="n"/>
      <c r="G373" s="23" t="n"/>
      <c r="H373" s="21" t="n"/>
    </row>
    <row r="374">
      <c r="A374" s="23" t="n"/>
      <c r="B374" s="21" t="n"/>
      <c r="C374" s="21" t="n"/>
      <c r="D374" s="21" t="n"/>
      <c r="E374" s="21" t="n"/>
      <c r="F374" s="21" t="n"/>
      <c r="G374" s="23" t="n"/>
      <c r="H374" s="21" t="n"/>
    </row>
    <row r="375">
      <c r="A375" s="23" t="n"/>
      <c r="B375" s="21" t="n"/>
      <c r="C375" s="21" t="n"/>
      <c r="D375" s="21" t="n"/>
      <c r="E375" s="21" t="n"/>
      <c r="F375" s="21" t="n"/>
      <c r="G375" s="23" t="n"/>
      <c r="H375" s="21" t="n"/>
    </row>
    <row r="376">
      <c r="A376" s="23" t="n"/>
      <c r="B376" s="21" t="n"/>
      <c r="C376" s="21" t="n"/>
      <c r="D376" s="21" t="n"/>
      <c r="E376" s="21" t="n"/>
      <c r="F376" s="21" t="n"/>
      <c r="G376" s="23" t="n"/>
      <c r="H376" s="21" t="n"/>
    </row>
    <row r="377">
      <c r="A377" s="23" t="n"/>
      <c r="B377" s="21" t="n"/>
      <c r="C377" s="21" t="n"/>
      <c r="D377" s="21" t="n"/>
      <c r="E377" s="21" t="n"/>
      <c r="F377" s="21" t="n"/>
      <c r="G377" s="23" t="n"/>
      <c r="H377" s="21" t="n"/>
    </row>
    <row r="378">
      <c r="A378" s="23" t="n"/>
      <c r="B378" s="21" t="n"/>
      <c r="C378" s="21" t="n"/>
      <c r="D378" s="21" t="n"/>
      <c r="E378" s="21" t="n"/>
      <c r="F378" s="21" t="n"/>
      <c r="G378" s="23" t="n"/>
      <c r="H378" s="21" t="n"/>
    </row>
    <row r="379">
      <c r="A379" s="23" t="n"/>
      <c r="B379" s="21" t="n"/>
      <c r="C379" s="21" t="n"/>
      <c r="D379" s="21" t="n"/>
      <c r="E379" s="21" t="n"/>
      <c r="F379" s="21" t="n"/>
      <c r="G379" s="23" t="n"/>
      <c r="H379" s="21" t="n"/>
    </row>
    <row r="380">
      <c r="A380" s="23" t="n"/>
      <c r="B380" s="21" t="n"/>
      <c r="C380" s="21" t="n"/>
      <c r="D380" s="21" t="n"/>
      <c r="E380" s="21" t="n"/>
      <c r="F380" s="21" t="n"/>
      <c r="G380" s="23" t="n"/>
      <c r="H380" s="21" t="n"/>
    </row>
    <row r="381">
      <c r="A381" s="23" t="n"/>
      <c r="B381" s="21" t="n"/>
      <c r="C381" s="21" t="n"/>
      <c r="D381" s="21" t="n"/>
      <c r="E381" s="21" t="n"/>
      <c r="F381" s="21" t="n"/>
      <c r="G381" s="23" t="n"/>
      <c r="H381" s="21" t="n"/>
    </row>
    <row r="382">
      <c r="A382" s="23" t="n"/>
      <c r="B382" s="21" t="n"/>
      <c r="C382" s="21" t="n"/>
      <c r="D382" s="21" t="n"/>
      <c r="E382" s="21" t="n"/>
      <c r="F382" s="21" t="n"/>
      <c r="G382" s="23" t="n"/>
      <c r="H382" s="21" t="n"/>
    </row>
    <row r="383">
      <c r="A383" s="23" t="n"/>
      <c r="B383" s="21" t="n"/>
      <c r="C383" s="21" t="n"/>
      <c r="D383" s="21" t="n"/>
      <c r="E383" s="21" t="n"/>
      <c r="F383" s="21" t="n"/>
      <c r="G383" s="23" t="n"/>
      <c r="H383" s="21" t="n"/>
    </row>
    <row r="384">
      <c r="A384" s="23" t="n"/>
      <c r="B384" s="21" t="n"/>
      <c r="C384" s="21" t="n"/>
      <c r="D384" s="21" t="n"/>
      <c r="E384" s="21" t="n"/>
      <c r="F384" s="21" t="n"/>
      <c r="G384" s="23" t="n"/>
      <c r="H384" s="21" t="n"/>
    </row>
    <row r="385">
      <c r="A385" s="23" t="n"/>
      <c r="B385" s="21" t="n"/>
      <c r="C385" s="21" t="n"/>
      <c r="D385" s="21" t="n"/>
      <c r="E385" s="21" t="n"/>
      <c r="F385" s="21" t="n"/>
      <c r="G385" s="23" t="n"/>
      <c r="H385" s="21" t="n"/>
    </row>
    <row r="386">
      <c r="A386" s="23" t="n"/>
      <c r="B386" s="21" t="n"/>
      <c r="C386" s="21" t="n"/>
      <c r="D386" s="21" t="n"/>
      <c r="E386" s="21" t="n"/>
      <c r="F386" s="21" t="n"/>
      <c r="G386" s="23" t="n"/>
      <c r="H386" s="21" t="n"/>
    </row>
    <row r="387">
      <c r="A387" s="23" t="n"/>
      <c r="B387" s="21" t="n"/>
      <c r="C387" s="21" t="n"/>
      <c r="D387" s="21" t="n"/>
      <c r="E387" s="21" t="n"/>
      <c r="F387" s="21" t="n"/>
      <c r="G387" s="23" t="n"/>
      <c r="H387" s="21" t="n"/>
    </row>
    <row r="388">
      <c r="A388" s="23" t="n"/>
      <c r="B388" s="21" t="n"/>
      <c r="C388" s="21" t="n"/>
      <c r="D388" s="21" t="n"/>
      <c r="E388" s="21" t="n"/>
      <c r="F388" s="21" t="n"/>
      <c r="G388" s="23" t="n"/>
      <c r="H388" s="21" t="n"/>
    </row>
    <row r="389">
      <c r="A389" s="23" t="n"/>
      <c r="B389" s="21" t="n"/>
      <c r="C389" s="21" t="n"/>
      <c r="D389" s="21" t="n"/>
      <c r="E389" s="21" t="n"/>
      <c r="F389" s="21" t="n"/>
      <c r="G389" s="23" t="n"/>
      <c r="H389" s="21" t="n"/>
    </row>
    <row r="390">
      <c r="A390" s="23" t="n"/>
      <c r="B390" s="21" t="n"/>
      <c r="C390" s="21" t="n"/>
      <c r="D390" s="21" t="n"/>
      <c r="E390" s="21" t="n"/>
      <c r="F390" s="21" t="n"/>
      <c r="G390" s="23" t="n"/>
      <c r="H390" s="21" t="n"/>
    </row>
    <row r="391">
      <c r="A391" s="23" t="n"/>
      <c r="B391" s="21" t="n"/>
      <c r="C391" s="21" t="n"/>
      <c r="D391" s="21" t="n"/>
      <c r="E391" s="21" t="n"/>
      <c r="F391" s="21" t="n"/>
      <c r="G391" s="23" t="n"/>
      <c r="H391" s="21" t="n"/>
    </row>
    <row r="392">
      <c r="A392" s="23" t="n"/>
      <c r="B392" s="21" t="n"/>
      <c r="C392" s="21" t="n"/>
      <c r="D392" s="21" t="n"/>
      <c r="E392" s="21" t="n"/>
      <c r="F392" s="21" t="n"/>
      <c r="G392" s="23" t="n"/>
      <c r="H392" s="21" t="n"/>
    </row>
    <row r="393">
      <c r="A393" s="23" t="n"/>
      <c r="B393" s="21" t="n"/>
      <c r="C393" s="21" t="n"/>
      <c r="D393" s="21" t="n"/>
      <c r="E393" s="21" t="n"/>
      <c r="F393" s="21" t="n"/>
      <c r="G393" s="23" t="n"/>
      <c r="H393" s="21" t="n"/>
    </row>
    <row r="394">
      <c r="A394" s="23" t="n"/>
      <c r="B394" s="21" t="n"/>
      <c r="C394" s="21" t="n"/>
      <c r="D394" s="21" t="n"/>
      <c r="E394" s="21" t="n"/>
      <c r="F394" s="21" t="n"/>
      <c r="G394" s="23" t="n"/>
      <c r="H394" s="21" t="n"/>
    </row>
    <row r="395">
      <c r="A395" s="23" t="n"/>
      <c r="B395" s="21" t="n"/>
      <c r="C395" s="21" t="n"/>
      <c r="D395" s="21" t="n"/>
      <c r="E395" s="21" t="n"/>
      <c r="F395" s="21" t="n"/>
      <c r="G395" s="23" t="n"/>
      <c r="H395" s="21" t="n"/>
    </row>
    <row r="396">
      <c r="A396" s="23" t="n"/>
      <c r="B396" s="21" t="n"/>
      <c r="C396" s="21" t="n"/>
      <c r="D396" s="21" t="n"/>
      <c r="E396" s="21" t="n"/>
      <c r="F396" s="21" t="n"/>
      <c r="G396" s="23" t="n"/>
      <c r="H396" s="21" t="n"/>
    </row>
    <row r="397">
      <c r="A397" s="23" t="n"/>
      <c r="B397" s="21" t="n"/>
      <c r="C397" s="21" t="n"/>
      <c r="D397" s="21" t="n"/>
      <c r="E397" s="21" t="n"/>
      <c r="F397" s="21" t="n"/>
      <c r="G397" s="23" t="n"/>
      <c r="H397" s="21" t="n"/>
    </row>
    <row r="398">
      <c r="A398" s="23" t="n"/>
      <c r="B398" s="21" t="n"/>
      <c r="C398" s="21" t="n"/>
      <c r="D398" s="21" t="n"/>
      <c r="E398" s="21" t="n"/>
      <c r="F398" s="21" t="n"/>
      <c r="G398" s="23" t="n"/>
      <c r="H398" s="21" t="n"/>
    </row>
    <row r="399">
      <c r="A399" s="23" t="n"/>
      <c r="B399" s="21" t="n"/>
      <c r="C399" s="21" t="n"/>
      <c r="D399" s="21" t="n"/>
      <c r="E399" s="21" t="n"/>
      <c r="F399" s="21" t="n"/>
      <c r="G399" s="23" t="n"/>
      <c r="H399" s="21" t="n"/>
    </row>
    <row r="400">
      <c r="A400" s="23" t="n"/>
      <c r="B400" s="21" t="n"/>
      <c r="C400" s="21" t="n"/>
      <c r="D400" s="21" t="n"/>
      <c r="E400" s="21" t="n"/>
      <c r="F400" s="21" t="n"/>
      <c r="G400" s="23" t="n"/>
      <c r="H400" s="21" t="n"/>
    </row>
    <row r="401">
      <c r="A401" s="23" t="n"/>
      <c r="B401" s="21" t="n"/>
      <c r="C401" s="21" t="n"/>
      <c r="D401" s="21" t="n"/>
      <c r="E401" s="21" t="n"/>
      <c r="F401" s="21" t="n"/>
      <c r="G401" s="23" t="n"/>
      <c r="H401" s="21" t="n"/>
    </row>
    <row r="402">
      <c r="A402" s="23" t="n"/>
      <c r="B402" s="21" t="n"/>
      <c r="C402" s="21" t="n"/>
      <c r="D402" s="21" t="n"/>
      <c r="E402" s="21" t="n"/>
      <c r="F402" s="21" t="n"/>
      <c r="G402" s="23" t="n"/>
      <c r="H402" s="21" t="n"/>
    </row>
    <row r="403">
      <c r="A403" s="23" t="n"/>
      <c r="B403" s="21" t="n"/>
      <c r="C403" s="21" t="n"/>
      <c r="D403" s="21" t="n"/>
      <c r="E403" s="21" t="n"/>
      <c r="F403" s="21" t="n"/>
      <c r="G403" s="23" t="n"/>
      <c r="H403" s="21" t="n"/>
    </row>
    <row r="404">
      <c r="A404" s="23" t="n"/>
      <c r="B404" s="21" t="n"/>
      <c r="C404" s="21" t="n"/>
      <c r="D404" s="21" t="n"/>
      <c r="E404" s="21" t="n"/>
      <c r="F404" s="21" t="n"/>
      <c r="G404" s="23" t="n"/>
      <c r="H404" s="21" t="n"/>
    </row>
    <row r="405">
      <c r="A405" s="23" t="n"/>
      <c r="B405" s="21" t="n"/>
      <c r="C405" s="21" t="n"/>
      <c r="D405" s="21" t="n"/>
      <c r="E405" s="21" t="n"/>
      <c r="F405" s="21" t="n"/>
      <c r="G405" s="23" t="n"/>
      <c r="H405" s="21" t="n"/>
    </row>
    <row r="406">
      <c r="A406" s="23" t="n"/>
      <c r="B406" s="21" t="n"/>
      <c r="C406" s="21" t="n"/>
      <c r="D406" s="21" t="n"/>
      <c r="E406" s="21" t="n"/>
      <c r="F406" s="21" t="n"/>
      <c r="G406" s="23" t="n"/>
      <c r="H406" s="21" t="n"/>
    </row>
    <row r="407">
      <c r="A407" s="23" t="n"/>
      <c r="B407" s="21" t="n"/>
      <c r="C407" s="21" t="n"/>
      <c r="D407" s="21" t="n"/>
      <c r="E407" s="21" t="n"/>
      <c r="F407" s="21" t="n"/>
      <c r="G407" s="23" t="n"/>
      <c r="H407" s="21" t="n"/>
    </row>
    <row r="408">
      <c r="A408" s="23" t="n"/>
      <c r="B408" s="21" t="n"/>
      <c r="C408" s="21" t="n"/>
      <c r="D408" s="21" t="n"/>
      <c r="E408" s="21" t="n"/>
      <c r="F408" s="21" t="n"/>
      <c r="G408" s="23" t="n"/>
      <c r="H408" s="21" t="n"/>
    </row>
    <row r="409">
      <c r="A409" s="23" t="n"/>
      <c r="B409" s="21" t="n"/>
      <c r="C409" s="21" t="n"/>
      <c r="D409" s="21" t="n"/>
      <c r="E409" s="21" t="n"/>
      <c r="F409" s="21" t="n"/>
      <c r="G409" s="23" t="n"/>
      <c r="H409" s="21" t="n"/>
    </row>
    <row r="410">
      <c r="A410" s="23" t="n"/>
      <c r="B410" s="21" t="n"/>
      <c r="C410" s="21" t="n"/>
      <c r="D410" s="21" t="n"/>
      <c r="E410" s="21" t="n"/>
      <c r="F410" s="21" t="n"/>
      <c r="G410" s="23" t="n"/>
      <c r="H410" s="21" t="n"/>
    </row>
    <row r="411">
      <c r="A411" s="23" t="n"/>
      <c r="B411" s="21" t="n"/>
      <c r="C411" s="21" t="n"/>
      <c r="D411" s="21" t="n"/>
      <c r="E411" s="21" t="n"/>
      <c r="F411" s="21" t="n"/>
      <c r="G411" s="23" t="n"/>
      <c r="H411" s="21" t="n"/>
    </row>
    <row r="412">
      <c r="A412" s="23" t="n"/>
      <c r="B412" s="21" t="n"/>
      <c r="C412" s="21" t="n"/>
      <c r="D412" s="21" t="n"/>
      <c r="E412" s="21" t="n"/>
      <c r="F412" s="21" t="n"/>
      <c r="G412" s="23" t="n"/>
      <c r="H412" s="21" t="n"/>
    </row>
    <row r="413">
      <c r="A413" s="23" t="n"/>
      <c r="B413" s="21" t="n"/>
      <c r="C413" s="21" t="n"/>
      <c r="D413" s="21" t="n"/>
      <c r="E413" s="21" t="n"/>
      <c r="F413" s="21" t="n"/>
      <c r="G413" s="23" t="n"/>
      <c r="H413" s="21" t="n"/>
    </row>
    <row r="414">
      <c r="A414" s="23" t="n"/>
      <c r="B414" s="21" t="n"/>
      <c r="C414" s="21" t="n"/>
      <c r="D414" s="21" t="n"/>
      <c r="E414" s="21" t="n"/>
      <c r="F414" s="21" t="n"/>
      <c r="G414" s="23" t="n"/>
      <c r="H414" s="21" t="n"/>
    </row>
    <row r="415">
      <c r="A415" s="23" t="n"/>
      <c r="B415" s="21" t="n"/>
      <c r="C415" s="21" t="n"/>
      <c r="D415" s="21" t="n"/>
      <c r="E415" s="21" t="n"/>
      <c r="F415" s="21" t="n"/>
      <c r="G415" s="23" t="n"/>
      <c r="H415" s="21" t="n"/>
    </row>
    <row r="416">
      <c r="A416" s="23" t="n"/>
      <c r="B416" s="21" t="n"/>
      <c r="C416" s="21" t="n"/>
      <c r="D416" s="21" t="n"/>
      <c r="E416" s="21" t="n"/>
      <c r="F416" s="21" t="n"/>
      <c r="G416" s="23" t="n"/>
      <c r="H416" s="21" t="n"/>
    </row>
    <row r="417">
      <c r="A417" s="23" t="n"/>
      <c r="B417" s="21" t="n"/>
      <c r="C417" s="21" t="n"/>
      <c r="D417" s="21" t="n"/>
      <c r="E417" s="21" t="n"/>
      <c r="F417" s="21" t="n"/>
      <c r="G417" s="23" t="n"/>
      <c r="H417" s="21" t="n"/>
    </row>
    <row r="418">
      <c r="A418" s="23" t="n"/>
      <c r="B418" s="21" t="n"/>
      <c r="C418" s="21" t="n"/>
      <c r="D418" s="21" t="n"/>
      <c r="E418" s="21" t="n"/>
      <c r="F418" s="21" t="n"/>
      <c r="G418" s="23" t="n"/>
      <c r="H418" s="21" t="n"/>
    </row>
    <row r="419">
      <c r="A419" s="23" t="n"/>
      <c r="B419" s="21" t="n"/>
      <c r="C419" s="21" t="n"/>
      <c r="D419" s="21" t="n"/>
      <c r="E419" s="21" t="n"/>
      <c r="F419" s="21" t="n"/>
      <c r="G419" s="23" t="n"/>
      <c r="H419" s="21" t="n"/>
    </row>
    <row r="420">
      <c r="A420" s="23" t="n"/>
      <c r="B420" s="21" t="n"/>
      <c r="C420" s="21" t="n"/>
      <c r="D420" s="21" t="n"/>
      <c r="E420" s="21" t="n"/>
      <c r="F420" s="21" t="n"/>
      <c r="G420" s="23" t="n"/>
      <c r="H420" s="21" t="n"/>
    </row>
    <row r="421">
      <c r="A421" s="23" t="n"/>
      <c r="B421" s="21" t="n"/>
      <c r="C421" s="21" t="n"/>
      <c r="D421" s="21" t="n"/>
      <c r="E421" s="21" t="n"/>
      <c r="F421" s="21" t="n"/>
      <c r="G421" s="23" t="n"/>
      <c r="H421" s="21" t="n"/>
    </row>
    <row r="422">
      <c r="A422" s="23" t="n"/>
      <c r="B422" s="21" t="n"/>
      <c r="C422" s="21" t="n"/>
      <c r="D422" s="21" t="n"/>
      <c r="E422" s="21" t="n"/>
      <c r="F422" s="21" t="n"/>
      <c r="G422" s="23" t="n"/>
      <c r="H422" s="21" t="n"/>
    </row>
    <row r="423">
      <c r="A423" s="23" t="n"/>
      <c r="B423" s="21" t="n"/>
      <c r="C423" s="21" t="n"/>
      <c r="D423" s="21" t="n"/>
      <c r="E423" s="21" t="n"/>
      <c r="F423" s="21" t="n"/>
      <c r="G423" s="23" t="n"/>
      <c r="H423" s="21" t="n"/>
    </row>
    <row r="424">
      <c r="A424" s="23" t="n"/>
      <c r="B424" s="21" t="n"/>
      <c r="C424" s="21" t="n"/>
      <c r="D424" s="21" t="n"/>
      <c r="E424" s="21" t="n"/>
      <c r="F424" s="21" t="n"/>
      <c r="G424" s="23" t="n"/>
      <c r="H424" s="21" t="n"/>
    </row>
    <row r="425">
      <c r="A425" s="23" t="n"/>
      <c r="B425" s="21" t="n"/>
      <c r="C425" s="21" t="n"/>
      <c r="D425" s="21" t="n"/>
      <c r="E425" s="21" t="n"/>
      <c r="F425" s="21" t="n"/>
      <c r="G425" s="23" t="n"/>
      <c r="H425" s="21" t="n"/>
    </row>
    <row r="426">
      <c r="A426" s="23" t="n"/>
      <c r="B426" s="21" t="n"/>
      <c r="C426" s="21" t="n"/>
      <c r="D426" s="21" t="n"/>
      <c r="E426" s="21" t="n"/>
      <c r="F426" s="21" t="n"/>
      <c r="G426" s="23" t="n"/>
      <c r="H426" s="21" t="n"/>
    </row>
    <row r="427">
      <c r="A427" s="23" t="n"/>
      <c r="B427" s="21" t="n"/>
      <c r="C427" s="21" t="n"/>
      <c r="D427" s="21" t="n"/>
      <c r="E427" s="21" t="n"/>
      <c r="F427" s="21" t="n"/>
      <c r="G427" s="23" t="n"/>
      <c r="H427" s="21" t="n"/>
    </row>
    <row r="428">
      <c r="A428" s="23" t="n"/>
      <c r="B428" s="21" t="n"/>
      <c r="C428" s="21" t="n"/>
      <c r="D428" s="21" t="n"/>
      <c r="E428" s="21" t="n"/>
      <c r="F428" s="21" t="n"/>
      <c r="G428" s="23" t="n"/>
      <c r="H428" s="21" t="n"/>
    </row>
    <row r="429">
      <c r="A429" s="23" t="n"/>
      <c r="B429" s="21" t="n"/>
      <c r="C429" s="21" t="n"/>
      <c r="D429" s="21" t="n"/>
      <c r="E429" s="21" t="n"/>
      <c r="F429" s="21" t="n"/>
      <c r="G429" s="23" t="n"/>
      <c r="H429" s="21" t="n"/>
    </row>
    <row r="430">
      <c r="A430" s="23" t="n"/>
      <c r="B430" s="21" t="n"/>
      <c r="C430" s="21" t="n"/>
      <c r="D430" s="21" t="n"/>
      <c r="E430" s="21" t="n"/>
      <c r="F430" s="21" t="n"/>
      <c r="G430" s="23" t="n"/>
      <c r="H430" s="21" t="n"/>
    </row>
    <row r="431">
      <c r="A431" s="23" t="n"/>
      <c r="B431" s="21" t="n"/>
      <c r="C431" s="21" t="n"/>
      <c r="D431" s="21" t="n"/>
      <c r="E431" s="21" t="n"/>
      <c r="F431" s="21" t="n"/>
      <c r="G431" s="23" t="n"/>
      <c r="H431" s="21" t="n"/>
    </row>
    <row r="432">
      <c r="A432" s="23" t="n"/>
      <c r="B432" s="21" t="n"/>
      <c r="C432" s="21" t="n"/>
      <c r="D432" s="21" t="n"/>
      <c r="E432" s="21" t="n"/>
      <c r="F432" s="21" t="n"/>
      <c r="G432" s="23" t="n"/>
      <c r="H432" s="21" t="n"/>
    </row>
    <row r="433">
      <c r="A433" s="23" t="n"/>
      <c r="B433" s="21" t="n"/>
      <c r="C433" s="21" t="n"/>
      <c r="D433" s="21" t="n"/>
      <c r="E433" s="21" t="n"/>
      <c r="F433" s="21" t="n"/>
      <c r="G433" s="23" t="n"/>
      <c r="H433" s="21" t="n"/>
    </row>
    <row r="434">
      <c r="A434" s="23" t="n"/>
      <c r="B434" s="21" t="n"/>
      <c r="C434" s="21" t="n"/>
      <c r="D434" s="21" t="n"/>
      <c r="E434" s="21" t="n"/>
      <c r="F434" s="21" t="n"/>
      <c r="G434" s="23" t="n"/>
      <c r="H434" s="21" t="n"/>
    </row>
    <row r="435">
      <c r="A435" s="23" t="n"/>
      <c r="B435" s="21" t="n"/>
      <c r="C435" s="21" t="n"/>
      <c r="D435" s="21" t="n"/>
      <c r="E435" s="21" t="n"/>
      <c r="F435" s="21" t="n"/>
      <c r="G435" s="23" t="n"/>
      <c r="H435" s="21" t="n"/>
    </row>
    <row r="436">
      <c r="A436" s="23" t="n"/>
      <c r="B436" s="21" t="n"/>
      <c r="C436" s="21" t="n"/>
      <c r="D436" s="21" t="n"/>
      <c r="E436" s="21" t="n"/>
      <c r="F436" s="21" t="n"/>
      <c r="G436" s="23" t="n"/>
      <c r="H436" s="21" t="n"/>
    </row>
    <row r="437">
      <c r="A437" s="23" t="n"/>
      <c r="B437" s="21" t="n"/>
      <c r="C437" s="21" t="n"/>
      <c r="D437" s="21" t="n"/>
      <c r="E437" s="21" t="n"/>
      <c r="F437" s="21" t="n"/>
      <c r="G437" s="23" t="n"/>
      <c r="H437" s="21" t="n"/>
    </row>
    <row r="438">
      <c r="A438" s="23" t="n"/>
      <c r="B438" s="21" t="n"/>
      <c r="C438" s="21" t="n"/>
      <c r="D438" s="21" t="n"/>
      <c r="E438" s="21" t="n"/>
      <c r="F438" s="21" t="n"/>
      <c r="G438" s="23" t="n"/>
      <c r="H438" s="21" t="n"/>
    </row>
    <row r="439">
      <c r="A439" s="23" t="n"/>
      <c r="B439" s="21" t="n"/>
      <c r="C439" s="21" t="n"/>
      <c r="D439" s="21" t="n"/>
      <c r="E439" s="21" t="n"/>
      <c r="F439" s="21" t="n"/>
      <c r="G439" s="23" t="n"/>
      <c r="H439" s="21" t="n"/>
    </row>
    <row r="440">
      <c r="A440" s="23" t="n"/>
      <c r="B440" s="21" t="n"/>
      <c r="C440" s="21" t="n"/>
      <c r="D440" s="21" t="n"/>
      <c r="E440" s="21" t="n"/>
      <c r="F440" s="21" t="n"/>
      <c r="G440" s="23" t="n"/>
      <c r="H440" s="21" t="n"/>
    </row>
    <row r="441">
      <c r="A441" s="23" t="n"/>
      <c r="B441" s="21" t="n"/>
      <c r="C441" s="21" t="n"/>
      <c r="D441" s="21" t="n"/>
      <c r="E441" s="21" t="n"/>
      <c r="F441" s="21" t="n"/>
      <c r="G441" s="23" t="n"/>
      <c r="H441" s="21" t="n"/>
    </row>
    <row r="442">
      <c r="A442" s="23" t="n"/>
      <c r="B442" s="21" t="n"/>
      <c r="C442" s="21" t="n"/>
      <c r="D442" s="21" t="n"/>
      <c r="E442" s="21" t="n"/>
      <c r="F442" s="21" t="n"/>
      <c r="G442" s="23" t="n"/>
      <c r="H442" s="21" t="n"/>
    </row>
    <row r="443">
      <c r="A443" s="23" t="n"/>
      <c r="B443" s="21" t="n"/>
      <c r="C443" s="21" t="n"/>
      <c r="D443" s="21" t="n"/>
      <c r="E443" s="21" t="n"/>
      <c r="F443" s="21" t="n"/>
      <c r="G443" s="23" t="n"/>
      <c r="H443" s="21" t="n"/>
    </row>
    <row r="444">
      <c r="A444" s="23" t="n"/>
      <c r="B444" s="21" t="n"/>
      <c r="C444" s="21" t="n"/>
      <c r="D444" s="21" t="n"/>
      <c r="E444" s="21" t="n"/>
      <c r="F444" s="21" t="n"/>
      <c r="G444" s="23" t="n"/>
      <c r="H444" s="21" t="n"/>
    </row>
    <row r="445">
      <c r="A445" s="23" t="n"/>
      <c r="B445" s="21" t="n"/>
      <c r="C445" s="21" t="n"/>
      <c r="D445" s="21" t="n"/>
      <c r="E445" s="21" t="n"/>
      <c r="F445" s="21" t="n"/>
      <c r="G445" s="23" t="n"/>
      <c r="H445" s="21" t="n"/>
    </row>
    <row r="446">
      <c r="A446" s="23" t="n"/>
      <c r="B446" s="21" t="n"/>
      <c r="C446" s="21" t="n"/>
      <c r="D446" s="21" t="n"/>
      <c r="E446" s="21" t="n"/>
      <c r="F446" s="21" t="n"/>
      <c r="G446" s="23" t="n"/>
      <c r="H446" s="21" t="n"/>
    </row>
    <row r="447">
      <c r="A447" s="23" t="n"/>
      <c r="B447" s="21" t="n"/>
      <c r="C447" s="21" t="n"/>
      <c r="D447" s="21" t="n"/>
      <c r="E447" s="21" t="n"/>
      <c r="F447" s="21" t="n"/>
      <c r="G447" s="23" t="n"/>
      <c r="H447" s="21" t="n"/>
    </row>
    <row r="448">
      <c r="A448" s="23" t="n"/>
      <c r="B448" s="21" t="n"/>
      <c r="C448" s="21" t="n"/>
      <c r="D448" s="21" t="n"/>
      <c r="E448" s="21" t="n"/>
      <c r="F448" s="21" t="n"/>
      <c r="G448" s="23" t="n"/>
      <c r="H448" s="21" t="n"/>
    </row>
    <row r="449">
      <c r="A449" s="23" t="n"/>
      <c r="B449" s="21" t="n"/>
      <c r="C449" s="21" t="n"/>
      <c r="D449" s="21" t="n"/>
      <c r="E449" s="21" t="n"/>
      <c r="F449" s="21" t="n"/>
      <c r="G449" s="23" t="n"/>
      <c r="H449" s="21" t="n"/>
    </row>
    <row r="450">
      <c r="A450" s="23" t="n"/>
      <c r="B450" s="21" t="n"/>
      <c r="C450" s="21" t="n"/>
      <c r="D450" s="21" t="n"/>
      <c r="E450" s="21" t="n"/>
      <c r="F450" s="21" t="n"/>
      <c r="G450" s="23" t="n"/>
      <c r="H450" s="21" t="n"/>
    </row>
    <row r="451">
      <c r="A451" s="23" t="n"/>
      <c r="B451" s="21" t="n"/>
      <c r="C451" s="21" t="n"/>
      <c r="D451" s="21" t="n"/>
      <c r="E451" s="21" t="n"/>
      <c r="F451" s="21" t="n"/>
      <c r="G451" s="23" t="n"/>
      <c r="H451" s="21" t="n"/>
    </row>
    <row r="452">
      <c r="A452" s="23" t="n"/>
      <c r="B452" s="21" t="n"/>
      <c r="C452" s="21" t="n"/>
      <c r="D452" s="21" t="n"/>
      <c r="E452" s="21" t="n"/>
      <c r="F452" s="21" t="n"/>
      <c r="G452" s="23" t="n"/>
      <c r="H452" s="21" t="n"/>
    </row>
    <row r="453">
      <c r="A453" s="23" t="n"/>
      <c r="B453" s="21" t="n"/>
      <c r="C453" s="21" t="n"/>
      <c r="D453" s="21" t="n"/>
      <c r="E453" s="21" t="n"/>
      <c r="F453" s="21" t="n"/>
      <c r="G453" s="23" t="n"/>
      <c r="H453" s="21" t="n"/>
    </row>
    <row r="454">
      <c r="A454" s="23" t="n"/>
      <c r="B454" s="21" t="n"/>
      <c r="C454" s="21" t="n"/>
      <c r="D454" s="21" t="n"/>
      <c r="E454" s="21" t="n"/>
      <c r="F454" s="21" t="n"/>
      <c r="G454" s="23" t="n"/>
      <c r="H454" s="21" t="n"/>
    </row>
    <row r="455">
      <c r="A455" s="23" t="n"/>
      <c r="B455" s="21" t="n"/>
      <c r="C455" s="21" t="n"/>
      <c r="D455" s="21" t="n"/>
      <c r="E455" s="21" t="n"/>
      <c r="F455" s="21" t="n"/>
      <c r="G455" s="23" t="n"/>
      <c r="H455" s="21" t="n"/>
    </row>
    <row r="456">
      <c r="A456" s="23" t="n"/>
      <c r="B456" s="21" t="n"/>
      <c r="C456" s="21" t="n"/>
      <c r="D456" s="21" t="n"/>
      <c r="E456" s="21" t="n"/>
      <c r="F456" s="21" t="n"/>
      <c r="G456" s="23" t="n"/>
      <c r="H456" s="21" t="n"/>
    </row>
    <row r="457">
      <c r="A457" s="23" t="n"/>
      <c r="B457" s="21" t="n"/>
      <c r="C457" s="21" t="n"/>
      <c r="D457" s="21" t="n"/>
      <c r="E457" s="21" t="n"/>
      <c r="F457" s="21" t="n"/>
      <c r="G457" s="23" t="n"/>
      <c r="H457" s="21" t="n"/>
    </row>
    <row r="458">
      <c r="A458" s="23" t="n"/>
      <c r="B458" s="21" t="n"/>
      <c r="C458" s="21" t="n"/>
      <c r="D458" s="21" t="n"/>
      <c r="E458" s="21" t="n"/>
      <c r="F458" s="21" t="n"/>
      <c r="G458" s="23" t="n"/>
      <c r="H458" s="21" t="n"/>
    </row>
    <row r="459">
      <c r="A459" s="23" t="n"/>
      <c r="B459" s="21" t="n"/>
      <c r="C459" s="21" t="n"/>
      <c r="D459" s="21" t="n"/>
      <c r="E459" s="21" t="n"/>
      <c r="F459" s="21" t="n"/>
      <c r="G459" s="23" t="n"/>
      <c r="H459" s="21" t="n"/>
    </row>
    <row r="460">
      <c r="A460" s="23" t="n"/>
      <c r="B460" s="21" t="n"/>
      <c r="C460" s="21" t="n"/>
      <c r="D460" s="21" t="n"/>
      <c r="E460" s="21" t="n"/>
      <c r="F460" s="21" t="n"/>
      <c r="G460" s="23" t="n"/>
      <c r="H460" s="21" t="n"/>
    </row>
    <row r="461">
      <c r="A461" s="23" t="n"/>
      <c r="B461" s="21" t="n"/>
      <c r="C461" s="21" t="n"/>
      <c r="D461" s="21" t="n"/>
      <c r="E461" s="21" t="n"/>
      <c r="F461" s="21" t="n"/>
      <c r="G461" s="23" t="n"/>
      <c r="H461" s="21" t="n"/>
    </row>
    <row r="462">
      <c r="A462" s="23" t="n"/>
      <c r="B462" s="21" t="n"/>
      <c r="C462" s="21" t="n"/>
      <c r="D462" s="21" t="n"/>
      <c r="E462" s="21" t="n"/>
      <c r="F462" s="21" t="n"/>
      <c r="G462" s="23" t="n"/>
      <c r="H462" s="21" t="n"/>
    </row>
    <row r="463">
      <c r="A463" s="23" t="n"/>
      <c r="B463" s="21" t="n"/>
      <c r="C463" s="21" t="n"/>
      <c r="D463" s="21" t="n"/>
      <c r="E463" s="21" t="n"/>
      <c r="F463" s="21" t="n"/>
      <c r="G463" s="23" t="n"/>
      <c r="H463" s="21" t="n"/>
    </row>
    <row r="464">
      <c r="A464" s="23" t="n"/>
      <c r="B464" s="21" t="n"/>
      <c r="C464" s="21" t="n"/>
      <c r="D464" s="21" t="n"/>
      <c r="E464" s="21" t="n"/>
      <c r="F464" s="21" t="n"/>
      <c r="G464" s="23" t="n"/>
      <c r="H464" s="21" t="n"/>
    </row>
    <row r="465">
      <c r="A465" s="23" t="n"/>
      <c r="B465" s="21" t="n"/>
      <c r="C465" s="21" t="n"/>
      <c r="D465" s="21" t="n"/>
      <c r="E465" s="21" t="n"/>
      <c r="F465" s="21" t="n"/>
      <c r="G465" s="23" t="n"/>
      <c r="H465" s="21" t="n"/>
    </row>
    <row r="466">
      <c r="A466" s="23" t="n"/>
      <c r="B466" s="21" t="n"/>
      <c r="C466" s="21" t="n"/>
      <c r="D466" s="21" t="n"/>
      <c r="E466" s="21" t="n"/>
      <c r="F466" s="21" t="n"/>
      <c r="G466" s="23" t="n"/>
      <c r="H466" s="21" t="n"/>
    </row>
    <row r="467">
      <c r="A467" s="23" t="n"/>
      <c r="B467" s="21" t="n"/>
      <c r="C467" s="21" t="n"/>
      <c r="D467" s="21" t="n"/>
      <c r="E467" s="21" t="n"/>
      <c r="F467" s="21" t="n"/>
      <c r="G467" s="23" t="n"/>
      <c r="H467" s="21" t="n"/>
    </row>
    <row r="468">
      <c r="A468" s="23" t="n"/>
      <c r="B468" s="21" t="n"/>
      <c r="C468" s="21" t="n"/>
      <c r="D468" s="21" t="n"/>
      <c r="E468" s="21" t="n"/>
      <c r="F468" s="21" t="n"/>
      <c r="G468" s="23" t="n"/>
      <c r="H468" s="21" t="n"/>
    </row>
    <row r="469">
      <c r="A469" s="23" t="n"/>
      <c r="B469" s="21" t="n"/>
      <c r="C469" s="21" t="n"/>
      <c r="D469" s="21" t="n"/>
      <c r="E469" s="21" t="n"/>
      <c r="F469" s="21" t="n"/>
      <c r="G469" s="23" t="n"/>
      <c r="H469" s="21" t="n"/>
    </row>
    <row r="470">
      <c r="A470" s="23" t="n"/>
      <c r="B470" s="21" t="n"/>
      <c r="C470" s="21" t="n"/>
      <c r="D470" s="21" t="n"/>
      <c r="E470" s="21" t="n"/>
      <c r="F470" s="21" t="n"/>
      <c r="G470" s="23" t="n"/>
      <c r="H470" s="21" t="n"/>
    </row>
    <row r="471">
      <c r="A471" s="23" t="n"/>
      <c r="B471" s="21" t="n"/>
      <c r="C471" s="21" t="n"/>
      <c r="D471" s="21" t="n"/>
      <c r="E471" s="21" t="n"/>
      <c r="F471" s="21" t="n"/>
      <c r="G471" s="23" t="n"/>
      <c r="H471" s="21" t="n"/>
    </row>
    <row r="472">
      <c r="A472" s="23" t="n"/>
      <c r="B472" s="21" t="n"/>
      <c r="C472" s="21" t="n"/>
      <c r="D472" s="21" t="n"/>
      <c r="E472" s="21" t="n"/>
      <c r="F472" s="21" t="n"/>
      <c r="G472" s="23" t="n"/>
      <c r="H472" s="21" t="n"/>
    </row>
    <row r="473">
      <c r="A473" s="23" t="n"/>
      <c r="B473" s="21" t="n"/>
      <c r="C473" s="21" t="n"/>
      <c r="D473" s="21" t="n"/>
      <c r="E473" s="21" t="n"/>
      <c r="F473" s="21" t="n"/>
      <c r="G473" s="23" t="n"/>
      <c r="H473" s="21" t="n"/>
    </row>
    <row r="474">
      <c r="A474" s="23" t="n"/>
      <c r="B474" s="21" t="n"/>
      <c r="C474" s="21" t="n"/>
      <c r="D474" s="21" t="n"/>
      <c r="E474" s="21" t="n"/>
      <c r="F474" s="21" t="n"/>
      <c r="G474" s="23" t="n"/>
      <c r="H474" s="21" t="n"/>
    </row>
    <row r="475">
      <c r="A475" s="23" t="n"/>
      <c r="B475" s="21" t="n"/>
      <c r="C475" s="21" t="n"/>
      <c r="D475" s="21" t="n"/>
      <c r="E475" s="21" t="n"/>
      <c r="F475" s="21" t="n"/>
      <c r="G475" s="23" t="n"/>
      <c r="H475" s="21" t="n"/>
    </row>
    <row r="476">
      <c r="A476" s="23" t="n"/>
      <c r="B476" s="21" t="n"/>
      <c r="C476" s="21" t="n"/>
      <c r="D476" s="21" t="n"/>
      <c r="E476" s="21" t="n"/>
      <c r="F476" s="21" t="n"/>
      <c r="G476" s="23" t="n"/>
      <c r="H476" s="21" t="n"/>
    </row>
    <row r="477">
      <c r="A477" s="23" t="n"/>
      <c r="B477" s="21" t="n"/>
      <c r="C477" s="21" t="n"/>
      <c r="D477" s="21" t="n"/>
      <c r="E477" s="21" t="n"/>
      <c r="F477" s="21" t="n"/>
      <c r="G477" s="23" t="n"/>
      <c r="H477" s="21" t="n"/>
    </row>
    <row r="478">
      <c r="A478" s="23" t="n"/>
      <c r="B478" s="21" t="n"/>
      <c r="C478" s="21" t="n"/>
      <c r="D478" s="21" t="n"/>
      <c r="E478" s="21" t="n"/>
      <c r="F478" s="21" t="n"/>
      <c r="G478" s="23" t="n"/>
      <c r="H478" s="21" t="n"/>
    </row>
    <row r="479">
      <c r="A479" s="23" t="n"/>
      <c r="B479" s="21" t="n"/>
      <c r="C479" s="21" t="n"/>
      <c r="D479" s="21" t="n"/>
      <c r="E479" s="21" t="n"/>
      <c r="F479" s="21" t="n"/>
      <c r="G479" s="23" t="n"/>
      <c r="H479" s="21" t="n"/>
    </row>
    <row r="480">
      <c r="A480" s="23" t="n"/>
      <c r="B480" s="21" t="n"/>
      <c r="C480" s="21" t="n"/>
      <c r="D480" s="21" t="n"/>
      <c r="E480" s="21" t="n"/>
      <c r="F480" s="21" t="n"/>
      <c r="G480" s="23" t="n"/>
      <c r="H480" s="21" t="n"/>
    </row>
    <row r="481">
      <c r="A481" s="23" t="n"/>
      <c r="B481" s="21" t="n"/>
      <c r="C481" s="21" t="n"/>
      <c r="D481" s="21" t="n"/>
      <c r="E481" s="21" t="n"/>
      <c r="F481" s="21" t="n"/>
      <c r="G481" s="23" t="n"/>
      <c r="H481" s="21" t="n"/>
    </row>
    <row r="482">
      <c r="A482" s="23" t="n"/>
      <c r="B482" s="21" t="n"/>
      <c r="C482" s="21" t="n"/>
      <c r="D482" s="21" t="n"/>
      <c r="E482" s="21" t="n"/>
      <c r="F482" s="21" t="n"/>
      <c r="G482" s="23" t="n"/>
      <c r="H482" s="21" t="n"/>
    </row>
    <row r="483">
      <c r="A483" s="23" t="n"/>
      <c r="B483" s="21" t="n"/>
      <c r="C483" s="21" t="n"/>
      <c r="D483" s="21" t="n"/>
      <c r="E483" s="21" t="n"/>
      <c r="F483" s="21" t="n"/>
      <c r="G483" s="23" t="n"/>
      <c r="H483" s="21" t="n"/>
    </row>
    <row r="484">
      <c r="A484" s="23" t="n"/>
      <c r="B484" s="21" t="n"/>
      <c r="C484" s="21" t="n"/>
      <c r="D484" s="21" t="n"/>
      <c r="E484" s="21" t="n"/>
      <c r="F484" s="21" t="n"/>
      <c r="G484" s="23" t="n"/>
      <c r="H484" s="21" t="n"/>
    </row>
    <row r="485">
      <c r="A485" s="23" t="n"/>
      <c r="B485" s="21" t="n"/>
      <c r="C485" s="21" t="n"/>
      <c r="D485" s="21" t="n"/>
      <c r="E485" s="21" t="n"/>
      <c r="F485" s="21" t="n"/>
      <c r="G485" s="23" t="n"/>
      <c r="H485" s="21" t="n"/>
    </row>
    <row r="486">
      <c r="A486" s="23" t="n"/>
      <c r="B486" s="21" t="n"/>
      <c r="C486" s="21" t="n"/>
      <c r="D486" s="21" t="n"/>
      <c r="E486" s="21" t="n"/>
      <c r="F486" s="21" t="n"/>
      <c r="G486" s="23" t="n"/>
      <c r="H486" s="21" t="n"/>
    </row>
    <row r="487">
      <c r="A487" s="23" t="n"/>
      <c r="B487" s="21" t="n"/>
      <c r="C487" s="21" t="n"/>
      <c r="D487" s="21" t="n"/>
      <c r="E487" s="21" t="n"/>
      <c r="F487" s="21" t="n"/>
      <c r="G487" s="23" t="n"/>
      <c r="H487" s="21" t="n"/>
    </row>
    <row r="488">
      <c r="A488" s="23" t="n"/>
      <c r="B488" s="21" t="n"/>
      <c r="C488" s="21" t="n"/>
      <c r="D488" s="21" t="n"/>
      <c r="E488" s="21" t="n"/>
      <c r="F488" s="21" t="n"/>
      <c r="G488" s="23" t="n"/>
      <c r="H488" s="21" t="n"/>
    </row>
    <row r="489">
      <c r="A489" s="23" t="n"/>
      <c r="B489" s="21" t="n"/>
      <c r="C489" s="21" t="n"/>
      <c r="D489" s="21" t="n"/>
      <c r="E489" s="21" t="n"/>
      <c r="F489" s="21" t="n"/>
      <c r="G489" s="23" t="n"/>
      <c r="H489" s="21" t="n"/>
    </row>
    <row r="490">
      <c r="A490" s="23" t="n"/>
      <c r="B490" s="21" t="n"/>
      <c r="C490" s="21" t="n"/>
      <c r="D490" s="21" t="n"/>
      <c r="E490" s="21" t="n"/>
      <c r="F490" s="21" t="n"/>
      <c r="G490" s="23" t="n"/>
      <c r="H490" s="21" t="n"/>
    </row>
    <row r="491">
      <c r="A491" s="23" t="n"/>
      <c r="B491" s="21" t="n"/>
      <c r="C491" s="21" t="n"/>
      <c r="D491" s="21" t="n"/>
      <c r="E491" s="21" t="n"/>
      <c r="F491" s="21" t="n"/>
      <c r="G491" s="23" t="n"/>
      <c r="H491" s="21" t="n"/>
    </row>
    <row r="492">
      <c r="A492" s="23" t="n"/>
      <c r="B492" s="21" t="n"/>
      <c r="C492" s="21" t="n"/>
      <c r="D492" s="21" t="n"/>
      <c r="E492" s="21" t="n"/>
      <c r="F492" s="21" t="n"/>
      <c r="G492" s="23" t="n"/>
      <c r="H492" s="21" t="n"/>
    </row>
    <row r="493">
      <c r="A493" s="23" t="n"/>
      <c r="B493" s="21" t="n"/>
      <c r="C493" s="21" t="n"/>
      <c r="D493" s="21" t="n"/>
      <c r="E493" s="21" t="n"/>
      <c r="F493" s="21" t="n"/>
      <c r="G493" s="23" t="n"/>
      <c r="H493" s="21" t="n"/>
    </row>
    <row r="494">
      <c r="A494" s="23" t="n"/>
      <c r="B494" s="21" t="n"/>
      <c r="C494" s="21" t="n"/>
      <c r="D494" s="21" t="n"/>
      <c r="E494" s="21" t="n"/>
      <c r="F494" s="21" t="n"/>
      <c r="G494" s="23" t="n"/>
      <c r="H494" s="21" t="n"/>
    </row>
    <row r="495">
      <c r="A495" s="23" t="n"/>
      <c r="B495" s="21" t="n"/>
      <c r="C495" s="21" t="n"/>
      <c r="D495" s="21" t="n"/>
      <c r="E495" s="21" t="n"/>
      <c r="F495" s="21" t="n"/>
      <c r="G495" s="23" t="n"/>
      <c r="H495" s="21" t="n"/>
    </row>
    <row r="496">
      <c r="A496" s="23" t="n"/>
      <c r="B496" s="21" t="n"/>
      <c r="C496" s="21" t="n"/>
      <c r="D496" s="21" t="n"/>
      <c r="E496" s="21" t="n"/>
      <c r="F496" s="21" t="n"/>
      <c r="G496" s="23" t="n"/>
      <c r="H496" s="21" t="n"/>
    </row>
    <row r="497">
      <c r="A497" s="23" t="n"/>
      <c r="B497" s="21" t="n"/>
      <c r="C497" s="21" t="n"/>
      <c r="D497" s="21" t="n"/>
      <c r="E497" s="21" t="n"/>
      <c r="F497" s="21" t="n"/>
      <c r="G497" s="23" t="n"/>
      <c r="H497" s="21" t="n"/>
    </row>
    <row r="498">
      <c r="A498" s="23" t="n"/>
      <c r="B498" s="21" t="n"/>
      <c r="C498" s="21" t="n"/>
      <c r="D498" s="21" t="n"/>
      <c r="E498" s="21" t="n"/>
      <c r="F498" s="21" t="n"/>
      <c r="G498" s="23" t="n"/>
      <c r="H498" s="21" t="n"/>
    </row>
    <row r="499">
      <c r="A499" s="23" t="n"/>
      <c r="B499" s="21" t="n"/>
      <c r="C499" s="21" t="n"/>
      <c r="D499" s="21" t="n"/>
      <c r="E499" s="21" t="n"/>
      <c r="F499" s="21" t="n"/>
      <c r="G499" s="23" t="n"/>
      <c r="H499" s="21" t="n"/>
    </row>
    <row r="500">
      <c r="A500" s="23" t="n"/>
      <c r="B500" s="21" t="n"/>
      <c r="C500" s="21" t="n"/>
      <c r="D500" s="21" t="n"/>
      <c r="E500" s="21" t="n"/>
      <c r="F500" s="21" t="n"/>
      <c r="G500" s="23" t="n"/>
      <c r="H500" s="21" t="n"/>
    </row>
    <row r="501">
      <c r="A501" s="23" t="n"/>
      <c r="B501" s="21" t="n"/>
      <c r="C501" s="21" t="n"/>
      <c r="D501" s="21" t="n"/>
      <c r="E501" s="21" t="n"/>
      <c r="F501" s="21" t="n"/>
      <c r="G501" s="23" t="n"/>
      <c r="H501" s="21" t="n"/>
    </row>
    <row r="502">
      <c r="A502" s="23" t="n"/>
      <c r="B502" s="21" t="n"/>
      <c r="C502" s="21" t="n"/>
      <c r="D502" s="21" t="n"/>
      <c r="E502" s="21" t="n"/>
      <c r="F502" s="21" t="n"/>
      <c r="G502" s="23" t="n"/>
      <c r="H502" s="21" t="n"/>
    </row>
    <row r="503">
      <c r="A503" s="23" t="n"/>
      <c r="B503" s="21" t="n"/>
      <c r="C503" s="21" t="n"/>
      <c r="D503" s="21" t="n"/>
      <c r="E503" s="21" t="n"/>
      <c r="F503" s="21" t="n"/>
      <c r="G503" s="23" t="n"/>
      <c r="H503" s="21" t="n"/>
    </row>
  </sheetData>
  <conditionalFormatting sqref="A4:A503 B4:B503 C4:C503 D4:D503 E4:E503 F4:F503 G4:G503 H4:H503">
    <cfRule type="expression" priority="1" dxfId="4">
      <formula>LEFT($F4,9)="Example –"</formula>
    </cfRule>
    <cfRule type="expression" priority="2" dxfId="5">
      <formula>MOD(ROW(),2)=0</formula>
    </cfRule>
  </conditionalFormatting>
  <dataValidations count="4">
    <dataValidation sqref="A4:A503" showDropDown="0" showInputMessage="0" showErrorMessage="0" allowBlank="1" error="Type a real date, e.g. 14 Jun 2027." type="date" errorStyle="warning" operator="greaterThan">
      <formula1>32874</formula1>
    </dataValidation>
    <dataValidation sqref="C4:C503" showDropDown="0" showInputMessage="0" showErrorMessage="0" allowBlank="1" type="list" errorStyle="warning">
      <formula1>=Lists!$A$2:$A$9</formula1>
    </dataValidation>
    <dataValidation sqref="E4:E503" showDropDown="0" showInputMessage="0" showErrorMessage="0" allowBlank="1" type="list">
      <formula1>"Pass,Pass with actions,Fail,Not applicable"</formula1>
    </dataValidation>
    <dataValidation sqref="G4:G503" showDropDown="0" showInputMessage="0" showErrorMessage="0" allowBlank="1" error="Type a real date, e.g. 14 Jun 2027." type="date" errorStyle="warning" operator="greaterThan">
      <formula1>32874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Assets</t>
        </is>
      </c>
    </row>
    <row r="6">
      <c r="C6" s="34" t="inlineStr">
        <is>
          <t>Expired</t>
        </is>
      </c>
      <c r="D6" s="35">
        <f>COUNTIF('Assets'!$K$4:$K$503,"Expired")</f>
        <v/>
      </c>
    </row>
    <row r="7">
      <c r="C7" s="36" t="inlineStr">
        <is>
          <t>Due ≤30 days</t>
        </is>
      </c>
      <c r="D7" s="35">
        <f>COUNTIF('Assets'!$K$4:$K$503,"Due ≤30 days")</f>
        <v/>
      </c>
    </row>
    <row r="8">
      <c r="C8" s="37" t="inlineStr">
        <is>
          <t>Due ≤90 days</t>
        </is>
      </c>
      <c r="D8" s="35">
        <f>COUNTIF('Assets'!$K$4:$K$503,"Due ≤90 days")</f>
        <v/>
      </c>
    </row>
    <row r="9">
      <c r="C9" s="38" t="inlineStr">
        <is>
          <t>OK</t>
        </is>
      </c>
      <c r="D9" s="35">
        <f>COUNTIF('Assets'!$K$4:$K$503,"OK")</f>
        <v/>
      </c>
    </row>
    <row r="10">
      <c r="C10" s="39" t="inlineStr">
        <is>
          <t>Date missing or not a date</t>
        </is>
      </c>
      <c r="D10" s="35">
        <f>SUMPRODUCT((LEN('Assets'!$A$4:$A$503)&gt;0)*(ISNUMBER('Assets'!$G$4:$G$503)=FALSE))</f>
        <v/>
      </c>
    </row>
    <row r="11">
      <c r="C11" s="39" t="inlineStr">
        <is>
          <t>Total rows</t>
        </is>
      </c>
      <c r="D11" s="35">
        <f>COUNTIF('Assets'!$A$4:$A$503,"?*")</f>
        <v/>
      </c>
    </row>
    <row r="12">
      <c r="C12" s="3" t="inlineStr">
        <is>
          <t>Status is calculated from the next due.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Next due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0" t="n">
        <v>1</v>
      </c>
      <c r="C16" s="41">
        <f>IF(_calc!$D$4="","",INDEX('Assets'!$A$4:$A$503,_calc!$D$4)&amp;" – "&amp;INDEX('Assets'!$D$4:$D$503,_calc!$D$4))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IF(_calc!$D$4="","",IF(LEN(INDEX('Assets'!$N$4:$N$503,_calc!$D$4))=0,"",INDEX('Assets'!$N$4:$N$503,_calc!$D$4)))</f>
        <v/>
      </c>
    </row>
    <row r="17">
      <c r="B17" s="40" t="n">
        <v>2</v>
      </c>
      <c r="C17" s="41">
        <f>IF(_calc!$D$5="","",INDEX('Assets'!$A$4:$A$503,_calc!$D$5)&amp;" – "&amp;INDEX('Assets'!$D$4:$D$503,_calc!$D$5))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IF(_calc!$D$5="","",IF(LEN(INDEX('Assets'!$N$4:$N$503,_calc!$D$5))=0,"",INDEX('Assets'!$N$4:$N$503,_calc!$D$5)))</f>
        <v/>
      </c>
    </row>
    <row r="18">
      <c r="B18" s="40" t="n">
        <v>3</v>
      </c>
      <c r="C18" s="41">
        <f>IF(_calc!$D$6="","",INDEX('Assets'!$A$4:$A$503,_calc!$D$6)&amp;" – "&amp;INDEX('Assets'!$D$4:$D$503,_calc!$D$6))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IF(_calc!$D$6="","",IF(LEN(INDEX('Assets'!$N$4:$N$503,_calc!$D$6))=0,"",INDEX('Assets'!$N$4:$N$503,_calc!$D$6)))</f>
        <v/>
      </c>
    </row>
    <row r="19">
      <c r="B19" s="40" t="n">
        <v>4</v>
      </c>
      <c r="C19" s="41">
        <f>IF(_calc!$D$7="","",INDEX('Assets'!$A$4:$A$503,_calc!$D$7)&amp;" – "&amp;INDEX('Assets'!$D$4:$D$503,_calc!$D$7))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IF(_calc!$D$7="","",IF(LEN(INDEX('Assets'!$N$4:$N$503,_calc!$D$7))=0,"",INDEX('Assets'!$N$4:$N$503,_calc!$D$7)))</f>
        <v/>
      </c>
    </row>
    <row r="20">
      <c r="B20" s="40" t="n">
        <v>5</v>
      </c>
      <c r="C20" s="41">
        <f>IF(_calc!$D$8="","",INDEX('Assets'!$A$4:$A$503,_calc!$D$8)&amp;" – "&amp;INDEX('Assets'!$D$4:$D$503,_calc!$D$8))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IF(_calc!$D$8="","",IF(LEN(INDEX('Assets'!$N$4:$N$503,_calc!$D$8))=0,"",INDEX('Assets'!$N$4:$N$503,_calc!$D$8)))</f>
        <v/>
      </c>
    </row>
    <row r="21">
      <c r="B21" s="40" t="n">
        <v>6</v>
      </c>
      <c r="C21" s="41">
        <f>IF(_calc!$D$9="","",INDEX('Assets'!$A$4:$A$503,_calc!$D$9)&amp;" – "&amp;INDEX('Assets'!$D$4:$D$503,_calc!$D$9))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IF(_calc!$D$9="","",IF(LEN(INDEX('Assets'!$N$4:$N$503,_calc!$D$9))=0,"",INDEX('Assets'!$N$4:$N$503,_calc!$D$9)))</f>
        <v/>
      </c>
    </row>
    <row r="22">
      <c r="B22" s="40" t="n">
        <v>7</v>
      </c>
      <c r="C22" s="41">
        <f>IF(_calc!$D$10="","",INDEX('Assets'!$A$4:$A$503,_calc!$D$10)&amp;" – "&amp;INDEX('Assets'!$D$4:$D$503,_calc!$D$10))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IF(_calc!$D$10="","",IF(LEN(INDEX('Assets'!$N$4:$N$503,_calc!$D$10))=0,"",INDEX('Assets'!$N$4:$N$503,_calc!$D$10)))</f>
        <v/>
      </c>
    </row>
    <row r="23">
      <c r="B23" s="40" t="n">
        <v>8</v>
      </c>
      <c r="C23" s="41">
        <f>IF(_calc!$D$11="","",INDEX('Assets'!$A$4:$A$503,_calc!$D$11)&amp;" – "&amp;INDEX('Assets'!$D$4:$D$503,_calc!$D$11))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IF(_calc!$D$11="","",IF(LEN(INDEX('Assets'!$N$4:$N$503,_calc!$D$11))=0,"",INDEX('Assets'!$N$4:$N$503,_calc!$D$11)))</f>
        <v/>
      </c>
    </row>
    <row r="24">
      <c r="B24" s="40" t="n">
        <v>9</v>
      </c>
      <c r="C24" s="41">
        <f>IF(_calc!$D$12="","",INDEX('Assets'!$A$4:$A$503,_calc!$D$12)&amp;" – "&amp;INDEX('Assets'!$D$4:$D$503,_calc!$D$12))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IF(_calc!$D$12="","",IF(LEN(INDEX('Assets'!$N$4:$N$503,_calc!$D$12))=0,"",INDEX('Assets'!$N$4:$N$503,_calc!$D$12)))</f>
        <v/>
      </c>
    </row>
    <row r="25">
      <c r="B25" s="40" t="n">
        <v>10</v>
      </c>
      <c r="C25" s="41">
        <f>IF(_calc!$D$13="","",INDEX('Assets'!$A$4:$A$503,_calc!$D$13)&amp;" – "&amp;INDEX('Assets'!$D$4:$D$503,_calc!$D$13))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IF(_calc!$D$13="","",IF(LEN(INDEX('Assets'!$N$4:$N$503,_calc!$D$13))=0,"",INDEX('Assets'!$N$4:$N$503,_calc!$D$13)))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4">
        <f>IF(_calc!$E$4="","",IF(LEN(INDEX('Assets'!$D$4:$D$503,_calc!$E$4))=0,"",INDEX('Assets'!$D$4:$D$503,_calc!$E$4))&amp;" – "&amp;IF(LEN(INDEX('Assets'!$A$4:$A$503,_calc!$E$4))=0,"",INDEX('Assets'!$A$4:$A$503,_calc!$E$4)))</f>
        <v/>
      </c>
      <c r="B2" s="44">
        <f>IF(_calc!$E$4="","",IF(ISNUMBER(INDEX('Assets'!$G$4:$G$503,_calc!$E$4)),TEXT(INDEX('Assets'!$G$4:$G$503,_calc!$E$4),"yyyy-mm-dd"),""))</f>
        <v/>
      </c>
      <c r="C2" s="44">
        <f>IF(_calc!$E$4="","","Inspection")</f>
        <v/>
      </c>
      <c r="D2" s="44">
        <f>IF(_calc!$E$4="","",IF(ISNUMBER(INDEX('Assets'!$F$4:$F$503,_calc!$E$4)),TEXT(INDEX('Assets'!$F$4:$F$503,_calc!$E$4),"yyyy-mm-dd"),""))</f>
        <v/>
      </c>
      <c r="E2" s="44">
        <f>IF(_calc!$E$4="","",IF(LEN(INDEX('Assets'!$O$4:$O$503,_calc!$E$4))=0,"",INDEX('Assets'!$O$4:$O$503,_calc!$E$4)))</f>
        <v/>
      </c>
      <c r="F2" s="44">
        <f>IF(_calc!$E$4="","",TRIM(IF(LEN(IF(LEN(INDEX('Assets'!$B$4:$B$503,_calc!$E$4))=0,"",INDEX('Assets'!$B$4:$B$503,_calc!$E$4)))=0,"","Asset ID: "&amp;IF(LEN(INDEX('Assets'!$B$4:$B$503,_calc!$E$4))=0,"",INDEX('Assets'!$B$4:$B$503,_calc!$E$4))&amp;". ")&amp;IF(LEN(IF(LEN(INDEX('Assets'!$C$4:$C$503,_calc!$E$4))=0,"",INDEX('Assets'!$C$4:$C$503,_calc!$E$4)))=0,"","Location: "&amp;IF(LEN(INDEX('Assets'!$C$4:$C$503,_calc!$E$4))=0,"",INDEX('Assets'!$C$4:$C$503,_calc!$E$4))&amp;". ")&amp;IF(LEN(IF(LEN(INDEX('Assets'!$E$4:$E$503,_calc!$E$4))=0,"",INDEX('Assets'!$E$4:$E$503,_calc!$E$4)))=0,"","Every (months): "&amp;IF(LEN(INDEX('Assets'!$E$4:$E$503,_calc!$E$4))=0,"",INDEX('Assets'!$E$4:$E$503,_calc!$E$4))&amp;". ")&amp;IF(LEN(IF(LEN(INDEX('Assets'!$M$4:$M$503,_calc!$E$4))=0,"",INDEX('Assets'!$M$4:$M$503,_calc!$E$4)))=0,"","Last result: "&amp;IF(LEN(INDEX('Assets'!$M$4:$M$503,_calc!$E$4))=0,"",INDEX('Assets'!$M$4:$M$503,_calc!$E$4))&amp;". ")&amp;IF(LEN(IF(LEN(INDEX('Assets'!$Q$4:$Q$503,_calc!$E$4))=0,"",INDEX('Assets'!$Q$4:$Q$503,_calc!$E$4)))=0,"",IF(LEN(INDEX('Assets'!$Q$4:$Q$503,_calc!$E$4))=0,"",INDEX('Assets'!$Q$4:$Q$503,_calc!$E$4)))))</f>
        <v/>
      </c>
      <c r="G2" s="44">
        <f>IF(_calc!$E$4="","",IF(LEN(INDEX('Assets'!$P$4:$P$503,_calc!$E$4))=0,"",INDEX('Assets'!$P$4:$P$503,_calc!$E$4)))</f>
        <v/>
      </c>
      <c r="K2" s="44">
        <f>IF(_calc!$E$4="","",IF(LEN(INDEX('Assets'!$N$4:$N$503,_calc!$E$4))=0,"",INDEX('Assets'!$N$4:$N$503,_calc!$E$4)))</f>
        <v/>
      </c>
    </row>
    <row r="3">
      <c r="A3" s="44">
        <f>IF(_calc!$E$5="","",IF(LEN(INDEX('Assets'!$D$4:$D$503,_calc!$E$5))=0,"",INDEX('Assets'!$D$4:$D$503,_calc!$E$5))&amp;" – "&amp;IF(LEN(INDEX('Assets'!$A$4:$A$503,_calc!$E$5))=0,"",INDEX('Assets'!$A$4:$A$503,_calc!$E$5)))</f>
        <v/>
      </c>
      <c r="B3" s="44">
        <f>IF(_calc!$E$5="","",IF(ISNUMBER(INDEX('Assets'!$G$4:$G$503,_calc!$E$5)),TEXT(INDEX('Assets'!$G$4:$G$503,_calc!$E$5),"yyyy-mm-dd"),""))</f>
        <v/>
      </c>
      <c r="C3" s="44">
        <f>IF(_calc!$E$5="","","Inspection")</f>
        <v/>
      </c>
      <c r="D3" s="44">
        <f>IF(_calc!$E$5="","",IF(ISNUMBER(INDEX('Assets'!$F$4:$F$503,_calc!$E$5)),TEXT(INDEX('Assets'!$F$4:$F$503,_calc!$E$5),"yyyy-mm-dd"),""))</f>
        <v/>
      </c>
      <c r="E3" s="44">
        <f>IF(_calc!$E$5="","",IF(LEN(INDEX('Assets'!$O$4:$O$503,_calc!$E$5))=0,"",INDEX('Assets'!$O$4:$O$503,_calc!$E$5)))</f>
        <v/>
      </c>
      <c r="F3" s="44">
        <f>IF(_calc!$E$5="","",TRIM(IF(LEN(IF(LEN(INDEX('Assets'!$B$4:$B$503,_calc!$E$5))=0,"",INDEX('Assets'!$B$4:$B$503,_calc!$E$5)))=0,"","Asset ID: "&amp;IF(LEN(INDEX('Assets'!$B$4:$B$503,_calc!$E$5))=0,"",INDEX('Assets'!$B$4:$B$503,_calc!$E$5))&amp;". ")&amp;IF(LEN(IF(LEN(INDEX('Assets'!$C$4:$C$503,_calc!$E$5))=0,"",INDEX('Assets'!$C$4:$C$503,_calc!$E$5)))=0,"","Location: "&amp;IF(LEN(INDEX('Assets'!$C$4:$C$503,_calc!$E$5))=0,"",INDEX('Assets'!$C$4:$C$503,_calc!$E$5))&amp;". ")&amp;IF(LEN(IF(LEN(INDEX('Assets'!$E$4:$E$503,_calc!$E$5))=0,"",INDEX('Assets'!$E$4:$E$503,_calc!$E$5)))=0,"","Every (months): "&amp;IF(LEN(INDEX('Assets'!$E$4:$E$503,_calc!$E$5))=0,"",INDEX('Assets'!$E$4:$E$503,_calc!$E$5))&amp;". ")&amp;IF(LEN(IF(LEN(INDEX('Assets'!$M$4:$M$503,_calc!$E$5))=0,"",INDEX('Assets'!$M$4:$M$503,_calc!$E$5)))=0,"","Last result: "&amp;IF(LEN(INDEX('Assets'!$M$4:$M$503,_calc!$E$5))=0,"",INDEX('Assets'!$M$4:$M$503,_calc!$E$5))&amp;". ")&amp;IF(LEN(IF(LEN(INDEX('Assets'!$Q$4:$Q$503,_calc!$E$5))=0,"",INDEX('Assets'!$Q$4:$Q$503,_calc!$E$5)))=0,"",IF(LEN(INDEX('Assets'!$Q$4:$Q$503,_calc!$E$5))=0,"",INDEX('Assets'!$Q$4:$Q$503,_calc!$E$5)))))</f>
        <v/>
      </c>
      <c r="G3" s="44">
        <f>IF(_calc!$E$5="","",IF(LEN(INDEX('Assets'!$P$4:$P$503,_calc!$E$5))=0,"",INDEX('Assets'!$P$4:$P$503,_calc!$E$5)))</f>
        <v/>
      </c>
      <c r="K3" s="44">
        <f>IF(_calc!$E$5="","",IF(LEN(INDEX('Assets'!$N$4:$N$503,_calc!$E$5))=0,"",INDEX('Assets'!$N$4:$N$503,_calc!$E$5)))</f>
        <v/>
      </c>
    </row>
    <row r="4">
      <c r="A4" s="44">
        <f>IF(_calc!$E$6="","",IF(LEN(INDEX('Assets'!$D$4:$D$503,_calc!$E$6))=0,"",INDEX('Assets'!$D$4:$D$503,_calc!$E$6))&amp;" – "&amp;IF(LEN(INDEX('Assets'!$A$4:$A$503,_calc!$E$6))=0,"",INDEX('Assets'!$A$4:$A$503,_calc!$E$6)))</f>
        <v/>
      </c>
      <c r="B4" s="44">
        <f>IF(_calc!$E$6="","",IF(ISNUMBER(INDEX('Assets'!$G$4:$G$503,_calc!$E$6)),TEXT(INDEX('Assets'!$G$4:$G$503,_calc!$E$6),"yyyy-mm-dd"),""))</f>
        <v/>
      </c>
      <c r="C4" s="44">
        <f>IF(_calc!$E$6="","","Inspection")</f>
        <v/>
      </c>
      <c r="D4" s="44">
        <f>IF(_calc!$E$6="","",IF(ISNUMBER(INDEX('Assets'!$F$4:$F$503,_calc!$E$6)),TEXT(INDEX('Assets'!$F$4:$F$503,_calc!$E$6),"yyyy-mm-dd"),""))</f>
        <v/>
      </c>
      <c r="E4" s="44">
        <f>IF(_calc!$E$6="","",IF(LEN(INDEX('Assets'!$O$4:$O$503,_calc!$E$6))=0,"",INDEX('Assets'!$O$4:$O$503,_calc!$E$6)))</f>
        <v/>
      </c>
      <c r="F4" s="44">
        <f>IF(_calc!$E$6="","",TRIM(IF(LEN(IF(LEN(INDEX('Assets'!$B$4:$B$503,_calc!$E$6))=0,"",INDEX('Assets'!$B$4:$B$503,_calc!$E$6)))=0,"","Asset ID: "&amp;IF(LEN(INDEX('Assets'!$B$4:$B$503,_calc!$E$6))=0,"",INDEX('Assets'!$B$4:$B$503,_calc!$E$6))&amp;". ")&amp;IF(LEN(IF(LEN(INDEX('Assets'!$C$4:$C$503,_calc!$E$6))=0,"",INDEX('Assets'!$C$4:$C$503,_calc!$E$6)))=0,"","Location: "&amp;IF(LEN(INDEX('Assets'!$C$4:$C$503,_calc!$E$6))=0,"",INDEX('Assets'!$C$4:$C$503,_calc!$E$6))&amp;". ")&amp;IF(LEN(IF(LEN(INDEX('Assets'!$E$4:$E$503,_calc!$E$6))=0,"",INDEX('Assets'!$E$4:$E$503,_calc!$E$6)))=0,"","Every (months): "&amp;IF(LEN(INDEX('Assets'!$E$4:$E$503,_calc!$E$6))=0,"",INDEX('Assets'!$E$4:$E$503,_calc!$E$6))&amp;". ")&amp;IF(LEN(IF(LEN(INDEX('Assets'!$M$4:$M$503,_calc!$E$6))=0,"",INDEX('Assets'!$M$4:$M$503,_calc!$E$6)))=0,"","Last result: "&amp;IF(LEN(INDEX('Assets'!$M$4:$M$503,_calc!$E$6))=0,"",INDEX('Assets'!$M$4:$M$503,_calc!$E$6))&amp;". ")&amp;IF(LEN(IF(LEN(INDEX('Assets'!$Q$4:$Q$503,_calc!$E$6))=0,"",INDEX('Assets'!$Q$4:$Q$503,_calc!$E$6)))=0,"",IF(LEN(INDEX('Assets'!$Q$4:$Q$503,_calc!$E$6))=0,"",INDEX('Assets'!$Q$4:$Q$503,_calc!$E$6)))))</f>
        <v/>
      </c>
      <c r="G4" s="44">
        <f>IF(_calc!$E$6="","",IF(LEN(INDEX('Assets'!$P$4:$P$503,_calc!$E$6))=0,"",INDEX('Assets'!$P$4:$P$503,_calc!$E$6)))</f>
        <v/>
      </c>
      <c r="K4" s="44">
        <f>IF(_calc!$E$6="","",IF(LEN(INDEX('Assets'!$N$4:$N$503,_calc!$E$6))=0,"",INDEX('Assets'!$N$4:$N$503,_calc!$E$6)))</f>
        <v/>
      </c>
    </row>
    <row r="5">
      <c r="A5" s="44">
        <f>IF(_calc!$E$7="","",IF(LEN(INDEX('Assets'!$D$4:$D$503,_calc!$E$7))=0,"",INDEX('Assets'!$D$4:$D$503,_calc!$E$7))&amp;" – "&amp;IF(LEN(INDEX('Assets'!$A$4:$A$503,_calc!$E$7))=0,"",INDEX('Assets'!$A$4:$A$503,_calc!$E$7)))</f>
        <v/>
      </c>
      <c r="B5" s="44">
        <f>IF(_calc!$E$7="","",IF(ISNUMBER(INDEX('Assets'!$G$4:$G$503,_calc!$E$7)),TEXT(INDEX('Assets'!$G$4:$G$503,_calc!$E$7),"yyyy-mm-dd"),""))</f>
        <v/>
      </c>
      <c r="C5" s="44">
        <f>IF(_calc!$E$7="","","Inspection")</f>
        <v/>
      </c>
      <c r="D5" s="44">
        <f>IF(_calc!$E$7="","",IF(ISNUMBER(INDEX('Assets'!$F$4:$F$503,_calc!$E$7)),TEXT(INDEX('Assets'!$F$4:$F$503,_calc!$E$7),"yyyy-mm-dd"),""))</f>
        <v/>
      </c>
      <c r="E5" s="44">
        <f>IF(_calc!$E$7="","",IF(LEN(INDEX('Assets'!$O$4:$O$503,_calc!$E$7))=0,"",INDEX('Assets'!$O$4:$O$503,_calc!$E$7)))</f>
        <v/>
      </c>
      <c r="F5" s="44">
        <f>IF(_calc!$E$7="","",TRIM(IF(LEN(IF(LEN(INDEX('Assets'!$B$4:$B$503,_calc!$E$7))=0,"",INDEX('Assets'!$B$4:$B$503,_calc!$E$7)))=0,"","Asset ID: "&amp;IF(LEN(INDEX('Assets'!$B$4:$B$503,_calc!$E$7))=0,"",INDEX('Assets'!$B$4:$B$503,_calc!$E$7))&amp;". ")&amp;IF(LEN(IF(LEN(INDEX('Assets'!$C$4:$C$503,_calc!$E$7))=0,"",INDEX('Assets'!$C$4:$C$503,_calc!$E$7)))=0,"","Location: "&amp;IF(LEN(INDEX('Assets'!$C$4:$C$503,_calc!$E$7))=0,"",INDEX('Assets'!$C$4:$C$503,_calc!$E$7))&amp;". ")&amp;IF(LEN(IF(LEN(INDEX('Assets'!$E$4:$E$503,_calc!$E$7))=0,"",INDEX('Assets'!$E$4:$E$503,_calc!$E$7)))=0,"","Every (months): "&amp;IF(LEN(INDEX('Assets'!$E$4:$E$503,_calc!$E$7))=0,"",INDEX('Assets'!$E$4:$E$503,_calc!$E$7))&amp;". ")&amp;IF(LEN(IF(LEN(INDEX('Assets'!$M$4:$M$503,_calc!$E$7))=0,"",INDEX('Assets'!$M$4:$M$503,_calc!$E$7)))=0,"","Last result: "&amp;IF(LEN(INDEX('Assets'!$M$4:$M$503,_calc!$E$7))=0,"",INDEX('Assets'!$M$4:$M$503,_calc!$E$7))&amp;". ")&amp;IF(LEN(IF(LEN(INDEX('Assets'!$Q$4:$Q$503,_calc!$E$7))=0,"",INDEX('Assets'!$Q$4:$Q$503,_calc!$E$7)))=0,"",IF(LEN(INDEX('Assets'!$Q$4:$Q$503,_calc!$E$7))=0,"",INDEX('Assets'!$Q$4:$Q$503,_calc!$E$7)))))</f>
        <v/>
      </c>
      <c r="G5" s="44">
        <f>IF(_calc!$E$7="","",IF(LEN(INDEX('Assets'!$P$4:$P$503,_calc!$E$7))=0,"",INDEX('Assets'!$P$4:$P$503,_calc!$E$7)))</f>
        <v/>
      </c>
      <c r="K5" s="44">
        <f>IF(_calc!$E$7="","",IF(LEN(INDEX('Assets'!$N$4:$N$503,_calc!$E$7))=0,"",INDEX('Assets'!$N$4:$N$503,_calc!$E$7)))</f>
        <v/>
      </c>
    </row>
    <row r="6">
      <c r="A6" s="44">
        <f>IF(_calc!$E$8="","",IF(LEN(INDEX('Assets'!$D$4:$D$503,_calc!$E$8))=0,"",INDEX('Assets'!$D$4:$D$503,_calc!$E$8))&amp;" – "&amp;IF(LEN(INDEX('Assets'!$A$4:$A$503,_calc!$E$8))=0,"",INDEX('Assets'!$A$4:$A$503,_calc!$E$8)))</f>
        <v/>
      </c>
      <c r="B6" s="44">
        <f>IF(_calc!$E$8="","",IF(ISNUMBER(INDEX('Assets'!$G$4:$G$503,_calc!$E$8)),TEXT(INDEX('Assets'!$G$4:$G$503,_calc!$E$8),"yyyy-mm-dd"),""))</f>
        <v/>
      </c>
      <c r="C6" s="44">
        <f>IF(_calc!$E$8="","","Inspection")</f>
        <v/>
      </c>
      <c r="D6" s="44">
        <f>IF(_calc!$E$8="","",IF(ISNUMBER(INDEX('Assets'!$F$4:$F$503,_calc!$E$8)),TEXT(INDEX('Assets'!$F$4:$F$503,_calc!$E$8),"yyyy-mm-dd"),""))</f>
        <v/>
      </c>
      <c r="E6" s="44">
        <f>IF(_calc!$E$8="","",IF(LEN(INDEX('Assets'!$O$4:$O$503,_calc!$E$8))=0,"",INDEX('Assets'!$O$4:$O$503,_calc!$E$8)))</f>
        <v/>
      </c>
      <c r="F6" s="44">
        <f>IF(_calc!$E$8="","",TRIM(IF(LEN(IF(LEN(INDEX('Assets'!$B$4:$B$503,_calc!$E$8))=0,"",INDEX('Assets'!$B$4:$B$503,_calc!$E$8)))=0,"","Asset ID: "&amp;IF(LEN(INDEX('Assets'!$B$4:$B$503,_calc!$E$8))=0,"",INDEX('Assets'!$B$4:$B$503,_calc!$E$8))&amp;". ")&amp;IF(LEN(IF(LEN(INDEX('Assets'!$C$4:$C$503,_calc!$E$8))=0,"",INDEX('Assets'!$C$4:$C$503,_calc!$E$8)))=0,"","Location: "&amp;IF(LEN(INDEX('Assets'!$C$4:$C$503,_calc!$E$8))=0,"",INDEX('Assets'!$C$4:$C$503,_calc!$E$8))&amp;". ")&amp;IF(LEN(IF(LEN(INDEX('Assets'!$E$4:$E$503,_calc!$E$8))=0,"",INDEX('Assets'!$E$4:$E$503,_calc!$E$8)))=0,"","Every (months): "&amp;IF(LEN(INDEX('Assets'!$E$4:$E$503,_calc!$E$8))=0,"",INDEX('Assets'!$E$4:$E$503,_calc!$E$8))&amp;". ")&amp;IF(LEN(IF(LEN(INDEX('Assets'!$M$4:$M$503,_calc!$E$8))=0,"",INDEX('Assets'!$M$4:$M$503,_calc!$E$8)))=0,"","Last result: "&amp;IF(LEN(INDEX('Assets'!$M$4:$M$503,_calc!$E$8))=0,"",INDEX('Assets'!$M$4:$M$503,_calc!$E$8))&amp;". ")&amp;IF(LEN(IF(LEN(INDEX('Assets'!$Q$4:$Q$503,_calc!$E$8))=0,"",INDEX('Assets'!$Q$4:$Q$503,_calc!$E$8)))=0,"",IF(LEN(INDEX('Assets'!$Q$4:$Q$503,_calc!$E$8))=0,"",INDEX('Assets'!$Q$4:$Q$503,_calc!$E$8)))))</f>
        <v/>
      </c>
      <c r="G6" s="44">
        <f>IF(_calc!$E$8="","",IF(LEN(INDEX('Assets'!$P$4:$P$503,_calc!$E$8))=0,"",INDEX('Assets'!$P$4:$P$503,_calc!$E$8)))</f>
        <v/>
      </c>
      <c r="K6" s="44">
        <f>IF(_calc!$E$8="","",IF(LEN(INDEX('Assets'!$N$4:$N$503,_calc!$E$8))=0,"",INDEX('Assets'!$N$4:$N$503,_calc!$E$8)))</f>
        <v/>
      </c>
    </row>
    <row r="7">
      <c r="A7" s="44">
        <f>IF(_calc!$E$9="","",IF(LEN(INDEX('Assets'!$D$4:$D$503,_calc!$E$9))=0,"",INDEX('Assets'!$D$4:$D$503,_calc!$E$9))&amp;" – "&amp;IF(LEN(INDEX('Assets'!$A$4:$A$503,_calc!$E$9))=0,"",INDEX('Assets'!$A$4:$A$503,_calc!$E$9)))</f>
        <v/>
      </c>
      <c r="B7" s="44">
        <f>IF(_calc!$E$9="","",IF(ISNUMBER(INDEX('Assets'!$G$4:$G$503,_calc!$E$9)),TEXT(INDEX('Assets'!$G$4:$G$503,_calc!$E$9),"yyyy-mm-dd"),""))</f>
        <v/>
      </c>
      <c r="C7" s="44">
        <f>IF(_calc!$E$9="","","Inspection")</f>
        <v/>
      </c>
      <c r="D7" s="44">
        <f>IF(_calc!$E$9="","",IF(ISNUMBER(INDEX('Assets'!$F$4:$F$503,_calc!$E$9)),TEXT(INDEX('Assets'!$F$4:$F$503,_calc!$E$9),"yyyy-mm-dd"),""))</f>
        <v/>
      </c>
      <c r="E7" s="44">
        <f>IF(_calc!$E$9="","",IF(LEN(INDEX('Assets'!$O$4:$O$503,_calc!$E$9))=0,"",INDEX('Assets'!$O$4:$O$503,_calc!$E$9)))</f>
        <v/>
      </c>
      <c r="F7" s="44">
        <f>IF(_calc!$E$9="","",TRIM(IF(LEN(IF(LEN(INDEX('Assets'!$B$4:$B$503,_calc!$E$9))=0,"",INDEX('Assets'!$B$4:$B$503,_calc!$E$9)))=0,"","Asset ID: "&amp;IF(LEN(INDEX('Assets'!$B$4:$B$503,_calc!$E$9))=0,"",INDEX('Assets'!$B$4:$B$503,_calc!$E$9))&amp;". ")&amp;IF(LEN(IF(LEN(INDEX('Assets'!$C$4:$C$503,_calc!$E$9))=0,"",INDEX('Assets'!$C$4:$C$503,_calc!$E$9)))=0,"","Location: "&amp;IF(LEN(INDEX('Assets'!$C$4:$C$503,_calc!$E$9))=0,"",INDEX('Assets'!$C$4:$C$503,_calc!$E$9))&amp;". ")&amp;IF(LEN(IF(LEN(INDEX('Assets'!$E$4:$E$503,_calc!$E$9))=0,"",INDEX('Assets'!$E$4:$E$503,_calc!$E$9)))=0,"","Every (months): "&amp;IF(LEN(INDEX('Assets'!$E$4:$E$503,_calc!$E$9))=0,"",INDEX('Assets'!$E$4:$E$503,_calc!$E$9))&amp;". ")&amp;IF(LEN(IF(LEN(INDEX('Assets'!$M$4:$M$503,_calc!$E$9))=0,"",INDEX('Assets'!$M$4:$M$503,_calc!$E$9)))=0,"","Last result: "&amp;IF(LEN(INDEX('Assets'!$M$4:$M$503,_calc!$E$9))=0,"",INDEX('Assets'!$M$4:$M$503,_calc!$E$9))&amp;". ")&amp;IF(LEN(IF(LEN(INDEX('Assets'!$Q$4:$Q$503,_calc!$E$9))=0,"",INDEX('Assets'!$Q$4:$Q$503,_calc!$E$9)))=0,"",IF(LEN(INDEX('Assets'!$Q$4:$Q$503,_calc!$E$9))=0,"",INDEX('Assets'!$Q$4:$Q$503,_calc!$E$9)))))</f>
        <v/>
      </c>
      <c r="G7" s="44">
        <f>IF(_calc!$E$9="","",IF(LEN(INDEX('Assets'!$P$4:$P$503,_calc!$E$9))=0,"",INDEX('Assets'!$P$4:$P$503,_calc!$E$9)))</f>
        <v/>
      </c>
      <c r="K7" s="44">
        <f>IF(_calc!$E$9="","",IF(LEN(INDEX('Assets'!$N$4:$N$503,_calc!$E$9))=0,"",INDEX('Assets'!$N$4:$N$503,_calc!$E$9)))</f>
        <v/>
      </c>
    </row>
    <row r="8">
      <c r="A8" s="44">
        <f>IF(_calc!$E$10="","",IF(LEN(INDEX('Assets'!$D$4:$D$503,_calc!$E$10))=0,"",INDEX('Assets'!$D$4:$D$503,_calc!$E$10))&amp;" – "&amp;IF(LEN(INDEX('Assets'!$A$4:$A$503,_calc!$E$10))=0,"",INDEX('Assets'!$A$4:$A$503,_calc!$E$10)))</f>
        <v/>
      </c>
      <c r="B8" s="44">
        <f>IF(_calc!$E$10="","",IF(ISNUMBER(INDEX('Assets'!$G$4:$G$503,_calc!$E$10)),TEXT(INDEX('Assets'!$G$4:$G$503,_calc!$E$10),"yyyy-mm-dd"),""))</f>
        <v/>
      </c>
      <c r="C8" s="44">
        <f>IF(_calc!$E$10="","","Inspection")</f>
        <v/>
      </c>
      <c r="D8" s="44">
        <f>IF(_calc!$E$10="","",IF(ISNUMBER(INDEX('Assets'!$F$4:$F$503,_calc!$E$10)),TEXT(INDEX('Assets'!$F$4:$F$503,_calc!$E$10),"yyyy-mm-dd"),""))</f>
        <v/>
      </c>
      <c r="E8" s="44">
        <f>IF(_calc!$E$10="","",IF(LEN(INDEX('Assets'!$O$4:$O$503,_calc!$E$10))=0,"",INDEX('Assets'!$O$4:$O$503,_calc!$E$10)))</f>
        <v/>
      </c>
      <c r="F8" s="44">
        <f>IF(_calc!$E$10="","",TRIM(IF(LEN(IF(LEN(INDEX('Assets'!$B$4:$B$503,_calc!$E$10))=0,"",INDEX('Assets'!$B$4:$B$503,_calc!$E$10)))=0,"","Asset ID: "&amp;IF(LEN(INDEX('Assets'!$B$4:$B$503,_calc!$E$10))=0,"",INDEX('Assets'!$B$4:$B$503,_calc!$E$10))&amp;". ")&amp;IF(LEN(IF(LEN(INDEX('Assets'!$C$4:$C$503,_calc!$E$10))=0,"",INDEX('Assets'!$C$4:$C$503,_calc!$E$10)))=0,"","Location: "&amp;IF(LEN(INDEX('Assets'!$C$4:$C$503,_calc!$E$10))=0,"",INDEX('Assets'!$C$4:$C$503,_calc!$E$10))&amp;". ")&amp;IF(LEN(IF(LEN(INDEX('Assets'!$E$4:$E$503,_calc!$E$10))=0,"",INDEX('Assets'!$E$4:$E$503,_calc!$E$10)))=0,"","Every (months): "&amp;IF(LEN(INDEX('Assets'!$E$4:$E$503,_calc!$E$10))=0,"",INDEX('Assets'!$E$4:$E$503,_calc!$E$10))&amp;". ")&amp;IF(LEN(IF(LEN(INDEX('Assets'!$M$4:$M$503,_calc!$E$10))=0,"",INDEX('Assets'!$M$4:$M$503,_calc!$E$10)))=0,"","Last result: "&amp;IF(LEN(INDEX('Assets'!$M$4:$M$503,_calc!$E$10))=0,"",INDEX('Assets'!$M$4:$M$503,_calc!$E$10))&amp;". ")&amp;IF(LEN(IF(LEN(INDEX('Assets'!$Q$4:$Q$503,_calc!$E$10))=0,"",INDEX('Assets'!$Q$4:$Q$503,_calc!$E$10)))=0,"",IF(LEN(INDEX('Assets'!$Q$4:$Q$503,_calc!$E$10))=0,"",INDEX('Assets'!$Q$4:$Q$503,_calc!$E$10)))))</f>
        <v/>
      </c>
      <c r="G8" s="44">
        <f>IF(_calc!$E$10="","",IF(LEN(INDEX('Assets'!$P$4:$P$503,_calc!$E$10))=0,"",INDEX('Assets'!$P$4:$P$503,_calc!$E$10)))</f>
        <v/>
      </c>
      <c r="K8" s="44">
        <f>IF(_calc!$E$10="","",IF(LEN(INDEX('Assets'!$N$4:$N$503,_calc!$E$10))=0,"",INDEX('Assets'!$N$4:$N$503,_calc!$E$10)))</f>
        <v/>
      </c>
    </row>
    <row r="9">
      <c r="A9" s="44">
        <f>IF(_calc!$E$11="","",IF(LEN(INDEX('Assets'!$D$4:$D$503,_calc!$E$11))=0,"",INDEX('Assets'!$D$4:$D$503,_calc!$E$11))&amp;" – "&amp;IF(LEN(INDEX('Assets'!$A$4:$A$503,_calc!$E$11))=0,"",INDEX('Assets'!$A$4:$A$503,_calc!$E$11)))</f>
        <v/>
      </c>
      <c r="B9" s="44">
        <f>IF(_calc!$E$11="","",IF(ISNUMBER(INDEX('Assets'!$G$4:$G$503,_calc!$E$11)),TEXT(INDEX('Assets'!$G$4:$G$503,_calc!$E$11),"yyyy-mm-dd"),""))</f>
        <v/>
      </c>
      <c r="C9" s="44">
        <f>IF(_calc!$E$11="","","Inspection")</f>
        <v/>
      </c>
      <c r="D9" s="44">
        <f>IF(_calc!$E$11="","",IF(ISNUMBER(INDEX('Assets'!$F$4:$F$503,_calc!$E$11)),TEXT(INDEX('Assets'!$F$4:$F$503,_calc!$E$11),"yyyy-mm-dd"),""))</f>
        <v/>
      </c>
      <c r="E9" s="44">
        <f>IF(_calc!$E$11="","",IF(LEN(INDEX('Assets'!$O$4:$O$503,_calc!$E$11))=0,"",INDEX('Assets'!$O$4:$O$503,_calc!$E$11)))</f>
        <v/>
      </c>
      <c r="F9" s="44">
        <f>IF(_calc!$E$11="","",TRIM(IF(LEN(IF(LEN(INDEX('Assets'!$B$4:$B$503,_calc!$E$11))=0,"",INDEX('Assets'!$B$4:$B$503,_calc!$E$11)))=0,"","Asset ID: "&amp;IF(LEN(INDEX('Assets'!$B$4:$B$503,_calc!$E$11))=0,"",INDEX('Assets'!$B$4:$B$503,_calc!$E$11))&amp;". ")&amp;IF(LEN(IF(LEN(INDEX('Assets'!$C$4:$C$503,_calc!$E$11))=0,"",INDEX('Assets'!$C$4:$C$503,_calc!$E$11)))=0,"","Location: "&amp;IF(LEN(INDEX('Assets'!$C$4:$C$503,_calc!$E$11))=0,"",INDEX('Assets'!$C$4:$C$503,_calc!$E$11))&amp;". ")&amp;IF(LEN(IF(LEN(INDEX('Assets'!$E$4:$E$503,_calc!$E$11))=0,"",INDEX('Assets'!$E$4:$E$503,_calc!$E$11)))=0,"","Every (months): "&amp;IF(LEN(INDEX('Assets'!$E$4:$E$503,_calc!$E$11))=0,"",INDEX('Assets'!$E$4:$E$503,_calc!$E$11))&amp;". ")&amp;IF(LEN(IF(LEN(INDEX('Assets'!$M$4:$M$503,_calc!$E$11))=0,"",INDEX('Assets'!$M$4:$M$503,_calc!$E$11)))=0,"","Last result: "&amp;IF(LEN(INDEX('Assets'!$M$4:$M$503,_calc!$E$11))=0,"",INDEX('Assets'!$M$4:$M$503,_calc!$E$11))&amp;". ")&amp;IF(LEN(IF(LEN(INDEX('Assets'!$Q$4:$Q$503,_calc!$E$11))=0,"",INDEX('Assets'!$Q$4:$Q$503,_calc!$E$11)))=0,"",IF(LEN(INDEX('Assets'!$Q$4:$Q$503,_calc!$E$11))=0,"",INDEX('Assets'!$Q$4:$Q$503,_calc!$E$11)))))</f>
        <v/>
      </c>
      <c r="G9" s="44">
        <f>IF(_calc!$E$11="","",IF(LEN(INDEX('Assets'!$P$4:$P$503,_calc!$E$11))=0,"",INDEX('Assets'!$P$4:$P$503,_calc!$E$11)))</f>
        <v/>
      </c>
      <c r="K9" s="44">
        <f>IF(_calc!$E$11="","",IF(LEN(INDEX('Assets'!$N$4:$N$503,_calc!$E$11))=0,"",INDEX('Assets'!$N$4:$N$503,_calc!$E$11)))</f>
        <v/>
      </c>
    </row>
    <row r="10">
      <c r="A10" s="44">
        <f>IF(_calc!$E$12="","",IF(LEN(INDEX('Assets'!$D$4:$D$503,_calc!$E$12))=0,"",INDEX('Assets'!$D$4:$D$503,_calc!$E$12))&amp;" – "&amp;IF(LEN(INDEX('Assets'!$A$4:$A$503,_calc!$E$12))=0,"",INDEX('Assets'!$A$4:$A$503,_calc!$E$12)))</f>
        <v/>
      </c>
      <c r="B10" s="44">
        <f>IF(_calc!$E$12="","",IF(ISNUMBER(INDEX('Assets'!$G$4:$G$503,_calc!$E$12)),TEXT(INDEX('Assets'!$G$4:$G$503,_calc!$E$12),"yyyy-mm-dd"),""))</f>
        <v/>
      </c>
      <c r="C10" s="44">
        <f>IF(_calc!$E$12="","","Inspection")</f>
        <v/>
      </c>
      <c r="D10" s="44">
        <f>IF(_calc!$E$12="","",IF(ISNUMBER(INDEX('Assets'!$F$4:$F$503,_calc!$E$12)),TEXT(INDEX('Assets'!$F$4:$F$503,_calc!$E$12),"yyyy-mm-dd"),""))</f>
        <v/>
      </c>
      <c r="E10" s="44">
        <f>IF(_calc!$E$12="","",IF(LEN(INDEX('Assets'!$O$4:$O$503,_calc!$E$12))=0,"",INDEX('Assets'!$O$4:$O$503,_calc!$E$12)))</f>
        <v/>
      </c>
      <c r="F10" s="44">
        <f>IF(_calc!$E$12="","",TRIM(IF(LEN(IF(LEN(INDEX('Assets'!$B$4:$B$503,_calc!$E$12))=0,"",INDEX('Assets'!$B$4:$B$503,_calc!$E$12)))=0,"","Asset ID: "&amp;IF(LEN(INDEX('Assets'!$B$4:$B$503,_calc!$E$12))=0,"",INDEX('Assets'!$B$4:$B$503,_calc!$E$12))&amp;". ")&amp;IF(LEN(IF(LEN(INDEX('Assets'!$C$4:$C$503,_calc!$E$12))=0,"",INDEX('Assets'!$C$4:$C$503,_calc!$E$12)))=0,"","Location: "&amp;IF(LEN(INDEX('Assets'!$C$4:$C$503,_calc!$E$12))=0,"",INDEX('Assets'!$C$4:$C$503,_calc!$E$12))&amp;". ")&amp;IF(LEN(IF(LEN(INDEX('Assets'!$E$4:$E$503,_calc!$E$12))=0,"",INDEX('Assets'!$E$4:$E$503,_calc!$E$12)))=0,"","Every (months): "&amp;IF(LEN(INDEX('Assets'!$E$4:$E$503,_calc!$E$12))=0,"",INDEX('Assets'!$E$4:$E$503,_calc!$E$12))&amp;". ")&amp;IF(LEN(IF(LEN(INDEX('Assets'!$M$4:$M$503,_calc!$E$12))=0,"",INDEX('Assets'!$M$4:$M$503,_calc!$E$12)))=0,"","Last result: "&amp;IF(LEN(INDEX('Assets'!$M$4:$M$503,_calc!$E$12))=0,"",INDEX('Assets'!$M$4:$M$503,_calc!$E$12))&amp;". ")&amp;IF(LEN(IF(LEN(INDEX('Assets'!$Q$4:$Q$503,_calc!$E$12))=0,"",INDEX('Assets'!$Q$4:$Q$503,_calc!$E$12)))=0,"",IF(LEN(INDEX('Assets'!$Q$4:$Q$503,_calc!$E$12))=0,"",INDEX('Assets'!$Q$4:$Q$503,_calc!$E$12)))))</f>
        <v/>
      </c>
      <c r="G10" s="44">
        <f>IF(_calc!$E$12="","",IF(LEN(INDEX('Assets'!$P$4:$P$503,_calc!$E$12))=0,"",INDEX('Assets'!$P$4:$P$503,_calc!$E$12)))</f>
        <v/>
      </c>
      <c r="K10" s="44">
        <f>IF(_calc!$E$12="","",IF(LEN(INDEX('Assets'!$N$4:$N$503,_calc!$E$12))=0,"",INDEX('Assets'!$N$4:$N$503,_calc!$E$12)))</f>
        <v/>
      </c>
    </row>
    <row r="11">
      <c r="A11" s="44">
        <f>IF(_calc!$E$13="","",IF(LEN(INDEX('Assets'!$D$4:$D$503,_calc!$E$13))=0,"",INDEX('Assets'!$D$4:$D$503,_calc!$E$13))&amp;" – "&amp;IF(LEN(INDEX('Assets'!$A$4:$A$503,_calc!$E$13))=0,"",INDEX('Assets'!$A$4:$A$503,_calc!$E$13)))</f>
        <v/>
      </c>
      <c r="B11" s="44">
        <f>IF(_calc!$E$13="","",IF(ISNUMBER(INDEX('Assets'!$G$4:$G$503,_calc!$E$13)),TEXT(INDEX('Assets'!$G$4:$G$503,_calc!$E$13),"yyyy-mm-dd"),""))</f>
        <v/>
      </c>
      <c r="C11" s="44">
        <f>IF(_calc!$E$13="","","Inspection")</f>
        <v/>
      </c>
      <c r="D11" s="44">
        <f>IF(_calc!$E$13="","",IF(ISNUMBER(INDEX('Assets'!$F$4:$F$503,_calc!$E$13)),TEXT(INDEX('Assets'!$F$4:$F$503,_calc!$E$13),"yyyy-mm-dd"),""))</f>
        <v/>
      </c>
      <c r="E11" s="44">
        <f>IF(_calc!$E$13="","",IF(LEN(INDEX('Assets'!$O$4:$O$503,_calc!$E$13))=0,"",INDEX('Assets'!$O$4:$O$503,_calc!$E$13)))</f>
        <v/>
      </c>
      <c r="F11" s="44">
        <f>IF(_calc!$E$13="","",TRIM(IF(LEN(IF(LEN(INDEX('Assets'!$B$4:$B$503,_calc!$E$13))=0,"",INDEX('Assets'!$B$4:$B$503,_calc!$E$13)))=0,"","Asset ID: "&amp;IF(LEN(INDEX('Assets'!$B$4:$B$503,_calc!$E$13))=0,"",INDEX('Assets'!$B$4:$B$503,_calc!$E$13))&amp;". ")&amp;IF(LEN(IF(LEN(INDEX('Assets'!$C$4:$C$503,_calc!$E$13))=0,"",INDEX('Assets'!$C$4:$C$503,_calc!$E$13)))=0,"","Location: "&amp;IF(LEN(INDEX('Assets'!$C$4:$C$503,_calc!$E$13))=0,"",INDEX('Assets'!$C$4:$C$503,_calc!$E$13))&amp;". ")&amp;IF(LEN(IF(LEN(INDEX('Assets'!$E$4:$E$503,_calc!$E$13))=0,"",INDEX('Assets'!$E$4:$E$503,_calc!$E$13)))=0,"","Every (months): "&amp;IF(LEN(INDEX('Assets'!$E$4:$E$503,_calc!$E$13))=0,"",INDEX('Assets'!$E$4:$E$503,_calc!$E$13))&amp;". ")&amp;IF(LEN(IF(LEN(INDEX('Assets'!$M$4:$M$503,_calc!$E$13))=0,"",INDEX('Assets'!$M$4:$M$503,_calc!$E$13)))=0,"","Last result: "&amp;IF(LEN(INDEX('Assets'!$M$4:$M$503,_calc!$E$13))=0,"",INDEX('Assets'!$M$4:$M$503,_calc!$E$13))&amp;". ")&amp;IF(LEN(IF(LEN(INDEX('Assets'!$Q$4:$Q$503,_calc!$E$13))=0,"",INDEX('Assets'!$Q$4:$Q$503,_calc!$E$13)))=0,"",IF(LEN(INDEX('Assets'!$Q$4:$Q$503,_calc!$E$13))=0,"",INDEX('Assets'!$Q$4:$Q$503,_calc!$E$13)))))</f>
        <v/>
      </c>
      <c r="G11" s="44">
        <f>IF(_calc!$E$13="","",IF(LEN(INDEX('Assets'!$P$4:$P$503,_calc!$E$13))=0,"",INDEX('Assets'!$P$4:$P$503,_calc!$E$13)))</f>
        <v/>
      </c>
      <c r="K11" s="44">
        <f>IF(_calc!$E$13="","",IF(LEN(INDEX('Assets'!$N$4:$N$503,_calc!$E$13))=0,"",INDEX('Assets'!$N$4:$N$503,_calc!$E$13)))</f>
        <v/>
      </c>
    </row>
    <row r="12">
      <c r="A12" s="44">
        <f>IF(_calc!$E$14="","",IF(LEN(INDEX('Assets'!$D$4:$D$503,_calc!$E$14))=0,"",INDEX('Assets'!$D$4:$D$503,_calc!$E$14))&amp;" – "&amp;IF(LEN(INDEX('Assets'!$A$4:$A$503,_calc!$E$14))=0,"",INDEX('Assets'!$A$4:$A$503,_calc!$E$14)))</f>
        <v/>
      </c>
      <c r="B12" s="44">
        <f>IF(_calc!$E$14="","",IF(ISNUMBER(INDEX('Assets'!$G$4:$G$503,_calc!$E$14)),TEXT(INDEX('Assets'!$G$4:$G$503,_calc!$E$14),"yyyy-mm-dd"),""))</f>
        <v/>
      </c>
      <c r="C12" s="44">
        <f>IF(_calc!$E$14="","","Inspection")</f>
        <v/>
      </c>
      <c r="D12" s="44">
        <f>IF(_calc!$E$14="","",IF(ISNUMBER(INDEX('Assets'!$F$4:$F$503,_calc!$E$14)),TEXT(INDEX('Assets'!$F$4:$F$503,_calc!$E$14),"yyyy-mm-dd"),""))</f>
        <v/>
      </c>
      <c r="E12" s="44">
        <f>IF(_calc!$E$14="","",IF(LEN(INDEX('Assets'!$O$4:$O$503,_calc!$E$14))=0,"",INDEX('Assets'!$O$4:$O$503,_calc!$E$14)))</f>
        <v/>
      </c>
      <c r="F12" s="44">
        <f>IF(_calc!$E$14="","",TRIM(IF(LEN(IF(LEN(INDEX('Assets'!$B$4:$B$503,_calc!$E$14))=0,"",INDEX('Assets'!$B$4:$B$503,_calc!$E$14)))=0,"","Asset ID: "&amp;IF(LEN(INDEX('Assets'!$B$4:$B$503,_calc!$E$14))=0,"",INDEX('Assets'!$B$4:$B$503,_calc!$E$14))&amp;". ")&amp;IF(LEN(IF(LEN(INDEX('Assets'!$C$4:$C$503,_calc!$E$14))=0,"",INDEX('Assets'!$C$4:$C$503,_calc!$E$14)))=0,"","Location: "&amp;IF(LEN(INDEX('Assets'!$C$4:$C$503,_calc!$E$14))=0,"",INDEX('Assets'!$C$4:$C$503,_calc!$E$14))&amp;". ")&amp;IF(LEN(IF(LEN(INDEX('Assets'!$E$4:$E$503,_calc!$E$14))=0,"",INDEX('Assets'!$E$4:$E$503,_calc!$E$14)))=0,"","Every (months): "&amp;IF(LEN(INDEX('Assets'!$E$4:$E$503,_calc!$E$14))=0,"",INDEX('Assets'!$E$4:$E$503,_calc!$E$14))&amp;". ")&amp;IF(LEN(IF(LEN(INDEX('Assets'!$M$4:$M$503,_calc!$E$14))=0,"",INDEX('Assets'!$M$4:$M$503,_calc!$E$14)))=0,"","Last result: "&amp;IF(LEN(INDEX('Assets'!$M$4:$M$503,_calc!$E$14))=0,"",INDEX('Assets'!$M$4:$M$503,_calc!$E$14))&amp;". ")&amp;IF(LEN(IF(LEN(INDEX('Assets'!$Q$4:$Q$503,_calc!$E$14))=0,"",INDEX('Assets'!$Q$4:$Q$503,_calc!$E$14)))=0,"",IF(LEN(INDEX('Assets'!$Q$4:$Q$503,_calc!$E$14))=0,"",INDEX('Assets'!$Q$4:$Q$503,_calc!$E$14)))))</f>
        <v/>
      </c>
      <c r="G12" s="44">
        <f>IF(_calc!$E$14="","",IF(LEN(INDEX('Assets'!$P$4:$P$503,_calc!$E$14))=0,"",INDEX('Assets'!$P$4:$P$503,_calc!$E$14)))</f>
        <v/>
      </c>
      <c r="K12" s="44">
        <f>IF(_calc!$E$14="","",IF(LEN(INDEX('Assets'!$N$4:$N$503,_calc!$E$14))=0,"",INDEX('Assets'!$N$4:$N$503,_calc!$E$14)))</f>
        <v/>
      </c>
    </row>
    <row r="13">
      <c r="A13" s="44">
        <f>IF(_calc!$E$15="","",IF(LEN(INDEX('Assets'!$D$4:$D$503,_calc!$E$15))=0,"",INDEX('Assets'!$D$4:$D$503,_calc!$E$15))&amp;" – "&amp;IF(LEN(INDEX('Assets'!$A$4:$A$503,_calc!$E$15))=0,"",INDEX('Assets'!$A$4:$A$503,_calc!$E$15)))</f>
        <v/>
      </c>
      <c r="B13" s="44">
        <f>IF(_calc!$E$15="","",IF(ISNUMBER(INDEX('Assets'!$G$4:$G$503,_calc!$E$15)),TEXT(INDEX('Assets'!$G$4:$G$503,_calc!$E$15),"yyyy-mm-dd"),""))</f>
        <v/>
      </c>
      <c r="C13" s="44">
        <f>IF(_calc!$E$15="","","Inspection")</f>
        <v/>
      </c>
      <c r="D13" s="44">
        <f>IF(_calc!$E$15="","",IF(ISNUMBER(INDEX('Assets'!$F$4:$F$503,_calc!$E$15)),TEXT(INDEX('Assets'!$F$4:$F$503,_calc!$E$15),"yyyy-mm-dd"),""))</f>
        <v/>
      </c>
      <c r="E13" s="44">
        <f>IF(_calc!$E$15="","",IF(LEN(INDEX('Assets'!$O$4:$O$503,_calc!$E$15))=0,"",INDEX('Assets'!$O$4:$O$503,_calc!$E$15)))</f>
        <v/>
      </c>
      <c r="F13" s="44">
        <f>IF(_calc!$E$15="","",TRIM(IF(LEN(IF(LEN(INDEX('Assets'!$B$4:$B$503,_calc!$E$15))=0,"",INDEX('Assets'!$B$4:$B$503,_calc!$E$15)))=0,"","Asset ID: "&amp;IF(LEN(INDEX('Assets'!$B$4:$B$503,_calc!$E$15))=0,"",INDEX('Assets'!$B$4:$B$503,_calc!$E$15))&amp;". ")&amp;IF(LEN(IF(LEN(INDEX('Assets'!$C$4:$C$503,_calc!$E$15))=0,"",INDEX('Assets'!$C$4:$C$503,_calc!$E$15)))=0,"","Location: "&amp;IF(LEN(INDEX('Assets'!$C$4:$C$503,_calc!$E$15))=0,"",INDEX('Assets'!$C$4:$C$503,_calc!$E$15))&amp;". ")&amp;IF(LEN(IF(LEN(INDEX('Assets'!$E$4:$E$503,_calc!$E$15))=0,"",INDEX('Assets'!$E$4:$E$503,_calc!$E$15)))=0,"","Every (months): "&amp;IF(LEN(INDEX('Assets'!$E$4:$E$503,_calc!$E$15))=0,"",INDEX('Assets'!$E$4:$E$503,_calc!$E$15))&amp;". ")&amp;IF(LEN(IF(LEN(INDEX('Assets'!$M$4:$M$503,_calc!$E$15))=0,"",INDEX('Assets'!$M$4:$M$503,_calc!$E$15)))=0,"","Last result: "&amp;IF(LEN(INDEX('Assets'!$M$4:$M$503,_calc!$E$15))=0,"",INDEX('Assets'!$M$4:$M$503,_calc!$E$15))&amp;". ")&amp;IF(LEN(IF(LEN(INDEX('Assets'!$Q$4:$Q$503,_calc!$E$15))=0,"",INDEX('Assets'!$Q$4:$Q$503,_calc!$E$15)))=0,"",IF(LEN(INDEX('Assets'!$Q$4:$Q$503,_calc!$E$15))=0,"",INDEX('Assets'!$Q$4:$Q$503,_calc!$E$15)))))</f>
        <v/>
      </c>
      <c r="G13" s="44">
        <f>IF(_calc!$E$15="","",IF(LEN(INDEX('Assets'!$P$4:$P$503,_calc!$E$15))=0,"",INDEX('Assets'!$P$4:$P$503,_calc!$E$15)))</f>
        <v/>
      </c>
      <c r="K13" s="44">
        <f>IF(_calc!$E$15="","",IF(LEN(INDEX('Assets'!$N$4:$N$503,_calc!$E$15))=0,"",INDEX('Assets'!$N$4:$N$503,_calc!$E$15)))</f>
        <v/>
      </c>
    </row>
    <row r="14">
      <c r="A14" s="44">
        <f>IF(_calc!$E$16="","",IF(LEN(INDEX('Assets'!$D$4:$D$503,_calc!$E$16))=0,"",INDEX('Assets'!$D$4:$D$503,_calc!$E$16))&amp;" – "&amp;IF(LEN(INDEX('Assets'!$A$4:$A$503,_calc!$E$16))=0,"",INDEX('Assets'!$A$4:$A$503,_calc!$E$16)))</f>
        <v/>
      </c>
      <c r="B14" s="44">
        <f>IF(_calc!$E$16="","",IF(ISNUMBER(INDEX('Assets'!$G$4:$G$503,_calc!$E$16)),TEXT(INDEX('Assets'!$G$4:$G$503,_calc!$E$16),"yyyy-mm-dd"),""))</f>
        <v/>
      </c>
      <c r="C14" s="44">
        <f>IF(_calc!$E$16="","","Inspection")</f>
        <v/>
      </c>
      <c r="D14" s="44">
        <f>IF(_calc!$E$16="","",IF(ISNUMBER(INDEX('Assets'!$F$4:$F$503,_calc!$E$16)),TEXT(INDEX('Assets'!$F$4:$F$503,_calc!$E$16),"yyyy-mm-dd"),""))</f>
        <v/>
      </c>
      <c r="E14" s="44">
        <f>IF(_calc!$E$16="","",IF(LEN(INDEX('Assets'!$O$4:$O$503,_calc!$E$16))=0,"",INDEX('Assets'!$O$4:$O$503,_calc!$E$16)))</f>
        <v/>
      </c>
      <c r="F14" s="44">
        <f>IF(_calc!$E$16="","",TRIM(IF(LEN(IF(LEN(INDEX('Assets'!$B$4:$B$503,_calc!$E$16))=0,"",INDEX('Assets'!$B$4:$B$503,_calc!$E$16)))=0,"","Asset ID: "&amp;IF(LEN(INDEX('Assets'!$B$4:$B$503,_calc!$E$16))=0,"",INDEX('Assets'!$B$4:$B$503,_calc!$E$16))&amp;". ")&amp;IF(LEN(IF(LEN(INDEX('Assets'!$C$4:$C$503,_calc!$E$16))=0,"",INDEX('Assets'!$C$4:$C$503,_calc!$E$16)))=0,"","Location: "&amp;IF(LEN(INDEX('Assets'!$C$4:$C$503,_calc!$E$16))=0,"",INDEX('Assets'!$C$4:$C$503,_calc!$E$16))&amp;". ")&amp;IF(LEN(IF(LEN(INDEX('Assets'!$E$4:$E$503,_calc!$E$16))=0,"",INDEX('Assets'!$E$4:$E$503,_calc!$E$16)))=0,"","Every (months): "&amp;IF(LEN(INDEX('Assets'!$E$4:$E$503,_calc!$E$16))=0,"",INDEX('Assets'!$E$4:$E$503,_calc!$E$16))&amp;". ")&amp;IF(LEN(IF(LEN(INDEX('Assets'!$M$4:$M$503,_calc!$E$16))=0,"",INDEX('Assets'!$M$4:$M$503,_calc!$E$16)))=0,"","Last result: "&amp;IF(LEN(INDEX('Assets'!$M$4:$M$503,_calc!$E$16))=0,"",INDEX('Assets'!$M$4:$M$503,_calc!$E$16))&amp;". ")&amp;IF(LEN(IF(LEN(INDEX('Assets'!$Q$4:$Q$503,_calc!$E$16))=0,"",INDEX('Assets'!$Q$4:$Q$503,_calc!$E$16)))=0,"",IF(LEN(INDEX('Assets'!$Q$4:$Q$503,_calc!$E$16))=0,"",INDEX('Assets'!$Q$4:$Q$503,_calc!$E$16)))))</f>
        <v/>
      </c>
      <c r="G14" s="44">
        <f>IF(_calc!$E$16="","",IF(LEN(INDEX('Assets'!$P$4:$P$503,_calc!$E$16))=0,"",INDEX('Assets'!$P$4:$P$503,_calc!$E$16)))</f>
        <v/>
      </c>
      <c r="K14" s="44">
        <f>IF(_calc!$E$16="","",IF(LEN(INDEX('Assets'!$N$4:$N$503,_calc!$E$16))=0,"",INDEX('Assets'!$N$4:$N$503,_calc!$E$16)))</f>
        <v/>
      </c>
    </row>
    <row r="15">
      <c r="A15" s="44">
        <f>IF(_calc!$E$17="","",IF(LEN(INDEX('Assets'!$D$4:$D$503,_calc!$E$17))=0,"",INDEX('Assets'!$D$4:$D$503,_calc!$E$17))&amp;" – "&amp;IF(LEN(INDEX('Assets'!$A$4:$A$503,_calc!$E$17))=0,"",INDEX('Assets'!$A$4:$A$503,_calc!$E$17)))</f>
        <v/>
      </c>
      <c r="B15" s="44">
        <f>IF(_calc!$E$17="","",IF(ISNUMBER(INDEX('Assets'!$G$4:$G$503,_calc!$E$17)),TEXT(INDEX('Assets'!$G$4:$G$503,_calc!$E$17),"yyyy-mm-dd"),""))</f>
        <v/>
      </c>
      <c r="C15" s="44">
        <f>IF(_calc!$E$17="","","Inspection")</f>
        <v/>
      </c>
      <c r="D15" s="44">
        <f>IF(_calc!$E$17="","",IF(ISNUMBER(INDEX('Assets'!$F$4:$F$503,_calc!$E$17)),TEXT(INDEX('Assets'!$F$4:$F$503,_calc!$E$17),"yyyy-mm-dd"),""))</f>
        <v/>
      </c>
      <c r="E15" s="44">
        <f>IF(_calc!$E$17="","",IF(LEN(INDEX('Assets'!$O$4:$O$503,_calc!$E$17))=0,"",INDEX('Assets'!$O$4:$O$503,_calc!$E$17)))</f>
        <v/>
      </c>
      <c r="F15" s="44">
        <f>IF(_calc!$E$17="","",TRIM(IF(LEN(IF(LEN(INDEX('Assets'!$B$4:$B$503,_calc!$E$17))=0,"",INDEX('Assets'!$B$4:$B$503,_calc!$E$17)))=0,"","Asset ID: "&amp;IF(LEN(INDEX('Assets'!$B$4:$B$503,_calc!$E$17))=0,"",INDEX('Assets'!$B$4:$B$503,_calc!$E$17))&amp;". ")&amp;IF(LEN(IF(LEN(INDEX('Assets'!$C$4:$C$503,_calc!$E$17))=0,"",INDEX('Assets'!$C$4:$C$503,_calc!$E$17)))=0,"","Location: "&amp;IF(LEN(INDEX('Assets'!$C$4:$C$503,_calc!$E$17))=0,"",INDEX('Assets'!$C$4:$C$503,_calc!$E$17))&amp;". ")&amp;IF(LEN(IF(LEN(INDEX('Assets'!$E$4:$E$503,_calc!$E$17))=0,"",INDEX('Assets'!$E$4:$E$503,_calc!$E$17)))=0,"","Every (months): "&amp;IF(LEN(INDEX('Assets'!$E$4:$E$503,_calc!$E$17))=0,"",INDEX('Assets'!$E$4:$E$503,_calc!$E$17))&amp;". ")&amp;IF(LEN(IF(LEN(INDEX('Assets'!$M$4:$M$503,_calc!$E$17))=0,"",INDEX('Assets'!$M$4:$M$503,_calc!$E$17)))=0,"","Last result: "&amp;IF(LEN(INDEX('Assets'!$M$4:$M$503,_calc!$E$17))=0,"",INDEX('Assets'!$M$4:$M$503,_calc!$E$17))&amp;". ")&amp;IF(LEN(IF(LEN(INDEX('Assets'!$Q$4:$Q$503,_calc!$E$17))=0,"",INDEX('Assets'!$Q$4:$Q$503,_calc!$E$17)))=0,"",IF(LEN(INDEX('Assets'!$Q$4:$Q$503,_calc!$E$17))=0,"",INDEX('Assets'!$Q$4:$Q$503,_calc!$E$17)))))</f>
        <v/>
      </c>
      <c r="G15" s="44">
        <f>IF(_calc!$E$17="","",IF(LEN(INDEX('Assets'!$P$4:$P$503,_calc!$E$17))=0,"",INDEX('Assets'!$P$4:$P$503,_calc!$E$17)))</f>
        <v/>
      </c>
      <c r="K15" s="44">
        <f>IF(_calc!$E$17="","",IF(LEN(INDEX('Assets'!$N$4:$N$503,_calc!$E$17))=0,"",INDEX('Assets'!$N$4:$N$503,_calc!$E$17)))</f>
        <v/>
      </c>
    </row>
    <row r="16">
      <c r="A16" s="44">
        <f>IF(_calc!$E$18="","",IF(LEN(INDEX('Assets'!$D$4:$D$503,_calc!$E$18))=0,"",INDEX('Assets'!$D$4:$D$503,_calc!$E$18))&amp;" – "&amp;IF(LEN(INDEX('Assets'!$A$4:$A$503,_calc!$E$18))=0,"",INDEX('Assets'!$A$4:$A$503,_calc!$E$18)))</f>
        <v/>
      </c>
      <c r="B16" s="44">
        <f>IF(_calc!$E$18="","",IF(ISNUMBER(INDEX('Assets'!$G$4:$G$503,_calc!$E$18)),TEXT(INDEX('Assets'!$G$4:$G$503,_calc!$E$18),"yyyy-mm-dd"),""))</f>
        <v/>
      </c>
      <c r="C16" s="44">
        <f>IF(_calc!$E$18="","","Inspection")</f>
        <v/>
      </c>
      <c r="D16" s="44">
        <f>IF(_calc!$E$18="","",IF(ISNUMBER(INDEX('Assets'!$F$4:$F$503,_calc!$E$18)),TEXT(INDEX('Assets'!$F$4:$F$503,_calc!$E$18),"yyyy-mm-dd"),""))</f>
        <v/>
      </c>
      <c r="E16" s="44">
        <f>IF(_calc!$E$18="","",IF(LEN(INDEX('Assets'!$O$4:$O$503,_calc!$E$18))=0,"",INDEX('Assets'!$O$4:$O$503,_calc!$E$18)))</f>
        <v/>
      </c>
      <c r="F16" s="44">
        <f>IF(_calc!$E$18="","",TRIM(IF(LEN(IF(LEN(INDEX('Assets'!$B$4:$B$503,_calc!$E$18))=0,"",INDEX('Assets'!$B$4:$B$503,_calc!$E$18)))=0,"","Asset ID: "&amp;IF(LEN(INDEX('Assets'!$B$4:$B$503,_calc!$E$18))=0,"",INDEX('Assets'!$B$4:$B$503,_calc!$E$18))&amp;". ")&amp;IF(LEN(IF(LEN(INDEX('Assets'!$C$4:$C$503,_calc!$E$18))=0,"",INDEX('Assets'!$C$4:$C$503,_calc!$E$18)))=0,"","Location: "&amp;IF(LEN(INDEX('Assets'!$C$4:$C$503,_calc!$E$18))=0,"",INDEX('Assets'!$C$4:$C$503,_calc!$E$18))&amp;". ")&amp;IF(LEN(IF(LEN(INDEX('Assets'!$E$4:$E$503,_calc!$E$18))=0,"",INDEX('Assets'!$E$4:$E$503,_calc!$E$18)))=0,"","Every (months): "&amp;IF(LEN(INDEX('Assets'!$E$4:$E$503,_calc!$E$18))=0,"",INDEX('Assets'!$E$4:$E$503,_calc!$E$18))&amp;". ")&amp;IF(LEN(IF(LEN(INDEX('Assets'!$M$4:$M$503,_calc!$E$18))=0,"",INDEX('Assets'!$M$4:$M$503,_calc!$E$18)))=0,"","Last result: "&amp;IF(LEN(INDEX('Assets'!$M$4:$M$503,_calc!$E$18))=0,"",INDEX('Assets'!$M$4:$M$503,_calc!$E$18))&amp;". ")&amp;IF(LEN(IF(LEN(INDEX('Assets'!$Q$4:$Q$503,_calc!$E$18))=0,"",INDEX('Assets'!$Q$4:$Q$503,_calc!$E$18)))=0,"",IF(LEN(INDEX('Assets'!$Q$4:$Q$503,_calc!$E$18))=0,"",INDEX('Assets'!$Q$4:$Q$503,_calc!$E$18)))))</f>
        <v/>
      </c>
      <c r="G16" s="44">
        <f>IF(_calc!$E$18="","",IF(LEN(INDEX('Assets'!$P$4:$P$503,_calc!$E$18))=0,"",INDEX('Assets'!$P$4:$P$503,_calc!$E$18)))</f>
        <v/>
      </c>
      <c r="K16" s="44">
        <f>IF(_calc!$E$18="","",IF(LEN(INDEX('Assets'!$N$4:$N$503,_calc!$E$18))=0,"",INDEX('Assets'!$N$4:$N$503,_calc!$E$18)))</f>
        <v/>
      </c>
    </row>
    <row r="17">
      <c r="A17" s="44">
        <f>IF(_calc!$E$19="","",IF(LEN(INDEX('Assets'!$D$4:$D$503,_calc!$E$19))=0,"",INDEX('Assets'!$D$4:$D$503,_calc!$E$19))&amp;" – "&amp;IF(LEN(INDEX('Assets'!$A$4:$A$503,_calc!$E$19))=0,"",INDEX('Assets'!$A$4:$A$503,_calc!$E$19)))</f>
        <v/>
      </c>
      <c r="B17" s="44">
        <f>IF(_calc!$E$19="","",IF(ISNUMBER(INDEX('Assets'!$G$4:$G$503,_calc!$E$19)),TEXT(INDEX('Assets'!$G$4:$G$503,_calc!$E$19),"yyyy-mm-dd"),""))</f>
        <v/>
      </c>
      <c r="C17" s="44">
        <f>IF(_calc!$E$19="","","Inspection")</f>
        <v/>
      </c>
      <c r="D17" s="44">
        <f>IF(_calc!$E$19="","",IF(ISNUMBER(INDEX('Assets'!$F$4:$F$503,_calc!$E$19)),TEXT(INDEX('Assets'!$F$4:$F$503,_calc!$E$19),"yyyy-mm-dd"),""))</f>
        <v/>
      </c>
      <c r="E17" s="44">
        <f>IF(_calc!$E$19="","",IF(LEN(INDEX('Assets'!$O$4:$O$503,_calc!$E$19))=0,"",INDEX('Assets'!$O$4:$O$503,_calc!$E$19)))</f>
        <v/>
      </c>
      <c r="F17" s="44">
        <f>IF(_calc!$E$19="","",TRIM(IF(LEN(IF(LEN(INDEX('Assets'!$B$4:$B$503,_calc!$E$19))=0,"",INDEX('Assets'!$B$4:$B$503,_calc!$E$19)))=0,"","Asset ID: "&amp;IF(LEN(INDEX('Assets'!$B$4:$B$503,_calc!$E$19))=0,"",INDEX('Assets'!$B$4:$B$503,_calc!$E$19))&amp;". ")&amp;IF(LEN(IF(LEN(INDEX('Assets'!$C$4:$C$503,_calc!$E$19))=0,"",INDEX('Assets'!$C$4:$C$503,_calc!$E$19)))=0,"","Location: "&amp;IF(LEN(INDEX('Assets'!$C$4:$C$503,_calc!$E$19))=0,"",INDEX('Assets'!$C$4:$C$503,_calc!$E$19))&amp;". ")&amp;IF(LEN(IF(LEN(INDEX('Assets'!$E$4:$E$503,_calc!$E$19))=0,"",INDEX('Assets'!$E$4:$E$503,_calc!$E$19)))=0,"","Every (months): "&amp;IF(LEN(INDEX('Assets'!$E$4:$E$503,_calc!$E$19))=0,"",INDEX('Assets'!$E$4:$E$503,_calc!$E$19))&amp;". ")&amp;IF(LEN(IF(LEN(INDEX('Assets'!$M$4:$M$503,_calc!$E$19))=0,"",INDEX('Assets'!$M$4:$M$503,_calc!$E$19)))=0,"","Last result: "&amp;IF(LEN(INDEX('Assets'!$M$4:$M$503,_calc!$E$19))=0,"",INDEX('Assets'!$M$4:$M$503,_calc!$E$19))&amp;". ")&amp;IF(LEN(IF(LEN(INDEX('Assets'!$Q$4:$Q$503,_calc!$E$19))=0,"",INDEX('Assets'!$Q$4:$Q$503,_calc!$E$19)))=0,"",IF(LEN(INDEX('Assets'!$Q$4:$Q$503,_calc!$E$19))=0,"",INDEX('Assets'!$Q$4:$Q$503,_calc!$E$19)))))</f>
        <v/>
      </c>
      <c r="G17" s="44">
        <f>IF(_calc!$E$19="","",IF(LEN(INDEX('Assets'!$P$4:$P$503,_calc!$E$19))=0,"",INDEX('Assets'!$P$4:$P$503,_calc!$E$19)))</f>
        <v/>
      </c>
      <c r="K17" s="44">
        <f>IF(_calc!$E$19="","",IF(LEN(INDEX('Assets'!$N$4:$N$503,_calc!$E$19))=0,"",INDEX('Assets'!$N$4:$N$503,_calc!$E$19)))</f>
        <v/>
      </c>
    </row>
    <row r="18">
      <c r="A18" s="44">
        <f>IF(_calc!$E$20="","",IF(LEN(INDEX('Assets'!$D$4:$D$503,_calc!$E$20))=0,"",INDEX('Assets'!$D$4:$D$503,_calc!$E$20))&amp;" – "&amp;IF(LEN(INDEX('Assets'!$A$4:$A$503,_calc!$E$20))=0,"",INDEX('Assets'!$A$4:$A$503,_calc!$E$20)))</f>
        <v/>
      </c>
      <c r="B18" s="44">
        <f>IF(_calc!$E$20="","",IF(ISNUMBER(INDEX('Assets'!$G$4:$G$503,_calc!$E$20)),TEXT(INDEX('Assets'!$G$4:$G$503,_calc!$E$20),"yyyy-mm-dd"),""))</f>
        <v/>
      </c>
      <c r="C18" s="44">
        <f>IF(_calc!$E$20="","","Inspection")</f>
        <v/>
      </c>
      <c r="D18" s="44">
        <f>IF(_calc!$E$20="","",IF(ISNUMBER(INDEX('Assets'!$F$4:$F$503,_calc!$E$20)),TEXT(INDEX('Assets'!$F$4:$F$503,_calc!$E$20),"yyyy-mm-dd"),""))</f>
        <v/>
      </c>
      <c r="E18" s="44">
        <f>IF(_calc!$E$20="","",IF(LEN(INDEX('Assets'!$O$4:$O$503,_calc!$E$20))=0,"",INDEX('Assets'!$O$4:$O$503,_calc!$E$20)))</f>
        <v/>
      </c>
      <c r="F18" s="44">
        <f>IF(_calc!$E$20="","",TRIM(IF(LEN(IF(LEN(INDEX('Assets'!$B$4:$B$503,_calc!$E$20))=0,"",INDEX('Assets'!$B$4:$B$503,_calc!$E$20)))=0,"","Asset ID: "&amp;IF(LEN(INDEX('Assets'!$B$4:$B$503,_calc!$E$20))=0,"",INDEX('Assets'!$B$4:$B$503,_calc!$E$20))&amp;". ")&amp;IF(LEN(IF(LEN(INDEX('Assets'!$C$4:$C$503,_calc!$E$20))=0,"",INDEX('Assets'!$C$4:$C$503,_calc!$E$20)))=0,"","Location: "&amp;IF(LEN(INDEX('Assets'!$C$4:$C$503,_calc!$E$20))=0,"",INDEX('Assets'!$C$4:$C$503,_calc!$E$20))&amp;". ")&amp;IF(LEN(IF(LEN(INDEX('Assets'!$E$4:$E$503,_calc!$E$20))=0,"",INDEX('Assets'!$E$4:$E$503,_calc!$E$20)))=0,"","Every (months): "&amp;IF(LEN(INDEX('Assets'!$E$4:$E$503,_calc!$E$20))=0,"",INDEX('Assets'!$E$4:$E$503,_calc!$E$20))&amp;". ")&amp;IF(LEN(IF(LEN(INDEX('Assets'!$M$4:$M$503,_calc!$E$20))=0,"",INDEX('Assets'!$M$4:$M$503,_calc!$E$20)))=0,"","Last result: "&amp;IF(LEN(INDEX('Assets'!$M$4:$M$503,_calc!$E$20))=0,"",INDEX('Assets'!$M$4:$M$503,_calc!$E$20))&amp;". ")&amp;IF(LEN(IF(LEN(INDEX('Assets'!$Q$4:$Q$503,_calc!$E$20))=0,"",INDEX('Assets'!$Q$4:$Q$503,_calc!$E$20)))=0,"",IF(LEN(INDEX('Assets'!$Q$4:$Q$503,_calc!$E$20))=0,"",INDEX('Assets'!$Q$4:$Q$503,_calc!$E$20)))))</f>
        <v/>
      </c>
      <c r="G18" s="44">
        <f>IF(_calc!$E$20="","",IF(LEN(INDEX('Assets'!$P$4:$P$503,_calc!$E$20))=0,"",INDEX('Assets'!$P$4:$P$503,_calc!$E$20)))</f>
        <v/>
      </c>
      <c r="K18" s="44">
        <f>IF(_calc!$E$20="","",IF(LEN(INDEX('Assets'!$N$4:$N$503,_calc!$E$20))=0,"",INDEX('Assets'!$N$4:$N$503,_calc!$E$20)))</f>
        <v/>
      </c>
    </row>
    <row r="19">
      <c r="A19" s="44">
        <f>IF(_calc!$E$21="","",IF(LEN(INDEX('Assets'!$D$4:$D$503,_calc!$E$21))=0,"",INDEX('Assets'!$D$4:$D$503,_calc!$E$21))&amp;" – "&amp;IF(LEN(INDEX('Assets'!$A$4:$A$503,_calc!$E$21))=0,"",INDEX('Assets'!$A$4:$A$503,_calc!$E$21)))</f>
        <v/>
      </c>
      <c r="B19" s="44">
        <f>IF(_calc!$E$21="","",IF(ISNUMBER(INDEX('Assets'!$G$4:$G$503,_calc!$E$21)),TEXT(INDEX('Assets'!$G$4:$G$503,_calc!$E$21),"yyyy-mm-dd"),""))</f>
        <v/>
      </c>
      <c r="C19" s="44">
        <f>IF(_calc!$E$21="","","Inspection")</f>
        <v/>
      </c>
      <c r="D19" s="44">
        <f>IF(_calc!$E$21="","",IF(ISNUMBER(INDEX('Assets'!$F$4:$F$503,_calc!$E$21)),TEXT(INDEX('Assets'!$F$4:$F$503,_calc!$E$21),"yyyy-mm-dd"),""))</f>
        <v/>
      </c>
      <c r="E19" s="44">
        <f>IF(_calc!$E$21="","",IF(LEN(INDEX('Assets'!$O$4:$O$503,_calc!$E$21))=0,"",INDEX('Assets'!$O$4:$O$503,_calc!$E$21)))</f>
        <v/>
      </c>
      <c r="F19" s="44">
        <f>IF(_calc!$E$21="","",TRIM(IF(LEN(IF(LEN(INDEX('Assets'!$B$4:$B$503,_calc!$E$21))=0,"",INDEX('Assets'!$B$4:$B$503,_calc!$E$21)))=0,"","Asset ID: "&amp;IF(LEN(INDEX('Assets'!$B$4:$B$503,_calc!$E$21))=0,"",INDEX('Assets'!$B$4:$B$503,_calc!$E$21))&amp;". ")&amp;IF(LEN(IF(LEN(INDEX('Assets'!$C$4:$C$503,_calc!$E$21))=0,"",INDEX('Assets'!$C$4:$C$503,_calc!$E$21)))=0,"","Location: "&amp;IF(LEN(INDEX('Assets'!$C$4:$C$503,_calc!$E$21))=0,"",INDEX('Assets'!$C$4:$C$503,_calc!$E$21))&amp;". ")&amp;IF(LEN(IF(LEN(INDEX('Assets'!$E$4:$E$503,_calc!$E$21))=0,"",INDEX('Assets'!$E$4:$E$503,_calc!$E$21)))=0,"","Every (months): "&amp;IF(LEN(INDEX('Assets'!$E$4:$E$503,_calc!$E$21))=0,"",INDEX('Assets'!$E$4:$E$503,_calc!$E$21))&amp;". ")&amp;IF(LEN(IF(LEN(INDEX('Assets'!$M$4:$M$503,_calc!$E$21))=0,"",INDEX('Assets'!$M$4:$M$503,_calc!$E$21)))=0,"","Last result: "&amp;IF(LEN(INDEX('Assets'!$M$4:$M$503,_calc!$E$21))=0,"",INDEX('Assets'!$M$4:$M$503,_calc!$E$21))&amp;". ")&amp;IF(LEN(IF(LEN(INDEX('Assets'!$Q$4:$Q$503,_calc!$E$21))=0,"",INDEX('Assets'!$Q$4:$Q$503,_calc!$E$21)))=0,"",IF(LEN(INDEX('Assets'!$Q$4:$Q$503,_calc!$E$21))=0,"",INDEX('Assets'!$Q$4:$Q$503,_calc!$E$21)))))</f>
        <v/>
      </c>
      <c r="G19" s="44">
        <f>IF(_calc!$E$21="","",IF(LEN(INDEX('Assets'!$P$4:$P$503,_calc!$E$21))=0,"",INDEX('Assets'!$P$4:$P$503,_calc!$E$21)))</f>
        <v/>
      </c>
      <c r="K19" s="44">
        <f>IF(_calc!$E$21="","",IF(LEN(INDEX('Assets'!$N$4:$N$503,_calc!$E$21))=0,"",INDEX('Assets'!$N$4:$N$503,_calc!$E$21)))</f>
        <v/>
      </c>
    </row>
    <row r="20">
      <c r="A20" s="44">
        <f>IF(_calc!$E$22="","",IF(LEN(INDEX('Assets'!$D$4:$D$503,_calc!$E$22))=0,"",INDEX('Assets'!$D$4:$D$503,_calc!$E$22))&amp;" – "&amp;IF(LEN(INDEX('Assets'!$A$4:$A$503,_calc!$E$22))=0,"",INDEX('Assets'!$A$4:$A$503,_calc!$E$22)))</f>
        <v/>
      </c>
      <c r="B20" s="44">
        <f>IF(_calc!$E$22="","",IF(ISNUMBER(INDEX('Assets'!$G$4:$G$503,_calc!$E$22)),TEXT(INDEX('Assets'!$G$4:$G$503,_calc!$E$22),"yyyy-mm-dd"),""))</f>
        <v/>
      </c>
      <c r="C20" s="44">
        <f>IF(_calc!$E$22="","","Inspection")</f>
        <v/>
      </c>
      <c r="D20" s="44">
        <f>IF(_calc!$E$22="","",IF(ISNUMBER(INDEX('Assets'!$F$4:$F$503,_calc!$E$22)),TEXT(INDEX('Assets'!$F$4:$F$503,_calc!$E$22),"yyyy-mm-dd"),""))</f>
        <v/>
      </c>
      <c r="E20" s="44">
        <f>IF(_calc!$E$22="","",IF(LEN(INDEX('Assets'!$O$4:$O$503,_calc!$E$22))=0,"",INDEX('Assets'!$O$4:$O$503,_calc!$E$22)))</f>
        <v/>
      </c>
      <c r="F20" s="44">
        <f>IF(_calc!$E$22="","",TRIM(IF(LEN(IF(LEN(INDEX('Assets'!$B$4:$B$503,_calc!$E$22))=0,"",INDEX('Assets'!$B$4:$B$503,_calc!$E$22)))=0,"","Asset ID: "&amp;IF(LEN(INDEX('Assets'!$B$4:$B$503,_calc!$E$22))=0,"",INDEX('Assets'!$B$4:$B$503,_calc!$E$22))&amp;". ")&amp;IF(LEN(IF(LEN(INDEX('Assets'!$C$4:$C$503,_calc!$E$22))=0,"",INDEX('Assets'!$C$4:$C$503,_calc!$E$22)))=0,"","Location: "&amp;IF(LEN(INDEX('Assets'!$C$4:$C$503,_calc!$E$22))=0,"",INDEX('Assets'!$C$4:$C$503,_calc!$E$22))&amp;". ")&amp;IF(LEN(IF(LEN(INDEX('Assets'!$E$4:$E$503,_calc!$E$22))=0,"",INDEX('Assets'!$E$4:$E$503,_calc!$E$22)))=0,"","Every (months): "&amp;IF(LEN(INDEX('Assets'!$E$4:$E$503,_calc!$E$22))=0,"",INDEX('Assets'!$E$4:$E$503,_calc!$E$22))&amp;". ")&amp;IF(LEN(IF(LEN(INDEX('Assets'!$M$4:$M$503,_calc!$E$22))=0,"",INDEX('Assets'!$M$4:$M$503,_calc!$E$22)))=0,"","Last result: "&amp;IF(LEN(INDEX('Assets'!$M$4:$M$503,_calc!$E$22))=0,"",INDEX('Assets'!$M$4:$M$503,_calc!$E$22))&amp;". ")&amp;IF(LEN(IF(LEN(INDEX('Assets'!$Q$4:$Q$503,_calc!$E$22))=0,"",INDEX('Assets'!$Q$4:$Q$503,_calc!$E$22)))=0,"",IF(LEN(INDEX('Assets'!$Q$4:$Q$503,_calc!$E$22))=0,"",INDEX('Assets'!$Q$4:$Q$503,_calc!$E$22)))))</f>
        <v/>
      </c>
      <c r="G20" s="44">
        <f>IF(_calc!$E$22="","",IF(LEN(INDEX('Assets'!$P$4:$P$503,_calc!$E$22))=0,"",INDEX('Assets'!$P$4:$P$503,_calc!$E$22)))</f>
        <v/>
      </c>
      <c r="K20" s="44">
        <f>IF(_calc!$E$22="","",IF(LEN(INDEX('Assets'!$N$4:$N$503,_calc!$E$22))=0,"",INDEX('Assets'!$N$4:$N$503,_calc!$E$22)))</f>
        <v/>
      </c>
    </row>
    <row r="21">
      <c r="A21" s="44">
        <f>IF(_calc!$E$23="","",IF(LEN(INDEX('Assets'!$D$4:$D$503,_calc!$E$23))=0,"",INDEX('Assets'!$D$4:$D$503,_calc!$E$23))&amp;" – "&amp;IF(LEN(INDEX('Assets'!$A$4:$A$503,_calc!$E$23))=0,"",INDEX('Assets'!$A$4:$A$503,_calc!$E$23)))</f>
        <v/>
      </c>
      <c r="B21" s="44">
        <f>IF(_calc!$E$23="","",IF(ISNUMBER(INDEX('Assets'!$G$4:$G$503,_calc!$E$23)),TEXT(INDEX('Assets'!$G$4:$G$503,_calc!$E$23),"yyyy-mm-dd"),""))</f>
        <v/>
      </c>
      <c r="C21" s="44">
        <f>IF(_calc!$E$23="","","Inspection")</f>
        <v/>
      </c>
      <c r="D21" s="44">
        <f>IF(_calc!$E$23="","",IF(ISNUMBER(INDEX('Assets'!$F$4:$F$503,_calc!$E$23)),TEXT(INDEX('Assets'!$F$4:$F$503,_calc!$E$23),"yyyy-mm-dd"),""))</f>
        <v/>
      </c>
      <c r="E21" s="44">
        <f>IF(_calc!$E$23="","",IF(LEN(INDEX('Assets'!$O$4:$O$503,_calc!$E$23))=0,"",INDEX('Assets'!$O$4:$O$503,_calc!$E$23)))</f>
        <v/>
      </c>
      <c r="F21" s="44">
        <f>IF(_calc!$E$23="","",TRIM(IF(LEN(IF(LEN(INDEX('Assets'!$B$4:$B$503,_calc!$E$23))=0,"",INDEX('Assets'!$B$4:$B$503,_calc!$E$23)))=0,"","Asset ID: "&amp;IF(LEN(INDEX('Assets'!$B$4:$B$503,_calc!$E$23))=0,"",INDEX('Assets'!$B$4:$B$503,_calc!$E$23))&amp;". ")&amp;IF(LEN(IF(LEN(INDEX('Assets'!$C$4:$C$503,_calc!$E$23))=0,"",INDEX('Assets'!$C$4:$C$503,_calc!$E$23)))=0,"","Location: "&amp;IF(LEN(INDEX('Assets'!$C$4:$C$503,_calc!$E$23))=0,"",INDEX('Assets'!$C$4:$C$503,_calc!$E$23))&amp;". ")&amp;IF(LEN(IF(LEN(INDEX('Assets'!$E$4:$E$503,_calc!$E$23))=0,"",INDEX('Assets'!$E$4:$E$503,_calc!$E$23)))=0,"","Every (months): "&amp;IF(LEN(INDEX('Assets'!$E$4:$E$503,_calc!$E$23))=0,"",INDEX('Assets'!$E$4:$E$503,_calc!$E$23))&amp;". ")&amp;IF(LEN(IF(LEN(INDEX('Assets'!$M$4:$M$503,_calc!$E$23))=0,"",INDEX('Assets'!$M$4:$M$503,_calc!$E$23)))=0,"","Last result: "&amp;IF(LEN(INDEX('Assets'!$M$4:$M$503,_calc!$E$23))=0,"",INDEX('Assets'!$M$4:$M$503,_calc!$E$23))&amp;". ")&amp;IF(LEN(IF(LEN(INDEX('Assets'!$Q$4:$Q$503,_calc!$E$23))=0,"",INDEX('Assets'!$Q$4:$Q$503,_calc!$E$23)))=0,"",IF(LEN(INDEX('Assets'!$Q$4:$Q$503,_calc!$E$23))=0,"",INDEX('Assets'!$Q$4:$Q$503,_calc!$E$23)))))</f>
        <v/>
      </c>
      <c r="G21" s="44">
        <f>IF(_calc!$E$23="","",IF(LEN(INDEX('Assets'!$P$4:$P$503,_calc!$E$23))=0,"",INDEX('Assets'!$P$4:$P$503,_calc!$E$23)))</f>
        <v/>
      </c>
      <c r="K21" s="44">
        <f>IF(_calc!$E$23="","",IF(LEN(INDEX('Assets'!$N$4:$N$503,_calc!$E$23))=0,"",INDEX('Assets'!$N$4:$N$503,_calc!$E$23)))</f>
        <v/>
      </c>
    </row>
    <row r="22">
      <c r="A22" s="44">
        <f>IF(_calc!$E$24="","",IF(LEN(INDEX('Assets'!$D$4:$D$503,_calc!$E$24))=0,"",INDEX('Assets'!$D$4:$D$503,_calc!$E$24))&amp;" – "&amp;IF(LEN(INDEX('Assets'!$A$4:$A$503,_calc!$E$24))=0,"",INDEX('Assets'!$A$4:$A$503,_calc!$E$24)))</f>
        <v/>
      </c>
      <c r="B22" s="44">
        <f>IF(_calc!$E$24="","",IF(ISNUMBER(INDEX('Assets'!$G$4:$G$503,_calc!$E$24)),TEXT(INDEX('Assets'!$G$4:$G$503,_calc!$E$24),"yyyy-mm-dd"),""))</f>
        <v/>
      </c>
      <c r="C22" s="44">
        <f>IF(_calc!$E$24="","","Inspection")</f>
        <v/>
      </c>
      <c r="D22" s="44">
        <f>IF(_calc!$E$24="","",IF(ISNUMBER(INDEX('Assets'!$F$4:$F$503,_calc!$E$24)),TEXT(INDEX('Assets'!$F$4:$F$503,_calc!$E$24),"yyyy-mm-dd"),""))</f>
        <v/>
      </c>
      <c r="E22" s="44">
        <f>IF(_calc!$E$24="","",IF(LEN(INDEX('Assets'!$O$4:$O$503,_calc!$E$24))=0,"",INDEX('Assets'!$O$4:$O$503,_calc!$E$24)))</f>
        <v/>
      </c>
      <c r="F22" s="44">
        <f>IF(_calc!$E$24="","",TRIM(IF(LEN(IF(LEN(INDEX('Assets'!$B$4:$B$503,_calc!$E$24))=0,"",INDEX('Assets'!$B$4:$B$503,_calc!$E$24)))=0,"","Asset ID: "&amp;IF(LEN(INDEX('Assets'!$B$4:$B$503,_calc!$E$24))=0,"",INDEX('Assets'!$B$4:$B$503,_calc!$E$24))&amp;". ")&amp;IF(LEN(IF(LEN(INDEX('Assets'!$C$4:$C$503,_calc!$E$24))=0,"",INDEX('Assets'!$C$4:$C$503,_calc!$E$24)))=0,"","Location: "&amp;IF(LEN(INDEX('Assets'!$C$4:$C$503,_calc!$E$24))=0,"",INDEX('Assets'!$C$4:$C$503,_calc!$E$24))&amp;". ")&amp;IF(LEN(IF(LEN(INDEX('Assets'!$E$4:$E$503,_calc!$E$24))=0,"",INDEX('Assets'!$E$4:$E$503,_calc!$E$24)))=0,"","Every (months): "&amp;IF(LEN(INDEX('Assets'!$E$4:$E$503,_calc!$E$24))=0,"",INDEX('Assets'!$E$4:$E$503,_calc!$E$24))&amp;". ")&amp;IF(LEN(IF(LEN(INDEX('Assets'!$M$4:$M$503,_calc!$E$24))=0,"",INDEX('Assets'!$M$4:$M$503,_calc!$E$24)))=0,"","Last result: "&amp;IF(LEN(INDEX('Assets'!$M$4:$M$503,_calc!$E$24))=0,"",INDEX('Assets'!$M$4:$M$503,_calc!$E$24))&amp;". ")&amp;IF(LEN(IF(LEN(INDEX('Assets'!$Q$4:$Q$503,_calc!$E$24))=0,"",INDEX('Assets'!$Q$4:$Q$503,_calc!$E$24)))=0,"",IF(LEN(INDEX('Assets'!$Q$4:$Q$503,_calc!$E$24))=0,"",INDEX('Assets'!$Q$4:$Q$503,_calc!$E$24)))))</f>
        <v/>
      </c>
      <c r="G22" s="44">
        <f>IF(_calc!$E$24="","",IF(LEN(INDEX('Assets'!$P$4:$P$503,_calc!$E$24))=0,"",INDEX('Assets'!$P$4:$P$503,_calc!$E$24)))</f>
        <v/>
      </c>
      <c r="K22" s="44">
        <f>IF(_calc!$E$24="","",IF(LEN(INDEX('Assets'!$N$4:$N$503,_calc!$E$24))=0,"",INDEX('Assets'!$N$4:$N$503,_calc!$E$24)))</f>
        <v/>
      </c>
    </row>
    <row r="23">
      <c r="A23" s="44">
        <f>IF(_calc!$E$25="","",IF(LEN(INDEX('Assets'!$D$4:$D$503,_calc!$E$25))=0,"",INDEX('Assets'!$D$4:$D$503,_calc!$E$25))&amp;" – "&amp;IF(LEN(INDEX('Assets'!$A$4:$A$503,_calc!$E$25))=0,"",INDEX('Assets'!$A$4:$A$503,_calc!$E$25)))</f>
        <v/>
      </c>
      <c r="B23" s="44">
        <f>IF(_calc!$E$25="","",IF(ISNUMBER(INDEX('Assets'!$G$4:$G$503,_calc!$E$25)),TEXT(INDEX('Assets'!$G$4:$G$503,_calc!$E$25),"yyyy-mm-dd"),""))</f>
        <v/>
      </c>
      <c r="C23" s="44">
        <f>IF(_calc!$E$25="","","Inspection")</f>
        <v/>
      </c>
      <c r="D23" s="44">
        <f>IF(_calc!$E$25="","",IF(ISNUMBER(INDEX('Assets'!$F$4:$F$503,_calc!$E$25)),TEXT(INDEX('Assets'!$F$4:$F$503,_calc!$E$25),"yyyy-mm-dd"),""))</f>
        <v/>
      </c>
      <c r="E23" s="44">
        <f>IF(_calc!$E$25="","",IF(LEN(INDEX('Assets'!$O$4:$O$503,_calc!$E$25))=0,"",INDEX('Assets'!$O$4:$O$503,_calc!$E$25)))</f>
        <v/>
      </c>
      <c r="F23" s="44">
        <f>IF(_calc!$E$25="","",TRIM(IF(LEN(IF(LEN(INDEX('Assets'!$B$4:$B$503,_calc!$E$25))=0,"",INDEX('Assets'!$B$4:$B$503,_calc!$E$25)))=0,"","Asset ID: "&amp;IF(LEN(INDEX('Assets'!$B$4:$B$503,_calc!$E$25))=0,"",INDEX('Assets'!$B$4:$B$503,_calc!$E$25))&amp;". ")&amp;IF(LEN(IF(LEN(INDEX('Assets'!$C$4:$C$503,_calc!$E$25))=0,"",INDEX('Assets'!$C$4:$C$503,_calc!$E$25)))=0,"","Location: "&amp;IF(LEN(INDEX('Assets'!$C$4:$C$503,_calc!$E$25))=0,"",INDEX('Assets'!$C$4:$C$503,_calc!$E$25))&amp;". ")&amp;IF(LEN(IF(LEN(INDEX('Assets'!$E$4:$E$503,_calc!$E$25))=0,"",INDEX('Assets'!$E$4:$E$503,_calc!$E$25)))=0,"","Every (months): "&amp;IF(LEN(INDEX('Assets'!$E$4:$E$503,_calc!$E$25))=0,"",INDEX('Assets'!$E$4:$E$503,_calc!$E$25))&amp;". ")&amp;IF(LEN(IF(LEN(INDEX('Assets'!$M$4:$M$503,_calc!$E$25))=0,"",INDEX('Assets'!$M$4:$M$503,_calc!$E$25)))=0,"","Last result: "&amp;IF(LEN(INDEX('Assets'!$M$4:$M$503,_calc!$E$25))=0,"",INDEX('Assets'!$M$4:$M$503,_calc!$E$25))&amp;". ")&amp;IF(LEN(IF(LEN(INDEX('Assets'!$Q$4:$Q$503,_calc!$E$25))=0,"",INDEX('Assets'!$Q$4:$Q$503,_calc!$E$25)))=0,"",IF(LEN(INDEX('Assets'!$Q$4:$Q$503,_calc!$E$25))=0,"",INDEX('Assets'!$Q$4:$Q$503,_calc!$E$25)))))</f>
        <v/>
      </c>
      <c r="G23" s="44">
        <f>IF(_calc!$E$25="","",IF(LEN(INDEX('Assets'!$P$4:$P$503,_calc!$E$25))=0,"",INDEX('Assets'!$P$4:$P$503,_calc!$E$25)))</f>
        <v/>
      </c>
      <c r="K23" s="44">
        <f>IF(_calc!$E$25="","",IF(LEN(INDEX('Assets'!$N$4:$N$503,_calc!$E$25))=0,"",INDEX('Assets'!$N$4:$N$503,_calc!$E$25)))</f>
        <v/>
      </c>
    </row>
    <row r="24">
      <c r="A24" s="44">
        <f>IF(_calc!$E$26="","",IF(LEN(INDEX('Assets'!$D$4:$D$503,_calc!$E$26))=0,"",INDEX('Assets'!$D$4:$D$503,_calc!$E$26))&amp;" – "&amp;IF(LEN(INDEX('Assets'!$A$4:$A$503,_calc!$E$26))=0,"",INDEX('Assets'!$A$4:$A$503,_calc!$E$26)))</f>
        <v/>
      </c>
      <c r="B24" s="44">
        <f>IF(_calc!$E$26="","",IF(ISNUMBER(INDEX('Assets'!$G$4:$G$503,_calc!$E$26)),TEXT(INDEX('Assets'!$G$4:$G$503,_calc!$E$26),"yyyy-mm-dd"),""))</f>
        <v/>
      </c>
      <c r="C24" s="44">
        <f>IF(_calc!$E$26="","","Inspection")</f>
        <v/>
      </c>
      <c r="D24" s="44">
        <f>IF(_calc!$E$26="","",IF(ISNUMBER(INDEX('Assets'!$F$4:$F$503,_calc!$E$26)),TEXT(INDEX('Assets'!$F$4:$F$503,_calc!$E$26),"yyyy-mm-dd"),""))</f>
        <v/>
      </c>
      <c r="E24" s="44">
        <f>IF(_calc!$E$26="","",IF(LEN(INDEX('Assets'!$O$4:$O$503,_calc!$E$26))=0,"",INDEX('Assets'!$O$4:$O$503,_calc!$E$26)))</f>
        <v/>
      </c>
      <c r="F24" s="44">
        <f>IF(_calc!$E$26="","",TRIM(IF(LEN(IF(LEN(INDEX('Assets'!$B$4:$B$503,_calc!$E$26))=0,"",INDEX('Assets'!$B$4:$B$503,_calc!$E$26)))=0,"","Asset ID: "&amp;IF(LEN(INDEX('Assets'!$B$4:$B$503,_calc!$E$26))=0,"",INDEX('Assets'!$B$4:$B$503,_calc!$E$26))&amp;". ")&amp;IF(LEN(IF(LEN(INDEX('Assets'!$C$4:$C$503,_calc!$E$26))=0,"",INDEX('Assets'!$C$4:$C$503,_calc!$E$26)))=0,"","Location: "&amp;IF(LEN(INDEX('Assets'!$C$4:$C$503,_calc!$E$26))=0,"",INDEX('Assets'!$C$4:$C$503,_calc!$E$26))&amp;". ")&amp;IF(LEN(IF(LEN(INDEX('Assets'!$E$4:$E$503,_calc!$E$26))=0,"",INDEX('Assets'!$E$4:$E$503,_calc!$E$26)))=0,"","Every (months): "&amp;IF(LEN(INDEX('Assets'!$E$4:$E$503,_calc!$E$26))=0,"",INDEX('Assets'!$E$4:$E$503,_calc!$E$26))&amp;". ")&amp;IF(LEN(IF(LEN(INDEX('Assets'!$M$4:$M$503,_calc!$E$26))=0,"",INDEX('Assets'!$M$4:$M$503,_calc!$E$26)))=0,"","Last result: "&amp;IF(LEN(INDEX('Assets'!$M$4:$M$503,_calc!$E$26))=0,"",INDEX('Assets'!$M$4:$M$503,_calc!$E$26))&amp;". ")&amp;IF(LEN(IF(LEN(INDEX('Assets'!$Q$4:$Q$503,_calc!$E$26))=0,"",INDEX('Assets'!$Q$4:$Q$503,_calc!$E$26)))=0,"",IF(LEN(INDEX('Assets'!$Q$4:$Q$503,_calc!$E$26))=0,"",INDEX('Assets'!$Q$4:$Q$503,_calc!$E$26)))))</f>
        <v/>
      </c>
      <c r="G24" s="44">
        <f>IF(_calc!$E$26="","",IF(LEN(INDEX('Assets'!$P$4:$P$503,_calc!$E$26))=0,"",INDEX('Assets'!$P$4:$P$503,_calc!$E$26)))</f>
        <v/>
      </c>
      <c r="K24" s="44">
        <f>IF(_calc!$E$26="","",IF(LEN(INDEX('Assets'!$N$4:$N$503,_calc!$E$26))=0,"",INDEX('Assets'!$N$4:$N$503,_calc!$E$26)))</f>
        <v/>
      </c>
    </row>
    <row r="25">
      <c r="A25" s="44">
        <f>IF(_calc!$E$27="","",IF(LEN(INDEX('Assets'!$D$4:$D$503,_calc!$E$27))=0,"",INDEX('Assets'!$D$4:$D$503,_calc!$E$27))&amp;" – "&amp;IF(LEN(INDEX('Assets'!$A$4:$A$503,_calc!$E$27))=0,"",INDEX('Assets'!$A$4:$A$503,_calc!$E$27)))</f>
        <v/>
      </c>
      <c r="B25" s="44">
        <f>IF(_calc!$E$27="","",IF(ISNUMBER(INDEX('Assets'!$G$4:$G$503,_calc!$E$27)),TEXT(INDEX('Assets'!$G$4:$G$503,_calc!$E$27),"yyyy-mm-dd"),""))</f>
        <v/>
      </c>
      <c r="C25" s="44">
        <f>IF(_calc!$E$27="","","Inspection")</f>
        <v/>
      </c>
      <c r="D25" s="44">
        <f>IF(_calc!$E$27="","",IF(ISNUMBER(INDEX('Assets'!$F$4:$F$503,_calc!$E$27)),TEXT(INDEX('Assets'!$F$4:$F$503,_calc!$E$27),"yyyy-mm-dd"),""))</f>
        <v/>
      </c>
      <c r="E25" s="44">
        <f>IF(_calc!$E$27="","",IF(LEN(INDEX('Assets'!$O$4:$O$503,_calc!$E$27))=0,"",INDEX('Assets'!$O$4:$O$503,_calc!$E$27)))</f>
        <v/>
      </c>
      <c r="F25" s="44">
        <f>IF(_calc!$E$27="","",TRIM(IF(LEN(IF(LEN(INDEX('Assets'!$B$4:$B$503,_calc!$E$27))=0,"",INDEX('Assets'!$B$4:$B$503,_calc!$E$27)))=0,"","Asset ID: "&amp;IF(LEN(INDEX('Assets'!$B$4:$B$503,_calc!$E$27))=0,"",INDEX('Assets'!$B$4:$B$503,_calc!$E$27))&amp;". ")&amp;IF(LEN(IF(LEN(INDEX('Assets'!$C$4:$C$503,_calc!$E$27))=0,"",INDEX('Assets'!$C$4:$C$503,_calc!$E$27)))=0,"","Location: "&amp;IF(LEN(INDEX('Assets'!$C$4:$C$503,_calc!$E$27))=0,"",INDEX('Assets'!$C$4:$C$503,_calc!$E$27))&amp;". ")&amp;IF(LEN(IF(LEN(INDEX('Assets'!$E$4:$E$503,_calc!$E$27))=0,"",INDEX('Assets'!$E$4:$E$503,_calc!$E$27)))=0,"","Every (months): "&amp;IF(LEN(INDEX('Assets'!$E$4:$E$503,_calc!$E$27))=0,"",INDEX('Assets'!$E$4:$E$503,_calc!$E$27))&amp;". ")&amp;IF(LEN(IF(LEN(INDEX('Assets'!$M$4:$M$503,_calc!$E$27))=0,"",INDEX('Assets'!$M$4:$M$503,_calc!$E$27)))=0,"","Last result: "&amp;IF(LEN(INDEX('Assets'!$M$4:$M$503,_calc!$E$27))=0,"",INDEX('Assets'!$M$4:$M$503,_calc!$E$27))&amp;". ")&amp;IF(LEN(IF(LEN(INDEX('Assets'!$Q$4:$Q$503,_calc!$E$27))=0,"",INDEX('Assets'!$Q$4:$Q$503,_calc!$E$27)))=0,"",IF(LEN(INDEX('Assets'!$Q$4:$Q$503,_calc!$E$27))=0,"",INDEX('Assets'!$Q$4:$Q$503,_calc!$E$27)))))</f>
        <v/>
      </c>
      <c r="G25" s="44">
        <f>IF(_calc!$E$27="","",IF(LEN(INDEX('Assets'!$P$4:$P$503,_calc!$E$27))=0,"",INDEX('Assets'!$P$4:$P$503,_calc!$E$27)))</f>
        <v/>
      </c>
      <c r="K25" s="44">
        <f>IF(_calc!$E$27="","",IF(LEN(INDEX('Assets'!$N$4:$N$503,_calc!$E$27))=0,"",INDEX('Assets'!$N$4:$N$503,_calc!$E$27)))</f>
        <v/>
      </c>
    </row>
    <row r="26">
      <c r="A26" s="44">
        <f>IF(_calc!$E$28="","",IF(LEN(INDEX('Assets'!$D$4:$D$503,_calc!$E$28))=0,"",INDEX('Assets'!$D$4:$D$503,_calc!$E$28))&amp;" – "&amp;IF(LEN(INDEX('Assets'!$A$4:$A$503,_calc!$E$28))=0,"",INDEX('Assets'!$A$4:$A$503,_calc!$E$28)))</f>
        <v/>
      </c>
      <c r="B26" s="44">
        <f>IF(_calc!$E$28="","",IF(ISNUMBER(INDEX('Assets'!$G$4:$G$503,_calc!$E$28)),TEXT(INDEX('Assets'!$G$4:$G$503,_calc!$E$28),"yyyy-mm-dd"),""))</f>
        <v/>
      </c>
      <c r="C26" s="44">
        <f>IF(_calc!$E$28="","","Inspection")</f>
        <v/>
      </c>
      <c r="D26" s="44">
        <f>IF(_calc!$E$28="","",IF(ISNUMBER(INDEX('Assets'!$F$4:$F$503,_calc!$E$28)),TEXT(INDEX('Assets'!$F$4:$F$503,_calc!$E$28),"yyyy-mm-dd"),""))</f>
        <v/>
      </c>
      <c r="E26" s="44">
        <f>IF(_calc!$E$28="","",IF(LEN(INDEX('Assets'!$O$4:$O$503,_calc!$E$28))=0,"",INDEX('Assets'!$O$4:$O$503,_calc!$E$28)))</f>
        <v/>
      </c>
      <c r="F26" s="44">
        <f>IF(_calc!$E$28="","",TRIM(IF(LEN(IF(LEN(INDEX('Assets'!$B$4:$B$503,_calc!$E$28))=0,"",INDEX('Assets'!$B$4:$B$503,_calc!$E$28)))=0,"","Asset ID: "&amp;IF(LEN(INDEX('Assets'!$B$4:$B$503,_calc!$E$28))=0,"",INDEX('Assets'!$B$4:$B$503,_calc!$E$28))&amp;". ")&amp;IF(LEN(IF(LEN(INDEX('Assets'!$C$4:$C$503,_calc!$E$28))=0,"",INDEX('Assets'!$C$4:$C$503,_calc!$E$28)))=0,"","Location: "&amp;IF(LEN(INDEX('Assets'!$C$4:$C$503,_calc!$E$28))=0,"",INDEX('Assets'!$C$4:$C$503,_calc!$E$28))&amp;". ")&amp;IF(LEN(IF(LEN(INDEX('Assets'!$E$4:$E$503,_calc!$E$28))=0,"",INDEX('Assets'!$E$4:$E$503,_calc!$E$28)))=0,"","Every (months): "&amp;IF(LEN(INDEX('Assets'!$E$4:$E$503,_calc!$E$28))=0,"",INDEX('Assets'!$E$4:$E$503,_calc!$E$28))&amp;". ")&amp;IF(LEN(IF(LEN(INDEX('Assets'!$M$4:$M$503,_calc!$E$28))=0,"",INDEX('Assets'!$M$4:$M$503,_calc!$E$28)))=0,"","Last result: "&amp;IF(LEN(INDEX('Assets'!$M$4:$M$503,_calc!$E$28))=0,"",INDEX('Assets'!$M$4:$M$503,_calc!$E$28))&amp;". ")&amp;IF(LEN(IF(LEN(INDEX('Assets'!$Q$4:$Q$503,_calc!$E$28))=0,"",INDEX('Assets'!$Q$4:$Q$503,_calc!$E$28)))=0,"",IF(LEN(INDEX('Assets'!$Q$4:$Q$503,_calc!$E$28))=0,"",INDEX('Assets'!$Q$4:$Q$503,_calc!$E$28)))))</f>
        <v/>
      </c>
      <c r="G26" s="44">
        <f>IF(_calc!$E$28="","",IF(LEN(INDEX('Assets'!$P$4:$P$503,_calc!$E$28))=0,"",INDEX('Assets'!$P$4:$P$503,_calc!$E$28)))</f>
        <v/>
      </c>
      <c r="K26" s="44">
        <f>IF(_calc!$E$28="","",IF(LEN(INDEX('Assets'!$N$4:$N$503,_calc!$E$28))=0,"",INDEX('Assets'!$N$4:$N$503,_calc!$E$28)))</f>
        <v/>
      </c>
    </row>
    <row r="27">
      <c r="A27" s="44">
        <f>IF(_calc!$E$29="","",IF(LEN(INDEX('Assets'!$D$4:$D$503,_calc!$E$29))=0,"",INDEX('Assets'!$D$4:$D$503,_calc!$E$29))&amp;" – "&amp;IF(LEN(INDEX('Assets'!$A$4:$A$503,_calc!$E$29))=0,"",INDEX('Assets'!$A$4:$A$503,_calc!$E$29)))</f>
        <v/>
      </c>
      <c r="B27" s="44">
        <f>IF(_calc!$E$29="","",IF(ISNUMBER(INDEX('Assets'!$G$4:$G$503,_calc!$E$29)),TEXT(INDEX('Assets'!$G$4:$G$503,_calc!$E$29),"yyyy-mm-dd"),""))</f>
        <v/>
      </c>
      <c r="C27" s="44">
        <f>IF(_calc!$E$29="","","Inspection")</f>
        <v/>
      </c>
      <c r="D27" s="44">
        <f>IF(_calc!$E$29="","",IF(ISNUMBER(INDEX('Assets'!$F$4:$F$503,_calc!$E$29)),TEXT(INDEX('Assets'!$F$4:$F$503,_calc!$E$29),"yyyy-mm-dd"),""))</f>
        <v/>
      </c>
      <c r="E27" s="44">
        <f>IF(_calc!$E$29="","",IF(LEN(INDEX('Assets'!$O$4:$O$503,_calc!$E$29))=0,"",INDEX('Assets'!$O$4:$O$503,_calc!$E$29)))</f>
        <v/>
      </c>
      <c r="F27" s="44">
        <f>IF(_calc!$E$29="","",TRIM(IF(LEN(IF(LEN(INDEX('Assets'!$B$4:$B$503,_calc!$E$29))=0,"",INDEX('Assets'!$B$4:$B$503,_calc!$E$29)))=0,"","Asset ID: "&amp;IF(LEN(INDEX('Assets'!$B$4:$B$503,_calc!$E$29))=0,"",INDEX('Assets'!$B$4:$B$503,_calc!$E$29))&amp;". ")&amp;IF(LEN(IF(LEN(INDEX('Assets'!$C$4:$C$503,_calc!$E$29))=0,"",INDEX('Assets'!$C$4:$C$503,_calc!$E$29)))=0,"","Location: "&amp;IF(LEN(INDEX('Assets'!$C$4:$C$503,_calc!$E$29))=0,"",INDEX('Assets'!$C$4:$C$503,_calc!$E$29))&amp;". ")&amp;IF(LEN(IF(LEN(INDEX('Assets'!$E$4:$E$503,_calc!$E$29))=0,"",INDEX('Assets'!$E$4:$E$503,_calc!$E$29)))=0,"","Every (months): "&amp;IF(LEN(INDEX('Assets'!$E$4:$E$503,_calc!$E$29))=0,"",INDEX('Assets'!$E$4:$E$503,_calc!$E$29))&amp;". ")&amp;IF(LEN(IF(LEN(INDEX('Assets'!$M$4:$M$503,_calc!$E$29))=0,"",INDEX('Assets'!$M$4:$M$503,_calc!$E$29)))=0,"","Last result: "&amp;IF(LEN(INDEX('Assets'!$M$4:$M$503,_calc!$E$29))=0,"",INDEX('Assets'!$M$4:$M$503,_calc!$E$29))&amp;". ")&amp;IF(LEN(IF(LEN(INDEX('Assets'!$Q$4:$Q$503,_calc!$E$29))=0,"",INDEX('Assets'!$Q$4:$Q$503,_calc!$E$29)))=0,"",IF(LEN(INDEX('Assets'!$Q$4:$Q$503,_calc!$E$29))=0,"",INDEX('Assets'!$Q$4:$Q$503,_calc!$E$29)))))</f>
        <v/>
      </c>
      <c r="G27" s="44">
        <f>IF(_calc!$E$29="","",IF(LEN(INDEX('Assets'!$P$4:$P$503,_calc!$E$29))=0,"",INDEX('Assets'!$P$4:$P$503,_calc!$E$29)))</f>
        <v/>
      </c>
      <c r="K27" s="44">
        <f>IF(_calc!$E$29="","",IF(LEN(INDEX('Assets'!$N$4:$N$503,_calc!$E$29))=0,"",INDEX('Assets'!$N$4:$N$503,_calc!$E$29)))</f>
        <v/>
      </c>
    </row>
    <row r="28">
      <c r="A28" s="44">
        <f>IF(_calc!$E$30="","",IF(LEN(INDEX('Assets'!$D$4:$D$503,_calc!$E$30))=0,"",INDEX('Assets'!$D$4:$D$503,_calc!$E$30))&amp;" – "&amp;IF(LEN(INDEX('Assets'!$A$4:$A$503,_calc!$E$30))=0,"",INDEX('Assets'!$A$4:$A$503,_calc!$E$30)))</f>
        <v/>
      </c>
      <c r="B28" s="44">
        <f>IF(_calc!$E$30="","",IF(ISNUMBER(INDEX('Assets'!$G$4:$G$503,_calc!$E$30)),TEXT(INDEX('Assets'!$G$4:$G$503,_calc!$E$30),"yyyy-mm-dd"),""))</f>
        <v/>
      </c>
      <c r="C28" s="44">
        <f>IF(_calc!$E$30="","","Inspection")</f>
        <v/>
      </c>
      <c r="D28" s="44">
        <f>IF(_calc!$E$30="","",IF(ISNUMBER(INDEX('Assets'!$F$4:$F$503,_calc!$E$30)),TEXT(INDEX('Assets'!$F$4:$F$503,_calc!$E$30),"yyyy-mm-dd"),""))</f>
        <v/>
      </c>
      <c r="E28" s="44">
        <f>IF(_calc!$E$30="","",IF(LEN(INDEX('Assets'!$O$4:$O$503,_calc!$E$30))=0,"",INDEX('Assets'!$O$4:$O$503,_calc!$E$30)))</f>
        <v/>
      </c>
      <c r="F28" s="44">
        <f>IF(_calc!$E$30="","",TRIM(IF(LEN(IF(LEN(INDEX('Assets'!$B$4:$B$503,_calc!$E$30))=0,"",INDEX('Assets'!$B$4:$B$503,_calc!$E$30)))=0,"","Asset ID: "&amp;IF(LEN(INDEX('Assets'!$B$4:$B$503,_calc!$E$30))=0,"",INDEX('Assets'!$B$4:$B$503,_calc!$E$30))&amp;". ")&amp;IF(LEN(IF(LEN(INDEX('Assets'!$C$4:$C$503,_calc!$E$30))=0,"",INDEX('Assets'!$C$4:$C$503,_calc!$E$30)))=0,"","Location: "&amp;IF(LEN(INDEX('Assets'!$C$4:$C$503,_calc!$E$30))=0,"",INDEX('Assets'!$C$4:$C$503,_calc!$E$30))&amp;". ")&amp;IF(LEN(IF(LEN(INDEX('Assets'!$E$4:$E$503,_calc!$E$30))=0,"",INDEX('Assets'!$E$4:$E$503,_calc!$E$30)))=0,"","Every (months): "&amp;IF(LEN(INDEX('Assets'!$E$4:$E$503,_calc!$E$30))=0,"",INDEX('Assets'!$E$4:$E$503,_calc!$E$30))&amp;". ")&amp;IF(LEN(IF(LEN(INDEX('Assets'!$M$4:$M$503,_calc!$E$30))=0,"",INDEX('Assets'!$M$4:$M$503,_calc!$E$30)))=0,"","Last result: "&amp;IF(LEN(INDEX('Assets'!$M$4:$M$503,_calc!$E$30))=0,"",INDEX('Assets'!$M$4:$M$503,_calc!$E$30))&amp;". ")&amp;IF(LEN(IF(LEN(INDEX('Assets'!$Q$4:$Q$503,_calc!$E$30))=0,"",INDEX('Assets'!$Q$4:$Q$503,_calc!$E$30)))=0,"",IF(LEN(INDEX('Assets'!$Q$4:$Q$503,_calc!$E$30))=0,"",INDEX('Assets'!$Q$4:$Q$503,_calc!$E$30)))))</f>
        <v/>
      </c>
      <c r="G28" s="44">
        <f>IF(_calc!$E$30="","",IF(LEN(INDEX('Assets'!$P$4:$P$503,_calc!$E$30))=0,"",INDEX('Assets'!$P$4:$P$503,_calc!$E$30)))</f>
        <v/>
      </c>
      <c r="K28" s="44">
        <f>IF(_calc!$E$30="","",IF(LEN(INDEX('Assets'!$N$4:$N$503,_calc!$E$30))=0,"",INDEX('Assets'!$N$4:$N$503,_calc!$E$30)))</f>
        <v/>
      </c>
    </row>
    <row r="29">
      <c r="A29" s="44">
        <f>IF(_calc!$E$31="","",IF(LEN(INDEX('Assets'!$D$4:$D$503,_calc!$E$31))=0,"",INDEX('Assets'!$D$4:$D$503,_calc!$E$31))&amp;" – "&amp;IF(LEN(INDEX('Assets'!$A$4:$A$503,_calc!$E$31))=0,"",INDEX('Assets'!$A$4:$A$503,_calc!$E$31)))</f>
        <v/>
      </c>
      <c r="B29" s="44">
        <f>IF(_calc!$E$31="","",IF(ISNUMBER(INDEX('Assets'!$G$4:$G$503,_calc!$E$31)),TEXT(INDEX('Assets'!$G$4:$G$503,_calc!$E$31),"yyyy-mm-dd"),""))</f>
        <v/>
      </c>
      <c r="C29" s="44">
        <f>IF(_calc!$E$31="","","Inspection")</f>
        <v/>
      </c>
      <c r="D29" s="44">
        <f>IF(_calc!$E$31="","",IF(ISNUMBER(INDEX('Assets'!$F$4:$F$503,_calc!$E$31)),TEXT(INDEX('Assets'!$F$4:$F$503,_calc!$E$31),"yyyy-mm-dd"),""))</f>
        <v/>
      </c>
      <c r="E29" s="44">
        <f>IF(_calc!$E$31="","",IF(LEN(INDEX('Assets'!$O$4:$O$503,_calc!$E$31))=0,"",INDEX('Assets'!$O$4:$O$503,_calc!$E$31)))</f>
        <v/>
      </c>
      <c r="F29" s="44">
        <f>IF(_calc!$E$31="","",TRIM(IF(LEN(IF(LEN(INDEX('Assets'!$B$4:$B$503,_calc!$E$31))=0,"",INDEX('Assets'!$B$4:$B$503,_calc!$E$31)))=0,"","Asset ID: "&amp;IF(LEN(INDEX('Assets'!$B$4:$B$503,_calc!$E$31))=0,"",INDEX('Assets'!$B$4:$B$503,_calc!$E$31))&amp;". ")&amp;IF(LEN(IF(LEN(INDEX('Assets'!$C$4:$C$503,_calc!$E$31))=0,"",INDEX('Assets'!$C$4:$C$503,_calc!$E$31)))=0,"","Location: "&amp;IF(LEN(INDEX('Assets'!$C$4:$C$503,_calc!$E$31))=0,"",INDEX('Assets'!$C$4:$C$503,_calc!$E$31))&amp;". ")&amp;IF(LEN(IF(LEN(INDEX('Assets'!$E$4:$E$503,_calc!$E$31))=0,"",INDEX('Assets'!$E$4:$E$503,_calc!$E$31)))=0,"","Every (months): "&amp;IF(LEN(INDEX('Assets'!$E$4:$E$503,_calc!$E$31))=0,"",INDEX('Assets'!$E$4:$E$503,_calc!$E$31))&amp;". ")&amp;IF(LEN(IF(LEN(INDEX('Assets'!$M$4:$M$503,_calc!$E$31))=0,"",INDEX('Assets'!$M$4:$M$503,_calc!$E$31)))=0,"","Last result: "&amp;IF(LEN(INDEX('Assets'!$M$4:$M$503,_calc!$E$31))=0,"",INDEX('Assets'!$M$4:$M$503,_calc!$E$31))&amp;". ")&amp;IF(LEN(IF(LEN(INDEX('Assets'!$Q$4:$Q$503,_calc!$E$31))=0,"",INDEX('Assets'!$Q$4:$Q$503,_calc!$E$31)))=0,"",IF(LEN(INDEX('Assets'!$Q$4:$Q$503,_calc!$E$31))=0,"",INDEX('Assets'!$Q$4:$Q$503,_calc!$E$31)))))</f>
        <v/>
      </c>
      <c r="G29" s="44">
        <f>IF(_calc!$E$31="","",IF(LEN(INDEX('Assets'!$P$4:$P$503,_calc!$E$31))=0,"",INDEX('Assets'!$P$4:$P$503,_calc!$E$31)))</f>
        <v/>
      </c>
      <c r="K29" s="44">
        <f>IF(_calc!$E$31="","",IF(LEN(INDEX('Assets'!$N$4:$N$503,_calc!$E$31))=0,"",INDEX('Assets'!$N$4:$N$503,_calc!$E$31)))</f>
        <v/>
      </c>
    </row>
    <row r="30">
      <c r="A30" s="44">
        <f>IF(_calc!$E$32="","",IF(LEN(INDEX('Assets'!$D$4:$D$503,_calc!$E$32))=0,"",INDEX('Assets'!$D$4:$D$503,_calc!$E$32))&amp;" – "&amp;IF(LEN(INDEX('Assets'!$A$4:$A$503,_calc!$E$32))=0,"",INDEX('Assets'!$A$4:$A$503,_calc!$E$32)))</f>
        <v/>
      </c>
      <c r="B30" s="44">
        <f>IF(_calc!$E$32="","",IF(ISNUMBER(INDEX('Assets'!$G$4:$G$503,_calc!$E$32)),TEXT(INDEX('Assets'!$G$4:$G$503,_calc!$E$32),"yyyy-mm-dd"),""))</f>
        <v/>
      </c>
      <c r="C30" s="44">
        <f>IF(_calc!$E$32="","","Inspection")</f>
        <v/>
      </c>
      <c r="D30" s="44">
        <f>IF(_calc!$E$32="","",IF(ISNUMBER(INDEX('Assets'!$F$4:$F$503,_calc!$E$32)),TEXT(INDEX('Assets'!$F$4:$F$503,_calc!$E$32),"yyyy-mm-dd"),""))</f>
        <v/>
      </c>
      <c r="E30" s="44">
        <f>IF(_calc!$E$32="","",IF(LEN(INDEX('Assets'!$O$4:$O$503,_calc!$E$32))=0,"",INDEX('Assets'!$O$4:$O$503,_calc!$E$32)))</f>
        <v/>
      </c>
      <c r="F30" s="44">
        <f>IF(_calc!$E$32="","",TRIM(IF(LEN(IF(LEN(INDEX('Assets'!$B$4:$B$503,_calc!$E$32))=0,"",INDEX('Assets'!$B$4:$B$503,_calc!$E$32)))=0,"","Asset ID: "&amp;IF(LEN(INDEX('Assets'!$B$4:$B$503,_calc!$E$32))=0,"",INDEX('Assets'!$B$4:$B$503,_calc!$E$32))&amp;". ")&amp;IF(LEN(IF(LEN(INDEX('Assets'!$C$4:$C$503,_calc!$E$32))=0,"",INDEX('Assets'!$C$4:$C$503,_calc!$E$32)))=0,"","Location: "&amp;IF(LEN(INDEX('Assets'!$C$4:$C$503,_calc!$E$32))=0,"",INDEX('Assets'!$C$4:$C$503,_calc!$E$32))&amp;". ")&amp;IF(LEN(IF(LEN(INDEX('Assets'!$E$4:$E$503,_calc!$E$32))=0,"",INDEX('Assets'!$E$4:$E$503,_calc!$E$32)))=0,"","Every (months): "&amp;IF(LEN(INDEX('Assets'!$E$4:$E$503,_calc!$E$32))=0,"",INDEX('Assets'!$E$4:$E$503,_calc!$E$32))&amp;". ")&amp;IF(LEN(IF(LEN(INDEX('Assets'!$M$4:$M$503,_calc!$E$32))=0,"",INDEX('Assets'!$M$4:$M$503,_calc!$E$32)))=0,"","Last result: "&amp;IF(LEN(INDEX('Assets'!$M$4:$M$503,_calc!$E$32))=0,"",INDEX('Assets'!$M$4:$M$503,_calc!$E$32))&amp;". ")&amp;IF(LEN(IF(LEN(INDEX('Assets'!$Q$4:$Q$503,_calc!$E$32))=0,"",INDEX('Assets'!$Q$4:$Q$503,_calc!$E$32)))=0,"",IF(LEN(INDEX('Assets'!$Q$4:$Q$503,_calc!$E$32))=0,"",INDEX('Assets'!$Q$4:$Q$503,_calc!$E$32)))))</f>
        <v/>
      </c>
      <c r="G30" s="44">
        <f>IF(_calc!$E$32="","",IF(LEN(INDEX('Assets'!$P$4:$P$503,_calc!$E$32))=0,"",INDEX('Assets'!$P$4:$P$503,_calc!$E$32)))</f>
        <v/>
      </c>
      <c r="K30" s="44">
        <f>IF(_calc!$E$32="","",IF(LEN(INDEX('Assets'!$N$4:$N$503,_calc!$E$32))=0,"",INDEX('Assets'!$N$4:$N$503,_calc!$E$32)))</f>
        <v/>
      </c>
    </row>
    <row r="31">
      <c r="A31" s="44">
        <f>IF(_calc!$E$33="","",IF(LEN(INDEX('Assets'!$D$4:$D$503,_calc!$E$33))=0,"",INDEX('Assets'!$D$4:$D$503,_calc!$E$33))&amp;" – "&amp;IF(LEN(INDEX('Assets'!$A$4:$A$503,_calc!$E$33))=0,"",INDEX('Assets'!$A$4:$A$503,_calc!$E$33)))</f>
        <v/>
      </c>
      <c r="B31" s="44">
        <f>IF(_calc!$E$33="","",IF(ISNUMBER(INDEX('Assets'!$G$4:$G$503,_calc!$E$33)),TEXT(INDEX('Assets'!$G$4:$G$503,_calc!$E$33),"yyyy-mm-dd"),""))</f>
        <v/>
      </c>
      <c r="C31" s="44">
        <f>IF(_calc!$E$33="","","Inspection")</f>
        <v/>
      </c>
      <c r="D31" s="44">
        <f>IF(_calc!$E$33="","",IF(ISNUMBER(INDEX('Assets'!$F$4:$F$503,_calc!$E$33)),TEXT(INDEX('Assets'!$F$4:$F$503,_calc!$E$33),"yyyy-mm-dd"),""))</f>
        <v/>
      </c>
      <c r="E31" s="44">
        <f>IF(_calc!$E$33="","",IF(LEN(INDEX('Assets'!$O$4:$O$503,_calc!$E$33))=0,"",INDEX('Assets'!$O$4:$O$503,_calc!$E$33)))</f>
        <v/>
      </c>
      <c r="F31" s="44">
        <f>IF(_calc!$E$33="","",TRIM(IF(LEN(IF(LEN(INDEX('Assets'!$B$4:$B$503,_calc!$E$33))=0,"",INDEX('Assets'!$B$4:$B$503,_calc!$E$33)))=0,"","Asset ID: "&amp;IF(LEN(INDEX('Assets'!$B$4:$B$503,_calc!$E$33))=0,"",INDEX('Assets'!$B$4:$B$503,_calc!$E$33))&amp;". ")&amp;IF(LEN(IF(LEN(INDEX('Assets'!$C$4:$C$503,_calc!$E$33))=0,"",INDEX('Assets'!$C$4:$C$503,_calc!$E$33)))=0,"","Location: "&amp;IF(LEN(INDEX('Assets'!$C$4:$C$503,_calc!$E$33))=0,"",INDEX('Assets'!$C$4:$C$503,_calc!$E$33))&amp;". ")&amp;IF(LEN(IF(LEN(INDEX('Assets'!$E$4:$E$503,_calc!$E$33))=0,"",INDEX('Assets'!$E$4:$E$503,_calc!$E$33)))=0,"","Every (months): "&amp;IF(LEN(INDEX('Assets'!$E$4:$E$503,_calc!$E$33))=0,"",INDEX('Assets'!$E$4:$E$503,_calc!$E$33))&amp;". ")&amp;IF(LEN(IF(LEN(INDEX('Assets'!$M$4:$M$503,_calc!$E$33))=0,"",INDEX('Assets'!$M$4:$M$503,_calc!$E$33)))=0,"","Last result: "&amp;IF(LEN(INDEX('Assets'!$M$4:$M$503,_calc!$E$33))=0,"",INDEX('Assets'!$M$4:$M$503,_calc!$E$33))&amp;". ")&amp;IF(LEN(IF(LEN(INDEX('Assets'!$Q$4:$Q$503,_calc!$E$33))=0,"",INDEX('Assets'!$Q$4:$Q$503,_calc!$E$33)))=0,"",IF(LEN(INDEX('Assets'!$Q$4:$Q$503,_calc!$E$33))=0,"",INDEX('Assets'!$Q$4:$Q$503,_calc!$E$33)))))</f>
        <v/>
      </c>
      <c r="G31" s="44">
        <f>IF(_calc!$E$33="","",IF(LEN(INDEX('Assets'!$P$4:$P$503,_calc!$E$33))=0,"",INDEX('Assets'!$P$4:$P$503,_calc!$E$33)))</f>
        <v/>
      </c>
      <c r="K31" s="44">
        <f>IF(_calc!$E$33="","",IF(LEN(INDEX('Assets'!$N$4:$N$503,_calc!$E$33))=0,"",INDEX('Assets'!$N$4:$N$503,_calc!$E$33)))</f>
        <v/>
      </c>
    </row>
    <row r="32">
      <c r="A32" s="44">
        <f>IF(_calc!$E$34="","",IF(LEN(INDEX('Assets'!$D$4:$D$503,_calc!$E$34))=0,"",INDEX('Assets'!$D$4:$D$503,_calc!$E$34))&amp;" – "&amp;IF(LEN(INDEX('Assets'!$A$4:$A$503,_calc!$E$34))=0,"",INDEX('Assets'!$A$4:$A$503,_calc!$E$34)))</f>
        <v/>
      </c>
      <c r="B32" s="44">
        <f>IF(_calc!$E$34="","",IF(ISNUMBER(INDEX('Assets'!$G$4:$G$503,_calc!$E$34)),TEXT(INDEX('Assets'!$G$4:$G$503,_calc!$E$34),"yyyy-mm-dd"),""))</f>
        <v/>
      </c>
      <c r="C32" s="44">
        <f>IF(_calc!$E$34="","","Inspection")</f>
        <v/>
      </c>
      <c r="D32" s="44">
        <f>IF(_calc!$E$34="","",IF(ISNUMBER(INDEX('Assets'!$F$4:$F$503,_calc!$E$34)),TEXT(INDEX('Assets'!$F$4:$F$503,_calc!$E$34),"yyyy-mm-dd"),""))</f>
        <v/>
      </c>
      <c r="E32" s="44">
        <f>IF(_calc!$E$34="","",IF(LEN(INDEX('Assets'!$O$4:$O$503,_calc!$E$34))=0,"",INDEX('Assets'!$O$4:$O$503,_calc!$E$34)))</f>
        <v/>
      </c>
      <c r="F32" s="44">
        <f>IF(_calc!$E$34="","",TRIM(IF(LEN(IF(LEN(INDEX('Assets'!$B$4:$B$503,_calc!$E$34))=0,"",INDEX('Assets'!$B$4:$B$503,_calc!$E$34)))=0,"","Asset ID: "&amp;IF(LEN(INDEX('Assets'!$B$4:$B$503,_calc!$E$34))=0,"",INDEX('Assets'!$B$4:$B$503,_calc!$E$34))&amp;". ")&amp;IF(LEN(IF(LEN(INDEX('Assets'!$C$4:$C$503,_calc!$E$34))=0,"",INDEX('Assets'!$C$4:$C$503,_calc!$E$34)))=0,"","Location: "&amp;IF(LEN(INDEX('Assets'!$C$4:$C$503,_calc!$E$34))=0,"",INDEX('Assets'!$C$4:$C$503,_calc!$E$34))&amp;". ")&amp;IF(LEN(IF(LEN(INDEX('Assets'!$E$4:$E$503,_calc!$E$34))=0,"",INDEX('Assets'!$E$4:$E$503,_calc!$E$34)))=0,"","Every (months): "&amp;IF(LEN(INDEX('Assets'!$E$4:$E$503,_calc!$E$34))=0,"",INDEX('Assets'!$E$4:$E$503,_calc!$E$34))&amp;". ")&amp;IF(LEN(IF(LEN(INDEX('Assets'!$M$4:$M$503,_calc!$E$34))=0,"",INDEX('Assets'!$M$4:$M$503,_calc!$E$34)))=0,"","Last result: "&amp;IF(LEN(INDEX('Assets'!$M$4:$M$503,_calc!$E$34))=0,"",INDEX('Assets'!$M$4:$M$503,_calc!$E$34))&amp;". ")&amp;IF(LEN(IF(LEN(INDEX('Assets'!$Q$4:$Q$503,_calc!$E$34))=0,"",INDEX('Assets'!$Q$4:$Q$503,_calc!$E$34)))=0,"",IF(LEN(INDEX('Assets'!$Q$4:$Q$503,_calc!$E$34))=0,"",INDEX('Assets'!$Q$4:$Q$503,_calc!$E$34)))))</f>
        <v/>
      </c>
      <c r="G32" s="44">
        <f>IF(_calc!$E$34="","",IF(LEN(INDEX('Assets'!$P$4:$P$503,_calc!$E$34))=0,"",INDEX('Assets'!$P$4:$P$503,_calc!$E$34)))</f>
        <v/>
      </c>
      <c r="K32" s="44">
        <f>IF(_calc!$E$34="","",IF(LEN(INDEX('Assets'!$N$4:$N$503,_calc!$E$34))=0,"",INDEX('Assets'!$N$4:$N$503,_calc!$E$34)))</f>
        <v/>
      </c>
    </row>
    <row r="33">
      <c r="A33" s="44">
        <f>IF(_calc!$E$35="","",IF(LEN(INDEX('Assets'!$D$4:$D$503,_calc!$E$35))=0,"",INDEX('Assets'!$D$4:$D$503,_calc!$E$35))&amp;" – "&amp;IF(LEN(INDEX('Assets'!$A$4:$A$503,_calc!$E$35))=0,"",INDEX('Assets'!$A$4:$A$503,_calc!$E$35)))</f>
        <v/>
      </c>
      <c r="B33" s="44">
        <f>IF(_calc!$E$35="","",IF(ISNUMBER(INDEX('Assets'!$G$4:$G$503,_calc!$E$35)),TEXT(INDEX('Assets'!$G$4:$G$503,_calc!$E$35),"yyyy-mm-dd"),""))</f>
        <v/>
      </c>
      <c r="C33" s="44">
        <f>IF(_calc!$E$35="","","Inspection")</f>
        <v/>
      </c>
      <c r="D33" s="44">
        <f>IF(_calc!$E$35="","",IF(ISNUMBER(INDEX('Assets'!$F$4:$F$503,_calc!$E$35)),TEXT(INDEX('Assets'!$F$4:$F$503,_calc!$E$35),"yyyy-mm-dd"),""))</f>
        <v/>
      </c>
      <c r="E33" s="44">
        <f>IF(_calc!$E$35="","",IF(LEN(INDEX('Assets'!$O$4:$O$503,_calc!$E$35))=0,"",INDEX('Assets'!$O$4:$O$503,_calc!$E$35)))</f>
        <v/>
      </c>
      <c r="F33" s="44">
        <f>IF(_calc!$E$35="","",TRIM(IF(LEN(IF(LEN(INDEX('Assets'!$B$4:$B$503,_calc!$E$35))=0,"",INDEX('Assets'!$B$4:$B$503,_calc!$E$35)))=0,"","Asset ID: "&amp;IF(LEN(INDEX('Assets'!$B$4:$B$503,_calc!$E$35))=0,"",INDEX('Assets'!$B$4:$B$503,_calc!$E$35))&amp;". ")&amp;IF(LEN(IF(LEN(INDEX('Assets'!$C$4:$C$503,_calc!$E$35))=0,"",INDEX('Assets'!$C$4:$C$503,_calc!$E$35)))=0,"","Location: "&amp;IF(LEN(INDEX('Assets'!$C$4:$C$503,_calc!$E$35))=0,"",INDEX('Assets'!$C$4:$C$503,_calc!$E$35))&amp;". ")&amp;IF(LEN(IF(LEN(INDEX('Assets'!$E$4:$E$503,_calc!$E$35))=0,"",INDEX('Assets'!$E$4:$E$503,_calc!$E$35)))=0,"","Every (months): "&amp;IF(LEN(INDEX('Assets'!$E$4:$E$503,_calc!$E$35))=0,"",INDEX('Assets'!$E$4:$E$503,_calc!$E$35))&amp;". ")&amp;IF(LEN(IF(LEN(INDEX('Assets'!$M$4:$M$503,_calc!$E$35))=0,"",INDEX('Assets'!$M$4:$M$503,_calc!$E$35)))=0,"","Last result: "&amp;IF(LEN(INDEX('Assets'!$M$4:$M$503,_calc!$E$35))=0,"",INDEX('Assets'!$M$4:$M$503,_calc!$E$35))&amp;". ")&amp;IF(LEN(IF(LEN(INDEX('Assets'!$Q$4:$Q$503,_calc!$E$35))=0,"",INDEX('Assets'!$Q$4:$Q$503,_calc!$E$35)))=0,"",IF(LEN(INDEX('Assets'!$Q$4:$Q$503,_calc!$E$35))=0,"",INDEX('Assets'!$Q$4:$Q$503,_calc!$E$35)))))</f>
        <v/>
      </c>
      <c r="G33" s="44">
        <f>IF(_calc!$E$35="","",IF(LEN(INDEX('Assets'!$P$4:$P$503,_calc!$E$35))=0,"",INDEX('Assets'!$P$4:$P$503,_calc!$E$35)))</f>
        <v/>
      </c>
      <c r="K33" s="44">
        <f>IF(_calc!$E$35="","",IF(LEN(INDEX('Assets'!$N$4:$N$503,_calc!$E$35))=0,"",INDEX('Assets'!$N$4:$N$503,_calc!$E$35)))</f>
        <v/>
      </c>
    </row>
    <row r="34">
      <c r="A34" s="44">
        <f>IF(_calc!$E$36="","",IF(LEN(INDEX('Assets'!$D$4:$D$503,_calc!$E$36))=0,"",INDEX('Assets'!$D$4:$D$503,_calc!$E$36))&amp;" – "&amp;IF(LEN(INDEX('Assets'!$A$4:$A$503,_calc!$E$36))=0,"",INDEX('Assets'!$A$4:$A$503,_calc!$E$36)))</f>
        <v/>
      </c>
      <c r="B34" s="44">
        <f>IF(_calc!$E$36="","",IF(ISNUMBER(INDEX('Assets'!$G$4:$G$503,_calc!$E$36)),TEXT(INDEX('Assets'!$G$4:$G$503,_calc!$E$36),"yyyy-mm-dd"),""))</f>
        <v/>
      </c>
      <c r="C34" s="44">
        <f>IF(_calc!$E$36="","","Inspection")</f>
        <v/>
      </c>
      <c r="D34" s="44">
        <f>IF(_calc!$E$36="","",IF(ISNUMBER(INDEX('Assets'!$F$4:$F$503,_calc!$E$36)),TEXT(INDEX('Assets'!$F$4:$F$503,_calc!$E$36),"yyyy-mm-dd"),""))</f>
        <v/>
      </c>
      <c r="E34" s="44">
        <f>IF(_calc!$E$36="","",IF(LEN(INDEX('Assets'!$O$4:$O$503,_calc!$E$36))=0,"",INDEX('Assets'!$O$4:$O$503,_calc!$E$36)))</f>
        <v/>
      </c>
      <c r="F34" s="44">
        <f>IF(_calc!$E$36="","",TRIM(IF(LEN(IF(LEN(INDEX('Assets'!$B$4:$B$503,_calc!$E$36))=0,"",INDEX('Assets'!$B$4:$B$503,_calc!$E$36)))=0,"","Asset ID: "&amp;IF(LEN(INDEX('Assets'!$B$4:$B$503,_calc!$E$36))=0,"",INDEX('Assets'!$B$4:$B$503,_calc!$E$36))&amp;". ")&amp;IF(LEN(IF(LEN(INDEX('Assets'!$C$4:$C$503,_calc!$E$36))=0,"",INDEX('Assets'!$C$4:$C$503,_calc!$E$36)))=0,"","Location: "&amp;IF(LEN(INDEX('Assets'!$C$4:$C$503,_calc!$E$36))=0,"",INDEX('Assets'!$C$4:$C$503,_calc!$E$36))&amp;". ")&amp;IF(LEN(IF(LEN(INDEX('Assets'!$E$4:$E$503,_calc!$E$36))=0,"",INDEX('Assets'!$E$4:$E$503,_calc!$E$36)))=0,"","Every (months): "&amp;IF(LEN(INDEX('Assets'!$E$4:$E$503,_calc!$E$36))=0,"",INDEX('Assets'!$E$4:$E$503,_calc!$E$36))&amp;". ")&amp;IF(LEN(IF(LEN(INDEX('Assets'!$M$4:$M$503,_calc!$E$36))=0,"",INDEX('Assets'!$M$4:$M$503,_calc!$E$36)))=0,"","Last result: "&amp;IF(LEN(INDEX('Assets'!$M$4:$M$503,_calc!$E$36))=0,"",INDEX('Assets'!$M$4:$M$503,_calc!$E$36))&amp;". ")&amp;IF(LEN(IF(LEN(INDEX('Assets'!$Q$4:$Q$503,_calc!$E$36))=0,"",INDEX('Assets'!$Q$4:$Q$503,_calc!$E$36)))=0,"",IF(LEN(INDEX('Assets'!$Q$4:$Q$503,_calc!$E$36))=0,"",INDEX('Assets'!$Q$4:$Q$503,_calc!$E$36)))))</f>
        <v/>
      </c>
      <c r="G34" s="44">
        <f>IF(_calc!$E$36="","",IF(LEN(INDEX('Assets'!$P$4:$P$503,_calc!$E$36))=0,"",INDEX('Assets'!$P$4:$P$503,_calc!$E$36)))</f>
        <v/>
      </c>
      <c r="K34" s="44">
        <f>IF(_calc!$E$36="","",IF(LEN(INDEX('Assets'!$N$4:$N$503,_calc!$E$36))=0,"",INDEX('Assets'!$N$4:$N$503,_calc!$E$36)))</f>
        <v/>
      </c>
    </row>
    <row r="35">
      <c r="A35" s="44">
        <f>IF(_calc!$E$37="","",IF(LEN(INDEX('Assets'!$D$4:$D$503,_calc!$E$37))=0,"",INDEX('Assets'!$D$4:$D$503,_calc!$E$37))&amp;" – "&amp;IF(LEN(INDEX('Assets'!$A$4:$A$503,_calc!$E$37))=0,"",INDEX('Assets'!$A$4:$A$503,_calc!$E$37)))</f>
        <v/>
      </c>
      <c r="B35" s="44">
        <f>IF(_calc!$E$37="","",IF(ISNUMBER(INDEX('Assets'!$G$4:$G$503,_calc!$E$37)),TEXT(INDEX('Assets'!$G$4:$G$503,_calc!$E$37),"yyyy-mm-dd"),""))</f>
        <v/>
      </c>
      <c r="C35" s="44">
        <f>IF(_calc!$E$37="","","Inspection")</f>
        <v/>
      </c>
      <c r="D35" s="44">
        <f>IF(_calc!$E$37="","",IF(ISNUMBER(INDEX('Assets'!$F$4:$F$503,_calc!$E$37)),TEXT(INDEX('Assets'!$F$4:$F$503,_calc!$E$37),"yyyy-mm-dd"),""))</f>
        <v/>
      </c>
      <c r="E35" s="44">
        <f>IF(_calc!$E$37="","",IF(LEN(INDEX('Assets'!$O$4:$O$503,_calc!$E$37))=0,"",INDEX('Assets'!$O$4:$O$503,_calc!$E$37)))</f>
        <v/>
      </c>
      <c r="F35" s="44">
        <f>IF(_calc!$E$37="","",TRIM(IF(LEN(IF(LEN(INDEX('Assets'!$B$4:$B$503,_calc!$E$37))=0,"",INDEX('Assets'!$B$4:$B$503,_calc!$E$37)))=0,"","Asset ID: "&amp;IF(LEN(INDEX('Assets'!$B$4:$B$503,_calc!$E$37))=0,"",INDEX('Assets'!$B$4:$B$503,_calc!$E$37))&amp;". ")&amp;IF(LEN(IF(LEN(INDEX('Assets'!$C$4:$C$503,_calc!$E$37))=0,"",INDEX('Assets'!$C$4:$C$503,_calc!$E$37)))=0,"","Location: "&amp;IF(LEN(INDEX('Assets'!$C$4:$C$503,_calc!$E$37))=0,"",INDEX('Assets'!$C$4:$C$503,_calc!$E$37))&amp;". ")&amp;IF(LEN(IF(LEN(INDEX('Assets'!$E$4:$E$503,_calc!$E$37))=0,"",INDEX('Assets'!$E$4:$E$503,_calc!$E$37)))=0,"","Every (months): "&amp;IF(LEN(INDEX('Assets'!$E$4:$E$503,_calc!$E$37))=0,"",INDEX('Assets'!$E$4:$E$503,_calc!$E$37))&amp;". ")&amp;IF(LEN(IF(LEN(INDEX('Assets'!$M$4:$M$503,_calc!$E$37))=0,"",INDEX('Assets'!$M$4:$M$503,_calc!$E$37)))=0,"","Last result: "&amp;IF(LEN(INDEX('Assets'!$M$4:$M$503,_calc!$E$37))=0,"",INDEX('Assets'!$M$4:$M$503,_calc!$E$37))&amp;". ")&amp;IF(LEN(IF(LEN(INDEX('Assets'!$Q$4:$Q$503,_calc!$E$37))=0,"",INDEX('Assets'!$Q$4:$Q$503,_calc!$E$37)))=0,"",IF(LEN(INDEX('Assets'!$Q$4:$Q$503,_calc!$E$37))=0,"",INDEX('Assets'!$Q$4:$Q$503,_calc!$E$37)))))</f>
        <v/>
      </c>
      <c r="G35" s="44">
        <f>IF(_calc!$E$37="","",IF(LEN(INDEX('Assets'!$P$4:$P$503,_calc!$E$37))=0,"",INDEX('Assets'!$P$4:$P$503,_calc!$E$37)))</f>
        <v/>
      </c>
      <c r="K35" s="44">
        <f>IF(_calc!$E$37="","",IF(LEN(INDEX('Assets'!$N$4:$N$503,_calc!$E$37))=0,"",INDEX('Assets'!$N$4:$N$503,_calc!$E$37)))</f>
        <v/>
      </c>
    </row>
    <row r="36">
      <c r="A36" s="44">
        <f>IF(_calc!$E$38="","",IF(LEN(INDEX('Assets'!$D$4:$D$503,_calc!$E$38))=0,"",INDEX('Assets'!$D$4:$D$503,_calc!$E$38))&amp;" – "&amp;IF(LEN(INDEX('Assets'!$A$4:$A$503,_calc!$E$38))=0,"",INDEX('Assets'!$A$4:$A$503,_calc!$E$38)))</f>
        <v/>
      </c>
      <c r="B36" s="44">
        <f>IF(_calc!$E$38="","",IF(ISNUMBER(INDEX('Assets'!$G$4:$G$503,_calc!$E$38)),TEXT(INDEX('Assets'!$G$4:$G$503,_calc!$E$38),"yyyy-mm-dd"),""))</f>
        <v/>
      </c>
      <c r="C36" s="44">
        <f>IF(_calc!$E$38="","","Inspection")</f>
        <v/>
      </c>
      <c r="D36" s="44">
        <f>IF(_calc!$E$38="","",IF(ISNUMBER(INDEX('Assets'!$F$4:$F$503,_calc!$E$38)),TEXT(INDEX('Assets'!$F$4:$F$503,_calc!$E$38),"yyyy-mm-dd"),""))</f>
        <v/>
      </c>
      <c r="E36" s="44">
        <f>IF(_calc!$E$38="","",IF(LEN(INDEX('Assets'!$O$4:$O$503,_calc!$E$38))=0,"",INDEX('Assets'!$O$4:$O$503,_calc!$E$38)))</f>
        <v/>
      </c>
      <c r="F36" s="44">
        <f>IF(_calc!$E$38="","",TRIM(IF(LEN(IF(LEN(INDEX('Assets'!$B$4:$B$503,_calc!$E$38))=0,"",INDEX('Assets'!$B$4:$B$503,_calc!$E$38)))=0,"","Asset ID: "&amp;IF(LEN(INDEX('Assets'!$B$4:$B$503,_calc!$E$38))=0,"",INDEX('Assets'!$B$4:$B$503,_calc!$E$38))&amp;". ")&amp;IF(LEN(IF(LEN(INDEX('Assets'!$C$4:$C$503,_calc!$E$38))=0,"",INDEX('Assets'!$C$4:$C$503,_calc!$E$38)))=0,"","Location: "&amp;IF(LEN(INDEX('Assets'!$C$4:$C$503,_calc!$E$38))=0,"",INDEX('Assets'!$C$4:$C$503,_calc!$E$38))&amp;". ")&amp;IF(LEN(IF(LEN(INDEX('Assets'!$E$4:$E$503,_calc!$E$38))=0,"",INDEX('Assets'!$E$4:$E$503,_calc!$E$38)))=0,"","Every (months): "&amp;IF(LEN(INDEX('Assets'!$E$4:$E$503,_calc!$E$38))=0,"",INDEX('Assets'!$E$4:$E$503,_calc!$E$38))&amp;". ")&amp;IF(LEN(IF(LEN(INDEX('Assets'!$M$4:$M$503,_calc!$E$38))=0,"",INDEX('Assets'!$M$4:$M$503,_calc!$E$38)))=0,"","Last result: "&amp;IF(LEN(INDEX('Assets'!$M$4:$M$503,_calc!$E$38))=0,"",INDEX('Assets'!$M$4:$M$503,_calc!$E$38))&amp;". ")&amp;IF(LEN(IF(LEN(INDEX('Assets'!$Q$4:$Q$503,_calc!$E$38))=0,"",INDEX('Assets'!$Q$4:$Q$503,_calc!$E$38)))=0,"",IF(LEN(INDEX('Assets'!$Q$4:$Q$503,_calc!$E$38))=0,"",INDEX('Assets'!$Q$4:$Q$503,_calc!$E$38)))))</f>
        <v/>
      </c>
      <c r="G36" s="44">
        <f>IF(_calc!$E$38="","",IF(LEN(INDEX('Assets'!$P$4:$P$503,_calc!$E$38))=0,"",INDEX('Assets'!$P$4:$P$503,_calc!$E$38)))</f>
        <v/>
      </c>
      <c r="K36" s="44">
        <f>IF(_calc!$E$38="","",IF(LEN(INDEX('Assets'!$N$4:$N$503,_calc!$E$38))=0,"",INDEX('Assets'!$N$4:$N$503,_calc!$E$38)))</f>
        <v/>
      </c>
    </row>
    <row r="37">
      <c r="A37" s="44">
        <f>IF(_calc!$E$39="","",IF(LEN(INDEX('Assets'!$D$4:$D$503,_calc!$E$39))=0,"",INDEX('Assets'!$D$4:$D$503,_calc!$E$39))&amp;" – "&amp;IF(LEN(INDEX('Assets'!$A$4:$A$503,_calc!$E$39))=0,"",INDEX('Assets'!$A$4:$A$503,_calc!$E$39)))</f>
        <v/>
      </c>
      <c r="B37" s="44">
        <f>IF(_calc!$E$39="","",IF(ISNUMBER(INDEX('Assets'!$G$4:$G$503,_calc!$E$39)),TEXT(INDEX('Assets'!$G$4:$G$503,_calc!$E$39),"yyyy-mm-dd"),""))</f>
        <v/>
      </c>
      <c r="C37" s="44">
        <f>IF(_calc!$E$39="","","Inspection")</f>
        <v/>
      </c>
      <c r="D37" s="44">
        <f>IF(_calc!$E$39="","",IF(ISNUMBER(INDEX('Assets'!$F$4:$F$503,_calc!$E$39)),TEXT(INDEX('Assets'!$F$4:$F$503,_calc!$E$39),"yyyy-mm-dd"),""))</f>
        <v/>
      </c>
      <c r="E37" s="44">
        <f>IF(_calc!$E$39="","",IF(LEN(INDEX('Assets'!$O$4:$O$503,_calc!$E$39))=0,"",INDEX('Assets'!$O$4:$O$503,_calc!$E$39)))</f>
        <v/>
      </c>
      <c r="F37" s="44">
        <f>IF(_calc!$E$39="","",TRIM(IF(LEN(IF(LEN(INDEX('Assets'!$B$4:$B$503,_calc!$E$39))=0,"",INDEX('Assets'!$B$4:$B$503,_calc!$E$39)))=0,"","Asset ID: "&amp;IF(LEN(INDEX('Assets'!$B$4:$B$503,_calc!$E$39))=0,"",INDEX('Assets'!$B$4:$B$503,_calc!$E$39))&amp;". ")&amp;IF(LEN(IF(LEN(INDEX('Assets'!$C$4:$C$503,_calc!$E$39))=0,"",INDEX('Assets'!$C$4:$C$503,_calc!$E$39)))=0,"","Location: "&amp;IF(LEN(INDEX('Assets'!$C$4:$C$503,_calc!$E$39))=0,"",INDEX('Assets'!$C$4:$C$503,_calc!$E$39))&amp;". ")&amp;IF(LEN(IF(LEN(INDEX('Assets'!$E$4:$E$503,_calc!$E$39))=0,"",INDEX('Assets'!$E$4:$E$503,_calc!$E$39)))=0,"","Every (months): "&amp;IF(LEN(INDEX('Assets'!$E$4:$E$503,_calc!$E$39))=0,"",INDEX('Assets'!$E$4:$E$503,_calc!$E$39))&amp;". ")&amp;IF(LEN(IF(LEN(INDEX('Assets'!$M$4:$M$503,_calc!$E$39))=0,"",INDEX('Assets'!$M$4:$M$503,_calc!$E$39)))=0,"","Last result: "&amp;IF(LEN(INDEX('Assets'!$M$4:$M$503,_calc!$E$39))=0,"",INDEX('Assets'!$M$4:$M$503,_calc!$E$39))&amp;". ")&amp;IF(LEN(IF(LEN(INDEX('Assets'!$Q$4:$Q$503,_calc!$E$39))=0,"",INDEX('Assets'!$Q$4:$Q$503,_calc!$E$39)))=0,"",IF(LEN(INDEX('Assets'!$Q$4:$Q$503,_calc!$E$39))=0,"",INDEX('Assets'!$Q$4:$Q$503,_calc!$E$39)))))</f>
        <v/>
      </c>
      <c r="G37" s="44">
        <f>IF(_calc!$E$39="","",IF(LEN(INDEX('Assets'!$P$4:$P$503,_calc!$E$39))=0,"",INDEX('Assets'!$P$4:$P$503,_calc!$E$39)))</f>
        <v/>
      </c>
      <c r="K37" s="44">
        <f>IF(_calc!$E$39="","",IF(LEN(INDEX('Assets'!$N$4:$N$503,_calc!$E$39))=0,"",INDEX('Assets'!$N$4:$N$503,_calc!$E$39)))</f>
        <v/>
      </c>
    </row>
    <row r="38">
      <c r="A38" s="44">
        <f>IF(_calc!$E$40="","",IF(LEN(INDEX('Assets'!$D$4:$D$503,_calc!$E$40))=0,"",INDEX('Assets'!$D$4:$D$503,_calc!$E$40))&amp;" – "&amp;IF(LEN(INDEX('Assets'!$A$4:$A$503,_calc!$E$40))=0,"",INDEX('Assets'!$A$4:$A$503,_calc!$E$40)))</f>
        <v/>
      </c>
      <c r="B38" s="44">
        <f>IF(_calc!$E$40="","",IF(ISNUMBER(INDEX('Assets'!$G$4:$G$503,_calc!$E$40)),TEXT(INDEX('Assets'!$G$4:$G$503,_calc!$E$40),"yyyy-mm-dd"),""))</f>
        <v/>
      </c>
      <c r="C38" s="44">
        <f>IF(_calc!$E$40="","","Inspection")</f>
        <v/>
      </c>
      <c r="D38" s="44">
        <f>IF(_calc!$E$40="","",IF(ISNUMBER(INDEX('Assets'!$F$4:$F$503,_calc!$E$40)),TEXT(INDEX('Assets'!$F$4:$F$503,_calc!$E$40),"yyyy-mm-dd"),""))</f>
        <v/>
      </c>
      <c r="E38" s="44">
        <f>IF(_calc!$E$40="","",IF(LEN(INDEX('Assets'!$O$4:$O$503,_calc!$E$40))=0,"",INDEX('Assets'!$O$4:$O$503,_calc!$E$40)))</f>
        <v/>
      </c>
      <c r="F38" s="44">
        <f>IF(_calc!$E$40="","",TRIM(IF(LEN(IF(LEN(INDEX('Assets'!$B$4:$B$503,_calc!$E$40))=0,"",INDEX('Assets'!$B$4:$B$503,_calc!$E$40)))=0,"","Asset ID: "&amp;IF(LEN(INDEX('Assets'!$B$4:$B$503,_calc!$E$40))=0,"",INDEX('Assets'!$B$4:$B$503,_calc!$E$40))&amp;". ")&amp;IF(LEN(IF(LEN(INDEX('Assets'!$C$4:$C$503,_calc!$E$40))=0,"",INDEX('Assets'!$C$4:$C$503,_calc!$E$40)))=0,"","Location: "&amp;IF(LEN(INDEX('Assets'!$C$4:$C$503,_calc!$E$40))=0,"",INDEX('Assets'!$C$4:$C$503,_calc!$E$40))&amp;". ")&amp;IF(LEN(IF(LEN(INDEX('Assets'!$E$4:$E$503,_calc!$E$40))=0,"",INDEX('Assets'!$E$4:$E$503,_calc!$E$40)))=0,"","Every (months): "&amp;IF(LEN(INDEX('Assets'!$E$4:$E$503,_calc!$E$40))=0,"",INDEX('Assets'!$E$4:$E$503,_calc!$E$40))&amp;". ")&amp;IF(LEN(IF(LEN(INDEX('Assets'!$M$4:$M$503,_calc!$E$40))=0,"",INDEX('Assets'!$M$4:$M$503,_calc!$E$40)))=0,"","Last result: "&amp;IF(LEN(INDEX('Assets'!$M$4:$M$503,_calc!$E$40))=0,"",INDEX('Assets'!$M$4:$M$503,_calc!$E$40))&amp;". ")&amp;IF(LEN(IF(LEN(INDEX('Assets'!$Q$4:$Q$503,_calc!$E$40))=0,"",INDEX('Assets'!$Q$4:$Q$503,_calc!$E$40)))=0,"",IF(LEN(INDEX('Assets'!$Q$4:$Q$503,_calc!$E$40))=0,"",INDEX('Assets'!$Q$4:$Q$503,_calc!$E$40)))))</f>
        <v/>
      </c>
      <c r="G38" s="44">
        <f>IF(_calc!$E$40="","",IF(LEN(INDEX('Assets'!$P$4:$P$503,_calc!$E$40))=0,"",INDEX('Assets'!$P$4:$P$503,_calc!$E$40)))</f>
        <v/>
      </c>
      <c r="K38" s="44">
        <f>IF(_calc!$E$40="","",IF(LEN(INDEX('Assets'!$N$4:$N$503,_calc!$E$40))=0,"",INDEX('Assets'!$N$4:$N$503,_calc!$E$40)))</f>
        <v/>
      </c>
    </row>
    <row r="39">
      <c r="A39" s="44">
        <f>IF(_calc!$E$41="","",IF(LEN(INDEX('Assets'!$D$4:$D$503,_calc!$E$41))=0,"",INDEX('Assets'!$D$4:$D$503,_calc!$E$41))&amp;" – "&amp;IF(LEN(INDEX('Assets'!$A$4:$A$503,_calc!$E$41))=0,"",INDEX('Assets'!$A$4:$A$503,_calc!$E$41)))</f>
        <v/>
      </c>
      <c r="B39" s="44">
        <f>IF(_calc!$E$41="","",IF(ISNUMBER(INDEX('Assets'!$G$4:$G$503,_calc!$E$41)),TEXT(INDEX('Assets'!$G$4:$G$503,_calc!$E$41),"yyyy-mm-dd"),""))</f>
        <v/>
      </c>
      <c r="C39" s="44">
        <f>IF(_calc!$E$41="","","Inspection")</f>
        <v/>
      </c>
      <c r="D39" s="44">
        <f>IF(_calc!$E$41="","",IF(ISNUMBER(INDEX('Assets'!$F$4:$F$503,_calc!$E$41)),TEXT(INDEX('Assets'!$F$4:$F$503,_calc!$E$41),"yyyy-mm-dd"),""))</f>
        <v/>
      </c>
      <c r="E39" s="44">
        <f>IF(_calc!$E$41="","",IF(LEN(INDEX('Assets'!$O$4:$O$503,_calc!$E$41))=0,"",INDEX('Assets'!$O$4:$O$503,_calc!$E$41)))</f>
        <v/>
      </c>
      <c r="F39" s="44">
        <f>IF(_calc!$E$41="","",TRIM(IF(LEN(IF(LEN(INDEX('Assets'!$B$4:$B$503,_calc!$E$41))=0,"",INDEX('Assets'!$B$4:$B$503,_calc!$E$41)))=0,"","Asset ID: "&amp;IF(LEN(INDEX('Assets'!$B$4:$B$503,_calc!$E$41))=0,"",INDEX('Assets'!$B$4:$B$503,_calc!$E$41))&amp;". ")&amp;IF(LEN(IF(LEN(INDEX('Assets'!$C$4:$C$503,_calc!$E$41))=0,"",INDEX('Assets'!$C$4:$C$503,_calc!$E$41)))=0,"","Location: "&amp;IF(LEN(INDEX('Assets'!$C$4:$C$503,_calc!$E$41))=0,"",INDEX('Assets'!$C$4:$C$503,_calc!$E$41))&amp;". ")&amp;IF(LEN(IF(LEN(INDEX('Assets'!$E$4:$E$503,_calc!$E$41))=0,"",INDEX('Assets'!$E$4:$E$503,_calc!$E$41)))=0,"","Every (months): "&amp;IF(LEN(INDEX('Assets'!$E$4:$E$503,_calc!$E$41))=0,"",INDEX('Assets'!$E$4:$E$503,_calc!$E$41))&amp;". ")&amp;IF(LEN(IF(LEN(INDEX('Assets'!$M$4:$M$503,_calc!$E$41))=0,"",INDEX('Assets'!$M$4:$M$503,_calc!$E$41)))=0,"","Last result: "&amp;IF(LEN(INDEX('Assets'!$M$4:$M$503,_calc!$E$41))=0,"",INDEX('Assets'!$M$4:$M$503,_calc!$E$41))&amp;". ")&amp;IF(LEN(IF(LEN(INDEX('Assets'!$Q$4:$Q$503,_calc!$E$41))=0,"",INDEX('Assets'!$Q$4:$Q$503,_calc!$E$41)))=0,"",IF(LEN(INDEX('Assets'!$Q$4:$Q$503,_calc!$E$41))=0,"",INDEX('Assets'!$Q$4:$Q$503,_calc!$E$41)))))</f>
        <v/>
      </c>
      <c r="G39" s="44">
        <f>IF(_calc!$E$41="","",IF(LEN(INDEX('Assets'!$P$4:$P$503,_calc!$E$41))=0,"",INDEX('Assets'!$P$4:$P$503,_calc!$E$41)))</f>
        <v/>
      </c>
      <c r="K39" s="44">
        <f>IF(_calc!$E$41="","",IF(LEN(INDEX('Assets'!$N$4:$N$503,_calc!$E$41))=0,"",INDEX('Assets'!$N$4:$N$503,_calc!$E$41)))</f>
        <v/>
      </c>
    </row>
    <row r="40">
      <c r="A40" s="44">
        <f>IF(_calc!$E$42="","",IF(LEN(INDEX('Assets'!$D$4:$D$503,_calc!$E$42))=0,"",INDEX('Assets'!$D$4:$D$503,_calc!$E$42))&amp;" – "&amp;IF(LEN(INDEX('Assets'!$A$4:$A$503,_calc!$E$42))=0,"",INDEX('Assets'!$A$4:$A$503,_calc!$E$42)))</f>
        <v/>
      </c>
      <c r="B40" s="44">
        <f>IF(_calc!$E$42="","",IF(ISNUMBER(INDEX('Assets'!$G$4:$G$503,_calc!$E$42)),TEXT(INDEX('Assets'!$G$4:$G$503,_calc!$E$42),"yyyy-mm-dd"),""))</f>
        <v/>
      </c>
      <c r="C40" s="44">
        <f>IF(_calc!$E$42="","","Inspection")</f>
        <v/>
      </c>
      <c r="D40" s="44">
        <f>IF(_calc!$E$42="","",IF(ISNUMBER(INDEX('Assets'!$F$4:$F$503,_calc!$E$42)),TEXT(INDEX('Assets'!$F$4:$F$503,_calc!$E$42),"yyyy-mm-dd"),""))</f>
        <v/>
      </c>
      <c r="E40" s="44">
        <f>IF(_calc!$E$42="","",IF(LEN(INDEX('Assets'!$O$4:$O$503,_calc!$E$42))=0,"",INDEX('Assets'!$O$4:$O$503,_calc!$E$42)))</f>
        <v/>
      </c>
      <c r="F40" s="44">
        <f>IF(_calc!$E$42="","",TRIM(IF(LEN(IF(LEN(INDEX('Assets'!$B$4:$B$503,_calc!$E$42))=0,"",INDEX('Assets'!$B$4:$B$503,_calc!$E$42)))=0,"","Asset ID: "&amp;IF(LEN(INDEX('Assets'!$B$4:$B$503,_calc!$E$42))=0,"",INDEX('Assets'!$B$4:$B$503,_calc!$E$42))&amp;". ")&amp;IF(LEN(IF(LEN(INDEX('Assets'!$C$4:$C$503,_calc!$E$42))=0,"",INDEX('Assets'!$C$4:$C$503,_calc!$E$42)))=0,"","Location: "&amp;IF(LEN(INDEX('Assets'!$C$4:$C$503,_calc!$E$42))=0,"",INDEX('Assets'!$C$4:$C$503,_calc!$E$42))&amp;". ")&amp;IF(LEN(IF(LEN(INDEX('Assets'!$E$4:$E$503,_calc!$E$42))=0,"",INDEX('Assets'!$E$4:$E$503,_calc!$E$42)))=0,"","Every (months): "&amp;IF(LEN(INDEX('Assets'!$E$4:$E$503,_calc!$E$42))=0,"",INDEX('Assets'!$E$4:$E$503,_calc!$E$42))&amp;". ")&amp;IF(LEN(IF(LEN(INDEX('Assets'!$M$4:$M$503,_calc!$E$42))=0,"",INDEX('Assets'!$M$4:$M$503,_calc!$E$42)))=0,"","Last result: "&amp;IF(LEN(INDEX('Assets'!$M$4:$M$503,_calc!$E$42))=0,"",INDEX('Assets'!$M$4:$M$503,_calc!$E$42))&amp;". ")&amp;IF(LEN(IF(LEN(INDEX('Assets'!$Q$4:$Q$503,_calc!$E$42))=0,"",INDEX('Assets'!$Q$4:$Q$503,_calc!$E$42)))=0,"",IF(LEN(INDEX('Assets'!$Q$4:$Q$503,_calc!$E$42))=0,"",INDEX('Assets'!$Q$4:$Q$503,_calc!$E$42)))))</f>
        <v/>
      </c>
      <c r="G40" s="44">
        <f>IF(_calc!$E$42="","",IF(LEN(INDEX('Assets'!$P$4:$P$503,_calc!$E$42))=0,"",INDEX('Assets'!$P$4:$P$503,_calc!$E$42)))</f>
        <v/>
      </c>
      <c r="K40" s="44">
        <f>IF(_calc!$E$42="","",IF(LEN(INDEX('Assets'!$N$4:$N$503,_calc!$E$42))=0,"",INDEX('Assets'!$N$4:$N$503,_calc!$E$42)))</f>
        <v/>
      </c>
    </row>
    <row r="41">
      <c r="A41" s="44">
        <f>IF(_calc!$E$43="","",IF(LEN(INDEX('Assets'!$D$4:$D$503,_calc!$E$43))=0,"",INDEX('Assets'!$D$4:$D$503,_calc!$E$43))&amp;" – "&amp;IF(LEN(INDEX('Assets'!$A$4:$A$503,_calc!$E$43))=0,"",INDEX('Assets'!$A$4:$A$503,_calc!$E$43)))</f>
        <v/>
      </c>
      <c r="B41" s="44">
        <f>IF(_calc!$E$43="","",IF(ISNUMBER(INDEX('Assets'!$G$4:$G$503,_calc!$E$43)),TEXT(INDEX('Assets'!$G$4:$G$503,_calc!$E$43),"yyyy-mm-dd"),""))</f>
        <v/>
      </c>
      <c r="C41" s="44">
        <f>IF(_calc!$E$43="","","Inspection")</f>
        <v/>
      </c>
      <c r="D41" s="44">
        <f>IF(_calc!$E$43="","",IF(ISNUMBER(INDEX('Assets'!$F$4:$F$503,_calc!$E$43)),TEXT(INDEX('Assets'!$F$4:$F$503,_calc!$E$43),"yyyy-mm-dd"),""))</f>
        <v/>
      </c>
      <c r="E41" s="44">
        <f>IF(_calc!$E$43="","",IF(LEN(INDEX('Assets'!$O$4:$O$503,_calc!$E$43))=0,"",INDEX('Assets'!$O$4:$O$503,_calc!$E$43)))</f>
        <v/>
      </c>
      <c r="F41" s="44">
        <f>IF(_calc!$E$43="","",TRIM(IF(LEN(IF(LEN(INDEX('Assets'!$B$4:$B$503,_calc!$E$43))=0,"",INDEX('Assets'!$B$4:$B$503,_calc!$E$43)))=0,"","Asset ID: "&amp;IF(LEN(INDEX('Assets'!$B$4:$B$503,_calc!$E$43))=0,"",INDEX('Assets'!$B$4:$B$503,_calc!$E$43))&amp;". ")&amp;IF(LEN(IF(LEN(INDEX('Assets'!$C$4:$C$503,_calc!$E$43))=0,"",INDEX('Assets'!$C$4:$C$503,_calc!$E$43)))=0,"","Location: "&amp;IF(LEN(INDEX('Assets'!$C$4:$C$503,_calc!$E$43))=0,"",INDEX('Assets'!$C$4:$C$503,_calc!$E$43))&amp;". ")&amp;IF(LEN(IF(LEN(INDEX('Assets'!$E$4:$E$503,_calc!$E$43))=0,"",INDEX('Assets'!$E$4:$E$503,_calc!$E$43)))=0,"","Every (months): "&amp;IF(LEN(INDEX('Assets'!$E$4:$E$503,_calc!$E$43))=0,"",INDEX('Assets'!$E$4:$E$503,_calc!$E$43))&amp;". ")&amp;IF(LEN(IF(LEN(INDEX('Assets'!$M$4:$M$503,_calc!$E$43))=0,"",INDEX('Assets'!$M$4:$M$503,_calc!$E$43)))=0,"","Last result: "&amp;IF(LEN(INDEX('Assets'!$M$4:$M$503,_calc!$E$43))=0,"",INDEX('Assets'!$M$4:$M$503,_calc!$E$43))&amp;". ")&amp;IF(LEN(IF(LEN(INDEX('Assets'!$Q$4:$Q$503,_calc!$E$43))=0,"",INDEX('Assets'!$Q$4:$Q$503,_calc!$E$43)))=0,"",IF(LEN(INDEX('Assets'!$Q$4:$Q$503,_calc!$E$43))=0,"",INDEX('Assets'!$Q$4:$Q$503,_calc!$E$43)))))</f>
        <v/>
      </c>
      <c r="G41" s="44">
        <f>IF(_calc!$E$43="","",IF(LEN(INDEX('Assets'!$P$4:$P$503,_calc!$E$43))=0,"",INDEX('Assets'!$P$4:$P$503,_calc!$E$43)))</f>
        <v/>
      </c>
      <c r="K41" s="44">
        <f>IF(_calc!$E$43="","",IF(LEN(INDEX('Assets'!$N$4:$N$503,_calc!$E$43))=0,"",INDEX('Assets'!$N$4:$N$503,_calc!$E$43)))</f>
        <v/>
      </c>
    </row>
    <row r="42">
      <c r="A42" s="44">
        <f>IF(_calc!$E$44="","",IF(LEN(INDEX('Assets'!$D$4:$D$503,_calc!$E$44))=0,"",INDEX('Assets'!$D$4:$D$503,_calc!$E$44))&amp;" – "&amp;IF(LEN(INDEX('Assets'!$A$4:$A$503,_calc!$E$44))=0,"",INDEX('Assets'!$A$4:$A$503,_calc!$E$44)))</f>
        <v/>
      </c>
      <c r="B42" s="44">
        <f>IF(_calc!$E$44="","",IF(ISNUMBER(INDEX('Assets'!$G$4:$G$503,_calc!$E$44)),TEXT(INDEX('Assets'!$G$4:$G$503,_calc!$E$44),"yyyy-mm-dd"),""))</f>
        <v/>
      </c>
      <c r="C42" s="44">
        <f>IF(_calc!$E$44="","","Inspection")</f>
        <v/>
      </c>
      <c r="D42" s="44">
        <f>IF(_calc!$E$44="","",IF(ISNUMBER(INDEX('Assets'!$F$4:$F$503,_calc!$E$44)),TEXT(INDEX('Assets'!$F$4:$F$503,_calc!$E$44),"yyyy-mm-dd"),""))</f>
        <v/>
      </c>
      <c r="E42" s="44">
        <f>IF(_calc!$E$44="","",IF(LEN(INDEX('Assets'!$O$4:$O$503,_calc!$E$44))=0,"",INDEX('Assets'!$O$4:$O$503,_calc!$E$44)))</f>
        <v/>
      </c>
      <c r="F42" s="44">
        <f>IF(_calc!$E$44="","",TRIM(IF(LEN(IF(LEN(INDEX('Assets'!$B$4:$B$503,_calc!$E$44))=0,"",INDEX('Assets'!$B$4:$B$503,_calc!$E$44)))=0,"","Asset ID: "&amp;IF(LEN(INDEX('Assets'!$B$4:$B$503,_calc!$E$44))=0,"",INDEX('Assets'!$B$4:$B$503,_calc!$E$44))&amp;". ")&amp;IF(LEN(IF(LEN(INDEX('Assets'!$C$4:$C$503,_calc!$E$44))=0,"",INDEX('Assets'!$C$4:$C$503,_calc!$E$44)))=0,"","Location: "&amp;IF(LEN(INDEX('Assets'!$C$4:$C$503,_calc!$E$44))=0,"",INDEX('Assets'!$C$4:$C$503,_calc!$E$44))&amp;". ")&amp;IF(LEN(IF(LEN(INDEX('Assets'!$E$4:$E$503,_calc!$E$44))=0,"",INDEX('Assets'!$E$4:$E$503,_calc!$E$44)))=0,"","Every (months): "&amp;IF(LEN(INDEX('Assets'!$E$4:$E$503,_calc!$E$44))=0,"",INDEX('Assets'!$E$4:$E$503,_calc!$E$44))&amp;". ")&amp;IF(LEN(IF(LEN(INDEX('Assets'!$M$4:$M$503,_calc!$E$44))=0,"",INDEX('Assets'!$M$4:$M$503,_calc!$E$44)))=0,"","Last result: "&amp;IF(LEN(INDEX('Assets'!$M$4:$M$503,_calc!$E$44))=0,"",INDEX('Assets'!$M$4:$M$503,_calc!$E$44))&amp;". ")&amp;IF(LEN(IF(LEN(INDEX('Assets'!$Q$4:$Q$503,_calc!$E$44))=0,"",INDEX('Assets'!$Q$4:$Q$503,_calc!$E$44)))=0,"",IF(LEN(INDEX('Assets'!$Q$4:$Q$503,_calc!$E$44))=0,"",INDEX('Assets'!$Q$4:$Q$503,_calc!$E$44)))))</f>
        <v/>
      </c>
      <c r="G42" s="44">
        <f>IF(_calc!$E$44="","",IF(LEN(INDEX('Assets'!$P$4:$P$503,_calc!$E$44))=0,"",INDEX('Assets'!$P$4:$P$503,_calc!$E$44)))</f>
        <v/>
      </c>
      <c r="K42" s="44">
        <f>IF(_calc!$E$44="","",IF(LEN(INDEX('Assets'!$N$4:$N$503,_calc!$E$44))=0,"",INDEX('Assets'!$N$4:$N$503,_calc!$E$44)))</f>
        <v/>
      </c>
    </row>
    <row r="43">
      <c r="A43" s="44">
        <f>IF(_calc!$E$45="","",IF(LEN(INDEX('Assets'!$D$4:$D$503,_calc!$E$45))=0,"",INDEX('Assets'!$D$4:$D$503,_calc!$E$45))&amp;" – "&amp;IF(LEN(INDEX('Assets'!$A$4:$A$503,_calc!$E$45))=0,"",INDEX('Assets'!$A$4:$A$503,_calc!$E$45)))</f>
        <v/>
      </c>
      <c r="B43" s="44">
        <f>IF(_calc!$E$45="","",IF(ISNUMBER(INDEX('Assets'!$G$4:$G$503,_calc!$E$45)),TEXT(INDEX('Assets'!$G$4:$G$503,_calc!$E$45),"yyyy-mm-dd"),""))</f>
        <v/>
      </c>
      <c r="C43" s="44">
        <f>IF(_calc!$E$45="","","Inspection")</f>
        <v/>
      </c>
      <c r="D43" s="44">
        <f>IF(_calc!$E$45="","",IF(ISNUMBER(INDEX('Assets'!$F$4:$F$503,_calc!$E$45)),TEXT(INDEX('Assets'!$F$4:$F$503,_calc!$E$45),"yyyy-mm-dd"),""))</f>
        <v/>
      </c>
      <c r="E43" s="44">
        <f>IF(_calc!$E$45="","",IF(LEN(INDEX('Assets'!$O$4:$O$503,_calc!$E$45))=0,"",INDEX('Assets'!$O$4:$O$503,_calc!$E$45)))</f>
        <v/>
      </c>
      <c r="F43" s="44">
        <f>IF(_calc!$E$45="","",TRIM(IF(LEN(IF(LEN(INDEX('Assets'!$B$4:$B$503,_calc!$E$45))=0,"",INDEX('Assets'!$B$4:$B$503,_calc!$E$45)))=0,"","Asset ID: "&amp;IF(LEN(INDEX('Assets'!$B$4:$B$503,_calc!$E$45))=0,"",INDEX('Assets'!$B$4:$B$503,_calc!$E$45))&amp;". ")&amp;IF(LEN(IF(LEN(INDEX('Assets'!$C$4:$C$503,_calc!$E$45))=0,"",INDEX('Assets'!$C$4:$C$503,_calc!$E$45)))=0,"","Location: "&amp;IF(LEN(INDEX('Assets'!$C$4:$C$503,_calc!$E$45))=0,"",INDEX('Assets'!$C$4:$C$503,_calc!$E$45))&amp;". ")&amp;IF(LEN(IF(LEN(INDEX('Assets'!$E$4:$E$503,_calc!$E$45))=0,"",INDEX('Assets'!$E$4:$E$503,_calc!$E$45)))=0,"","Every (months): "&amp;IF(LEN(INDEX('Assets'!$E$4:$E$503,_calc!$E$45))=0,"",INDEX('Assets'!$E$4:$E$503,_calc!$E$45))&amp;". ")&amp;IF(LEN(IF(LEN(INDEX('Assets'!$M$4:$M$503,_calc!$E$45))=0,"",INDEX('Assets'!$M$4:$M$503,_calc!$E$45)))=0,"","Last result: "&amp;IF(LEN(INDEX('Assets'!$M$4:$M$503,_calc!$E$45))=0,"",INDEX('Assets'!$M$4:$M$503,_calc!$E$45))&amp;". ")&amp;IF(LEN(IF(LEN(INDEX('Assets'!$Q$4:$Q$503,_calc!$E$45))=0,"",INDEX('Assets'!$Q$4:$Q$503,_calc!$E$45)))=0,"",IF(LEN(INDEX('Assets'!$Q$4:$Q$503,_calc!$E$45))=0,"",INDEX('Assets'!$Q$4:$Q$503,_calc!$E$45)))))</f>
        <v/>
      </c>
      <c r="G43" s="44">
        <f>IF(_calc!$E$45="","",IF(LEN(INDEX('Assets'!$P$4:$P$503,_calc!$E$45))=0,"",INDEX('Assets'!$P$4:$P$503,_calc!$E$45)))</f>
        <v/>
      </c>
      <c r="K43" s="44">
        <f>IF(_calc!$E$45="","",IF(LEN(INDEX('Assets'!$N$4:$N$503,_calc!$E$45))=0,"",INDEX('Assets'!$N$4:$N$503,_calc!$E$45)))</f>
        <v/>
      </c>
    </row>
    <row r="44">
      <c r="A44" s="44">
        <f>IF(_calc!$E$46="","",IF(LEN(INDEX('Assets'!$D$4:$D$503,_calc!$E$46))=0,"",INDEX('Assets'!$D$4:$D$503,_calc!$E$46))&amp;" – "&amp;IF(LEN(INDEX('Assets'!$A$4:$A$503,_calc!$E$46))=0,"",INDEX('Assets'!$A$4:$A$503,_calc!$E$46)))</f>
        <v/>
      </c>
      <c r="B44" s="44">
        <f>IF(_calc!$E$46="","",IF(ISNUMBER(INDEX('Assets'!$G$4:$G$503,_calc!$E$46)),TEXT(INDEX('Assets'!$G$4:$G$503,_calc!$E$46),"yyyy-mm-dd"),""))</f>
        <v/>
      </c>
      <c r="C44" s="44">
        <f>IF(_calc!$E$46="","","Inspection")</f>
        <v/>
      </c>
      <c r="D44" s="44">
        <f>IF(_calc!$E$46="","",IF(ISNUMBER(INDEX('Assets'!$F$4:$F$503,_calc!$E$46)),TEXT(INDEX('Assets'!$F$4:$F$503,_calc!$E$46),"yyyy-mm-dd"),""))</f>
        <v/>
      </c>
      <c r="E44" s="44">
        <f>IF(_calc!$E$46="","",IF(LEN(INDEX('Assets'!$O$4:$O$503,_calc!$E$46))=0,"",INDEX('Assets'!$O$4:$O$503,_calc!$E$46)))</f>
        <v/>
      </c>
      <c r="F44" s="44">
        <f>IF(_calc!$E$46="","",TRIM(IF(LEN(IF(LEN(INDEX('Assets'!$B$4:$B$503,_calc!$E$46))=0,"",INDEX('Assets'!$B$4:$B$503,_calc!$E$46)))=0,"","Asset ID: "&amp;IF(LEN(INDEX('Assets'!$B$4:$B$503,_calc!$E$46))=0,"",INDEX('Assets'!$B$4:$B$503,_calc!$E$46))&amp;". ")&amp;IF(LEN(IF(LEN(INDEX('Assets'!$C$4:$C$503,_calc!$E$46))=0,"",INDEX('Assets'!$C$4:$C$503,_calc!$E$46)))=0,"","Location: "&amp;IF(LEN(INDEX('Assets'!$C$4:$C$503,_calc!$E$46))=0,"",INDEX('Assets'!$C$4:$C$503,_calc!$E$46))&amp;". ")&amp;IF(LEN(IF(LEN(INDEX('Assets'!$E$4:$E$503,_calc!$E$46))=0,"",INDEX('Assets'!$E$4:$E$503,_calc!$E$46)))=0,"","Every (months): "&amp;IF(LEN(INDEX('Assets'!$E$4:$E$503,_calc!$E$46))=0,"",INDEX('Assets'!$E$4:$E$503,_calc!$E$46))&amp;". ")&amp;IF(LEN(IF(LEN(INDEX('Assets'!$M$4:$M$503,_calc!$E$46))=0,"",INDEX('Assets'!$M$4:$M$503,_calc!$E$46)))=0,"","Last result: "&amp;IF(LEN(INDEX('Assets'!$M$4:$M$503,_calc!$E$46))=0,"",INDEX('Assets'!$M$4:$M$503,_calc!$E$46))&amp;". ")&amp;IF(LEN(IF(LEN(INDEX('Assets'!$Q$4:$Q$503,_calc!$E$46))=0,"",INDEX('Assets'!$Q$4:$Q$503,_calc!$E$46)))=0,"",IF(LEN(INDEX('Assets'!$Q$4:$Q$503,_calc!$E$46))=0,"",INDEX('Assets'!$Q$4:$Q$503,_calc!$E$46)))))</f>
        <v/>
      </c>
      <c r="G44" s="44">
        <f>IF(_calc!$E$46="","",IF(LEN(INDEX('Assets'!$P$4:$P$503,_calc!$E$46))=0,"",INDEX('Assets'!$P$4:$P$503,_calc!$E$46)))</f>
        <v/>
      </c>
      <c r="K44" s="44">
        <f>IF(_calc!$E$46="","",IF(LEN(INDEX('Assets'!$N$4:$N$503,_calc!$E$46))=0,"",INDEX('Assets'!$N$4:$N$503,_calc!$E$46)))</f>
        <v/>
      </c>
    </row>
    <row r="45">
      <c r="A45" s="44">
        <f>IF(_calc!$E$47="","",IF(LEN(INDEX('Assets'!$D$4:$D$503,_calc!$E$47))=0,"",INDEX('Assets'!$D$4:$D$503,_calc!$E$47))&amp;" – "&amp;IF(LEN(INDEX('Assets'!$A$4:$A$503,_calc!$E$47))=0,"",INDEX('Assets'!$A$4:$A$503,_calc!$E$47)))</f>
        <v/>
      </c>
      <c r="B45" s="44">
        <f>IF(_calc!$E$47="","",IF(ISNUMBER(INDEX('Assets'!$G$4:$G$503,_calc!$E$47)),TEXT(INDEX('Assets'!$G$4:$G$503,_calc!$E$47),"yyyy-mm-dd"),""))</f>
        <v/>
      </c>
      <c r="C45" s="44">
        <f>IF(_calc!$E$47="","","Inspection")</f>
        <v/>
      </c>
      <c r="D45" s="44">
        <f>IF(_calc!$E$47="","",IF(ISNUMBER(INDEX('Assets'!$F$4:$F$503,_calc!$E$47)),TEXT(INDEX('Assets'!$F$4:$F$503,_calc!$E$47),"yyyy-mm-dd"),""))</f>
        <v/>
      </c>
      <c r="E45" s="44">
        <f>IF(_calc!$E$47="","",IF(LEN(INDEX('Assets'!$O$4:$O$503,_calc!$E$47))=0,"",INDEX('Assets'!$O$4:$O$503,_calc!$E$47)))</f>
        <v/>
      </c>
      <c r="F45" s="44">
        <f>IF(_calc!$E$47="","",TRIM(IF(LEN(IF(LEN(INDEX('Assets'!$B$4:$B$503,_calc!$E$47))=0,"",INDEX('Assets'!$B$4:$B$503,_calc!$E$47)))=0,"","Asset ID: "&amp;IF(LEN(INDEX('Assets'!$B$4:$B$503,_calc!$E$47))=0,"",INDEX('Assets'!$B$4:$B$503,_calc!$E$47))&amp;". ")&amp;IF(LEN(IF(LEN(INDEX('Assets'!$C$4:$C$503,_calc!$E$47))=0,"",INDEX('Assets'!$C$4:$C$503,_calc!$E$47)))=0,"","Location: "&amp;IF(LEN(INDEX('Assets'!$C$4:$C$503,_calc!$E$47))=0,"",INDEX('Assets'!$C$4:$C$503,_calc!$E$47))&amp;". ")&amp;IF(LEN(IF(LEN(INDEX('Assets'!$E$4:$E$503,_calc!$E$47))=0,"",INDEX('Assets'!$E$4:$E$503,_calc!$E$47)))=0,"","Every (months): "&amp;IF(LEN(INDEX('Assets'!$E$4:$E$503,_calc!$E$47))=0,"",INDEX('Assets'!$E$4:$E$503,_calc!$E$47))&amp;". ")&amp;IF(LEN(IF(LEN(INDEX('Assets'!$M$4:$M$503,_calc!$E$47))=0,"",INDEX('Assets'!$M$4:$M$503,_calc!$E$47)))=0,"","Last result: "&amp;IF(LEN(INDEX('Assets'!$M$4:$M$503,_calc!$E$47))=0,"",INDEX('Assets'!$M$4:$M$503,_calc!$E$47))&amp;". ")&amp;IF(LEN(IF(LEN(INDEX('Assets'!$Q$4:$Q$503,_calc!$E$47))=0,"",INDEX('Assets'!$Q$4:$Q$503,_calc!$E$47)))=0,"",IF(LEN(INDEX('Assets'!$Q$4:$Q$503,_calc!$E$47))=0,"",INDEX('Assets'!$Q$4:$Q$503,_calc!$E$47)))))</f>
        <v/>
      </c>
      <c r="G45" s="44">
        <f>IF(_calc!$E$47="","",IF(LEN(INDEX('Assets'!$P$4:$P$503,_calc!$E$47))=0,"",INDEX('Assets'!$P$4:$P$503,_calc!$E$47)))</f>
        <v/>
      </c>
      <c r="K45" s="44">
        <f>IF(_calc!$E$47="","",IF(LEN(INDEX('Assets'!$N$4:$N$503,_calc!$E$47))=0,"",INDEX('Assets'!$N$4:$N$503,_calc!$E$47)))</f>
        <v/>
      </c>
    </row>
    <row r="46">
      <c r="A46" s="44">
        <f>IF(_calc!$E$48="","",IF(LEN(INDEX('Assets'!$D$4:$D$503,_calc!$E$48))=0,"",INDEX('Assets'!$D$4:$D$503,_calc!$E$48))&amp;" – "&amp;IF(LEN(INDEX('Assets'!$A$4:$A$503,_calc!$E$48))=0,"",INDEX('Assets'!$A$4:$A$503,_calc!$E$48)))</f>
        <v/>
      </c>
      <c r="B46" s="44">
        <f>IF(_calc!$E$48="","",IF(ISNUMBER(INDEX('Assets'!$G$4:$G$503,_calc!$E$48)),TEXT(INDEX('Assets'!$G$4:$G$503,_calc!$E$48),"yyyy-mm-dd"),""))</f>
        <v/>
      </c>
      <c r="C46" s="44">
        <f>IF(_calc!$E$48="","","Inspection")</f>
        <v/>
      </c>
      <c r="D46" s="44">
        <f>IF(_calc!$E$48="","",IF(ISNUMBER(INDEX('Assets'!$F$4:$F$503,_calc!$E$48)),TEXT(INDEX('Assets'!$F$4:$F$503,_calc!$E$48),"yyyy-mm-dd"),""))</f>
        <v/>
      </c>
      <c r="E46" s="44">
        <f>IF(_calc!$E$48="","",IF(LEN(INDEX('Assets'!$O$4:$O$503,_calc!$E$48))=0,"",INDEX('Assets'!$O$4:$O$503,_calc!$E$48)))</f>
        <v/>
      </c>
      <c r="F46" s="44">
        <f>IF(_calc!$E$48="","",TRIM(IF(LEN(IF(LEN(INDEX('Assets'!$B$4:$B$503,_calc!$E$48))=0,"",INDEX('Assets'!$B$4:$B$503,_calc!$E$48)))=0,"","Asset ID: "&amp;IF(LEN(INDEX('Assets'!$B$4:$B$503,_calc!$E$48))=0,"",INDEX('Assets'!$B$4:$B$503,_calc!$E$48))&amp;". ")&amp;IF(LEN(IF(LEN(INDEX('Assets'!$C$4:$C$503,_calc!$E$48))=0,"",INDEX('Assets'!$C$4:$C$503,_calc!$E$48)))=0,"","Location: "&amp;IF(LEN(INDEX('Assets'!$C$4:$C$503,_calc!$E$48))=0,"",INDEX('Assets'!$C$4:$C$503,_calc!$E$48))&amp;". ")&amp;IF(LEN(IF(LEN(INDEX('Assets'!$E$4:$E$503,_calc!$E$48))=0,"",INDEX('Assets'!$E$4:$E$503,_calc!$E$48)))=0,"","Every (months): "&amp;IF(LEN(INDEX('Assets'!$E$4:$E$503,_calc!$E$48))=0,"",INDEX('Assets'!$E$4:$E$503,_calc!$E$48))&amp;". ")&amp;IF(LEN(IF(LEN(INDEX('Assets'!$M$4:$M$503,_calc!$E$48))=0,"",INDEX('Assets'!$M$4:$M$503,_calc!$E$48)))=0,"","Last result: "&amp;IF(LEN(INDEX('Assets'!$M$4:$M$503,_calc!$E$48))=0,"",INDEX('Assets'!$M$4:$M$503,_calc!$E$48))&amp;". ")&amp;IF(LEN(IF(LEN(INDEX('Assets'!$Q$4:$Q$503,_calc!$E$48))=0,"",INDEX('Assets'!$Q$4:$Q$503,_calc!$E$48)))=0,"",IF(LEN(INDEX('Assets'!$Q$4:$Q$503,_calc!$E$48))=0,"",INDEX('Assets'!$Q$4:$Q$503,_calc!$E$48)))))</f>
        <v/>
      </c>
      <c r="G46" s="44">
        <f>IF(_calc!$E$48="","",IF(LEN(INDEX('Assets'!$P$4:$P$503,_calc!$E$48))=0,"",INDEX('Assets'!$P$4:$P$503,_calc!$E$48)))</f>
        <v/>
      </c>
      <c r="K46" s="44">
        <f>IF(_calc!$E$48="","",IF(LEN(INDEX('Assets'!$N$4:$N$503,_calc!$E$48))=0,"",INDEX('Assets'!$N$4:$N$503,_calc!$E$48)))</f>
        <v/>
      </c>
    </row>
    <row r="47">
      <c r="A47" s="44">
        <f>IF(_calc!$E$49="","",IF(LEN(INDEX('Assets'!$D$4:$D$503,_calc!$E$49))=0,"",INDEX('Assets'!$D$4:$D$503,_calc!$E$49))&amp;" – "&amp;IF(LEN(INDEX('Assets'!$A$4:$A$503,_calc!$E$49))=0,"",INDEX('Assets'!$A$4:$A$503,_calc!$E$49)))</f>
        <v/>
      </c>
      <c r="B47" s="44">
        <f>IF(_calc!$E$49="","",IF(ISNUMBER(INDEX('Assets'!$G$4:$G$503,_calc!$E$49)),TEXT(INDEX('Assets'!$G$4:$G$503,_calc!$E$49),"yyyy-mm-dd"),""))</f>
        <v/>
      </c>
      <c r="C47" s="44">
        <f>IF(_calc!$E$49="","","Inspection")</f>
        <v/>
      </c>
      <c r="D47" s="44">
        <f>IF(_calc!$E$49="","",IF(ISNUMBER(INDEX('Assets'!$F$4:$F$503,_calc!$E$49)),TEXT(INDEX('Assets'!$F$4:$F$503,_calc!$E$49),"yyyy-mm-dd"),""))</f>
        <v/>
      </c>
      <c r="E47" s="44">
        <f>IF(_calc!$E$49="","",IF(LEN(INDEX('Assets'!$O$4:$O$503,_calc!$E$49))=0,"",INDEX('Assets'!$O$4:$O$503,_calc!$E$49)))</f>
        <v/>
      </c>
      <c r="F47" s="44">
        <f>IF(_calc!$E$49="","",TRIM(IF(LEN(IF(LEN(INDEX('Assets'!$B$4:$B$503,_calc!$E$49))=0,"",INDEX('Assets'!$B$4:$B$503,_calc!$E$49)))=0,"","Asset ID: "&amp;IF(LEN(INDEX('Assets'!$B$4:$B$503,_calc!$E$49))=0,"",INDEX('Assets'!$B$4:$B$503,_calc!$E$49))&amp;". ")&amp;IF(LEN(IF(LEN(INDEX('Assets'!$C$4:$C$503,_calc!$E$49))=0,"",INDEX('Assets'!$C$4:$C$503,_calc!$E$49)))=0,"","Location: "&amp;IF(LEN(INDEX('Assets'!$C$4:$C$503,_calc!$E$49))=0,"",INDEX('Assets'!$C$4:$C$503,_calc!$E$49))&amp;". ")&amp;IF(LEN(IF(LEN(INDEX('Assets'!$E$4:$E$503,_calc!$E$49))=0,"",INDEX('Assets'!$E$4:$E$503,_calc!$E$49)))=0,"","Every (months): "&amp;IF(LEN(INDEX('Assets'!$E$4:$E$503,_calc!$E$49))=0,"",INDEX('Assets'!$E$4:$E$503,_calc!$E$49))&amp;". ")&amp;IF(LEN(IF(LEN(INDEX('Assets'!$M$4:$M$503,_calc!$E$49))=0,"",INDEX('Assets'!$M$4:$M$503,_calc!$E$49)))=0,"","Last result: "&amp;IF(LEN(INDEX('Assets'!$M$4:$M$503,_calc!$E$49))=0,"",INDEX('Assets'!$M$4:$M$503,_calc!$E$49))&amp;". ")&amp;IF(LEN(IF(LEN(INDEX('Assets'!$Q$4:$Q$503,_calc!$E$49))=0,"",INDEX('Assets'!$Q$4:$Q$503,_calc!$E$49)))=0,"",IF(LEN(INDEX('Assets'!$Q$4:$Q$503,_calc!$E$49))=0,"",INDEX('Assets'!$Q$4:$Q$503,_calc!$E$49)))))</f>
        <v/>
      </c>
      <c r="G47" s="44">
        <f>IF(_calc!$E$49="","",IF(LEN(INDEX('Assets'!$P$4:$P$503,_calc!$E$49))=0,"",INDEX('Assets'!$P$4:$P$503,_calc!$E$49)))</f>
        <v/>
      </c>
      <c r="K47" s="44">
        <f>IF(_calc!$E$49="","",IF(LEN(INDEX('Assets'!$N$4:$N$503,_calc!$E$49))=0,"",INDEX('Assets'!$N$4:$N$503,_calc!$E$49)))</f>
        <v/>
      </c>
    </row>
    <row r="48">
      <c r="A48" s="44">
        <f>IF(_calc!$E$50="","",IF(LEN(INDEX('Assets'!$D$4:$D$503,_calc!$E$50))=0,"",INDEX('Assets'!$D$4:$D$503,_calc!$E$50))&amp;" – "&amp;IF(LEN(INDEX('Assets'!$A$4:$A$503,_calc!$E$50))=0,"",INDEX('Assets'!$A$4:$A$503,_calc!$E$50)))</f>
        <v/>
      </c>
      <c r="B48" s="44">
        <f>IF(_calc!$E$50="","",IF(ISNUMBER(INDEX('Assets'!$G$4:$G$503,_calc!$E$50)),TEXT(INDEX('Assets'!$G$4:$G$503,_calc!$E$50),"yyyy-mm-dd"),""))</f>
        <v/>
      </c>
      <c r="C48" s="44">
        <f>IF(_calc!$E$50="","","Inspection")</f>
        <v/>
      </c>
      <c r="D48" s="44">
        <f>IF(_calc!$E$50="","",IF(ISNUMBER(INDEX('Assets'!$F$4:$F$503,_calc!$E$50)),TEXT(INDEX('Assets'!$F$4:$F$503,_calc!$E$50),"yyyy-mm-dd"),""))</f>
        <v/>
      </c>
      <c r="E48" s="44">
        <f>IF(_calc!$E$50="","",IF(LEN(INDEX('Assets'!$O$4:$O$503,_calc!$E$50))=0,"",INDEX('Assets'!$O$4:$O$503,_calc!$E$50)))</f>
        <v/>
      </c>
      <c r="F48" s="44">
        <f>IF(_calc!$E$50="","",TRIM(IF(LEN(IF(LEN(INDEX('Assets'!$B$4:$B$503,_calc!$E$50))=0,"",INDEX('Assets'!$B$4:$B$503,_calc!$E$50)))=0,"","Asset ID: "&amp;IF(LEN(INDEX('Assets'!$B$4:$B$503,_calc!$E$50))=0,"",INDEX('Assets'!$B$4:$B$503,_calc!$E$50))&amp;". ")&amp;IF(LEN(IF(LEN(INDEX('Assets'!$C$4:$C$503,_calc!$E$50))=0,"",INDEX('Assets'!$C$4:$C$503,_calc!$E$50)))=0,"","Location: "&amp;IF(LEN(INDEX('Assets'!$C$4:$C$503,_calc!$E$50))=0,"",INDEX('Assets'!$C$4:$C$503,_calc!$E$50))&amp;". ")&amp;IF(LEN(IF(LEN(INDEX('Assets'!$E$4:$E$503,_calc!$E$50))=0,"",INDEX('Assets'!$E$4:$E$503,_calc!$E$50)))=0,"","Every (months): "&amp;IF(LEN(INDEX('Assets'!$E$4:$E$503,_calc!$E$50))=0,"",INDEX('Assets'!$E$4:$E$503,_calc!$E$50))&amp;". ")&amp;IF(LEN(IF(LEN(INDEX('Assets'!$M$4:$M$503,_calc!$E$50))=0,"",INDEX('Assets'!$M$4:$M$503,_calc!$E$50)))=0,"","Last result: "&amp;IF(LEN(INDEX('Assets'!$M$4:$M$503,_calc!$E$50))=0,"",INDEX('Assets'!$M$4:$M$503,_calc!$E$50))&amp;". ")&amp;IF(LEN(IF(LEN(INDEX('Assets'!$Q$4:$Q$503,_calc!$E$50))=0,"",INDEX('Assets'!$Q$4:$Q$503,_calc!$E$50)))=0,"",IF(LEN(INDEX('Assets'!$Q$4:$Q$503,_calc!$E$50))=0,"",INDEX('Assets'!$Q$4:$Q$503,_calc!$E$50)))))</f>
        <v/>
      </c>
      <c r="G48" s="44">
        <f>IF(_calc!$E$50="","",IF(LEN(INDEX('Assets'!$P$4:$P$503,_calc!$E$50))=0,"",INDEX('Assets'!$P$4:$P$503,_calc!$E$50)))</f>
        <v/>
      </c>
      <c r="K48" s="44">
        <f>IF(_calc!$E$50="","",IF(LEN(INDEX('Assets'!$N$4:$N$503,_calc!$E$50))=0,"",INDEX('Assets'!$N$4:$N$503,_calc!$E$50)))</f>
        <v/>
      </c>
    </row>
    <row r="49">
      <c r="A49" s="44">
        <f>IF(_calc!$E$51="","",IF(LEN(INDEX('Assets'!$D$4:$D$503,_calc!$E$51))=0,"",INDEX('Assets'!$D$4:$D$503,_calc!$E$51))&amp;" – "&amp;IF(LEN(INDEX('Assets'!$A$4:$A$503,_calc!$E$51))=0,"",INDEX('Assets'!$A$4:$A$503,_calc!$E$51)))</f>
        <v/>
      </c>
      <c r="B49" s="44">
        <f>IF(_calc!$E$51="","",IF(ISNUMBER(INDEX('Assets'!$G$4:$G$503,_calc!$E$51)),TEXT(INDEX('Assets'!$G$4:$G$503,_calc!$E$51),"yyyy-mm-dd"),""))</f>
        <v/>
      </c>
      <c r="C49" s="44">
        <f>IF(_calc!$E$51="","","Inspection")</f>
        <v/>
      </c>
      <c r="D49" s="44">
        <f>IF(_calc!$E$51="","",IF(ISNUMBER(INDEX('Assets'!$F$4:$F$503,_calc!$E$51)),TEXT(INDEX('Assets'!$F$4:$F$503,_calc!$E$51),"yyyy-mm-dd"),""))</f>
        <v/>
      </c>
      <c r="E49" s="44">
        <f>IF(_calc!$E$51="","",IF(LEN(INDEX('Assets'!$O$4:$O$503,_calc!$E$51))=0,"",INDEX('Assets'!$O$4:$O$503,_calc!$E$51)))</f>
        <v/>
      </c>
      <c r="F49" s="44">
        <f>IF(_calc!$E$51="","",TRIM(IF(LEN(IF(LEN(INDEX('Assets'!$B$4:$B$503,_calc!$E$51))=0,"",INDEX('Assets'!$B$4:$B$503,_calc!$E$51)))=0,"","Asset ID: "&amp;IF(LEN(INDEX('Assets'!$B$4:$B$503,_calc!$E$51))=0,"",INDEX('Assets'!$B$4:$B$503,_calc!$E$51))&amp;". ")&amp;IF(LEN(IF(LEN(INDEX('Assets'!$C$4:$C$503,_calc!$E$51))=0,"",INDEX('Assets'!$C$4:$C$503,_calc!$E$51)))=0,"","Location: "&amp;IF(LEN(INDEX('Assets'!$C$4:$C$503,_calc!$E$51))=0,"",INDEX('Assets'!$C$4:$C$503,_calc!$E$51))&amp;". ")&amp;IF(LEN(IF(LEN(INDEX('Assets'!$E$4:$E$503,_calc!$E$51))=0,"",INDEX('Assets'!$E$4:$E$503,_calc!$E$51)))=0,"","Every (months): "&amp;IF(LEN(INDEX('Assets'!$E$4:$E$503,_calc!$E$51))=0,"",INDEX('Assets'!$E$4:$E$503,_calc!$E$51))&amp;". ")&amp;IF(LEN(IF(LEN(INDEX('Assets'!$M$4:$M$503,_calc!$E$51))=0,"",INDEX('Assets'!$M$4:$M$503,_calc!$E$51)))=0,"","Last result: "&amp;IF(LEN(INDEX('Assets'!$M$4:$M$503,_calc!$E$51))=0,"",INDEX('Assets'!$M$4:$M$503,_calc!$E$51))&amp;". ")&amp;IF(LEN(IF(LEN(INDEX('Assets'!$Q$4:$Q$503,_calc!$E$51))=0,"",INDEX('Assets'!$Q$4:$Q$503,_calc!$E$51)))=0,"",IF(LEN(INDEX('Assets'!$Q$4:$Q$503,_calc!$E$51))=0,"",INDEX('Assets'!$Q$4:$Q$503,_calc!$E$51)))))</f>
        <v/>
      </c>
      <c r="G49" s="44">
        <f>IF(_calc!$E$51="","",IF(LEN(INDEX('Assets'!$P$4:$P$503,_calc!$E$51))=0,"",INDEX('Assets'!$P$4:$P$503,_calc!$E$51)))</f>
        <v/>
      </c>
      <c r="K49" s="44">
        <f>IF(_calc!$E$51="","",IF(LEN(INDEX('Assets'!$N$4:$N$503,_calc!$E$51))=0,"",INDEX('Assets'!$N$4:$N$503,_calc!$E$51)))</f>
        <v/>
      </c>
    </row>
    <row r="50">
      <c r="A50" s="44">
        <f>IF(_calc!$E$52="","",IF(LEN(INDEX('Assets'!$D$4:$D$503,_calc!$E$52))=0,"",INDEX('Assets'!$D$4:$D$503,_calc!$E$52))&amp;" – "&amp;IF(LEN(INDEX('Assets'!$A$4:$A$503,_calc!$E$52))=0,"",INDEX('Assets'!$A$4:$A$503,_calc!$E$52)))</f>
        <v/>
      </c>
      <c r="B50" s="44">
        <f>IF(_calc!$E$52="","",IF(ISNUMBER(INDEX('Assets'!$G$4:$G$503,_calc!$E$52)),TEXT(INDEX('Assets'!$G$4:$G$503,_calc!$E$52),"yyyy-mm-dd"),""))</f>
        <v/>
      </c>
      <c r="C50" s="44">
        <f>IF(_calc!$E$52="","","Inspection")</f>
        <v/>
      </c>
      <c r="D50" s="44">
        <f>IF(_calc!$E$52="","",IF(ISNUMBER(INDEX('Assets'!$F$4:$F$503,_calc!$E$52)),TEXT(INDEX('Assets'!$F$4:$F$503,_calc!$E$52),"yyyy-mm-dd"),""))</f>
        <v/>
      </c>
      <c r="E50" s="44">
        <f>IF(_calc!$E$52="","",IF(LEN(INDEX('Assets'!$O$4:$O$503,_calc!$E$52))=0,"",INDEX('Assets'!$O$4:$O$503,_calc!$E$52)))</f>
        <v/>
      </c>
      <c r="F50" s="44">
        <f>IF(_calc!$E$52="","",TRIM(IF(LEN(IF(LEN(INDEX('Assets'!$B$4:$B$503,_calc!$E$52))=0,"",INDEX('Assets'!$B$4:$B$503,_calc!$E$52)))=0,"","Asset ID: "&amp;IF(LEN(INDEX('Assets'!$B$4:$B$503,_calc!$E$52))=0,"",INDEX('Assets'!$B$4:$B$503,_calc!$E$52))&amp;". ")&amp;IF(LEN(IF(LEN(INDEX('Assets'!$C$4:$C$503,_calc!$E$52))=0,"",INDEX('Assets'!$C$4:$C$503,_calc!$E$52)))=0,"","Location: "&amp;IF(LEN(INDEX('Assets'!$C$4:$C$503,_calc!$E$52))=0,"",INDEX('Assets'!$C$4:$C$503,_calc!$E$52))&amp;". ")&amp;IF(LEN(IF(LEN(INDEX('Assets'!$E$4:$E$503,_calc!$E$52))=0,"",INDEX('Assets'!$E$4:$E$503,_calc!$E$52)))=0,"","Every (months): "&amp;IF(LEN(INDEX('Assets'!$E$4:$E$503,_calc!$E$52))=0,"",INDEX('Assets'!$E$4:$E$503,_calc!$E$52))&amp;". ")&amp;IF(LEN(IF(LEN(INDEX('Assets'!$M$4:$M$503,_calc!$E$52))=0,"",INDEX('Assets'!$M$4:$M$503,_calc!$E$52)))=0,"","Last result: "&amp;IF(LEN(INDEX('Assets'!$M$4:$M$503,_calc!$E$52))=0,"",INDEX('Assets'!$M$4:$M$503,_calc!$E$52))&amp;". ")&amp;IF(LEN(IF(LEN(INDEX('Assets'!$Q$4:$Q$503,_calc!$E$52))=0,"",INDEX('Assets'!$Q$4:$Q$503,_calc!$E$52)))=0,"",IF(LEN(INDEX('Assets'!$Q$4:$Q$503,_calc!$E$52))=0,"",INDEX('Assets'!$Q$4:$Q$503,_calc!$E$52)))))</f>
        <v/>
      </c>
      <c r="G50" s="44">
        <f>IF(_calc!$E$52="","",IF(LEN(INDEX('Assets'!$P$4:$P$503,_calc!$E$52))=0,"",INDEX('Assets'!$P$4:$P$503,_calc!$E$52)))</f>
        <v/>
      </c>
      <c r="K50" s="44">
        <f>IF(_calc!$E$52="","",IF(LEN(INDEX('Assets'!$N$4:$N$503,_calc!$E$52))=0,"",INDEX('Assets'!$N$4:$N$503,_calc!$E$52)))</f>
        <v/>
      </c>
    </row>
    <row r="51">
      <c r="A51" s="44">
        <f>IF(_calc!$E$53="","",IF(LEN(INDEX('Assets'!$D$4:$D$503,_calc!$E$53))=0,"",INDEX('Assets'!$D$4:$D$503,_calc!$E$53))&amp;" – "&amp;IF(LEN(INDEX('Assets'!$A$4:$A$503,_calc!$E$53))=0,"",INDEX('Assets'!$A$4:$A$503,_calc!$E$53)))</f>
        <v/>
      </c>
      <c r="B51" s="44">
        <f>IF(_calc!$E$53="","",IF(ISNUMBER(INDEX('Assets'!$G$4:$G$503,_calc!$E$53)),TEXT(INDEX('Assets'!$G$4:$G$503,_calc!$E$53),"yyyy-mm-dd"),""))</f>
        <v/>
      </c>
      <c r="C51" s="44">
        <f>IF(_calc!$E$53="","","Inspection")</f>
        <v/>
      </c>
      <c r="D51" s="44">
        <f>IF(_calc!$E$53="","",IF(ISNUMBER(INDEX('Assets'!$F$4:$F$503,_calc!$E$53)),TEXT(INDEX('Assets'!$F$4:$F$503,_calc!$E$53),"yyyy-mm-dd"),""))</f>
        <v/>
      </c>
      <c r="E51" s="44">
        <f>IF(_calc!$E$53="","",IF(LEN(INDEX('Assets'!$O$4:$O$503,_calc!$E$53))=0,"",INDEX('Assets'!$O$4:$O$503,_calc!$E$53)))</f>
        <v/>
      </c>
      <c r="F51" s="44">
        <f>IF(_calc!$E$53="","",TRIM(IF(LEN(IF(LEN(INDEX('Assets'!$B$4:$B$503,_calc!$E$53))=0,"",INDEX('Assets'!$B$4:$B$503,_calc!$E$53)))=0,"","Asset ID: "&amp;IF(LEN(INDEX('Assets'!$B$4:$B$503,_calc!$E$53))=0,"",INDEX('Assets'!$B$4:$B$503,_calc!$E$53))&amp;". ")&amp;IF(LEN(IF(LEN(INDEX('Assets'!$C$4:$C$503,_calc!$E$53))=0,"",INDEX('Assets'!$C$4:$C$503,_calc!$E$53)))=0,"","Location: "&amp;IF(LEN(INDEX('Assets'!$C$4:$C$503,_calc!$E$53))=0,"",INDEX('Assets'!$C$4:$C$503,_calc!$E$53))&amp;". ")&amp;IF(LEN(IF(LEN(INDEX('Assets'!$E$4:$E$503,_calc!$E$53))=0,"",INDEX('Assets'!$E$4:$E$503,_calc!$E$53)))=0,"","Every (months): "&amp;IF(LEN(INDEX('Assets'!$E$4:$E$503,_calc!$E$53))=0,"",INDEX('Assets'!$E$4:$E$503,_calc!$E$53))&amp;". ")&amp;IF(LEN(IF(LEN(INDEX('Assets'!$M$4:$M$503,_calc!$E$53))=0,"",INDEX('Assets'!$M$4:$M$503,_calc!$E$53)))=0,"","Last result: "&amp;IF(LEN(INDEX('Assets'!$M$4:$M$503,_calc!$E$53))=0,"",INDEX('Assets'!$M$4:$M$503,_calc!$E$53))&amp;". ")&amp;IF(LEN(IF(LEN(INDEX('Assets'!$Q$4:$Q$503,_calc!$E$53))=0,"",INDEX('Assets'!$Q$4:$Q$503,_calc!$E$53)))=0,"",IF(LEN(INDEX('Assets'!$Q$4:$Q$503,_calc!$E$53))=0,"",INDEX('Assets'!$Q$4:$Q$503,_calc!$E$53)))))</f>
        <v/>
      </c>
      <c r="G51" s="44">
        <f>IF(_calc!$E$53="","",IF(LEN(INDEX('Assets'!$P$4:$P$503,_calc!$E$53))=0,"",INDEX('Assets'!$P$4:$P$503,_calc!$E$53)))</f>
        <v/>
      </c>
      <c r="K51" s="44">
        <f>IF(_calc!$E$53="","",IF(LEN(INDEX('Assets'!$N$4:$N$503,_calc!$E$53))=0,"",INDEX('Assets'!$N$4:$N$503,_calc!$E$53)))</f>
        <v/>
      </c>
    </row>
    <row r="52">
      <c r="A52" s="44">
        <f>IF(_calc!$E$54="","",IF(LEN(INDEX('Assets'!$D$4:$D$503,_calc!$E$54))=0,"",INDEX('Assets'!$D$4:$D$503,_calc!$E$54))&amp;" – "&amp;IF(LEN(INDEX('Assets'!$A$4:$A$503,_calc!$E$54))=0,"",INDEX('Assets'!$A$4:$A$503,_calc!$E$54)))</f>
        <v/>
      </c>
      <c r="B52" s="44">
        <f>IF(_calc!$E$54="","",IF(ISNUMBER(INDEX('Assets'!$G$4:$G$503,_calc!$E$54)),TEXT(INDEX('Assets'!$G$4:$G$503,_calc!$E$54),"yyyy-mm-dd"),""))</f>
        <v/>
      </c>
      <c r="C52" s="44">
        <f>IF(_calc!$E$54="","","Inspection")</f>
        <v/>
      </c>
      <c r="D52" s="44">
        <f>IF(_calc!$E$54="","",IF(ISNUMBER(INDEX('Assets'!$F$4:$F$503,_calc!$E$54)),TEXT(INDEX('Assets'!$F$4:$F$503,_calc!$E$54),"yyyy-mm-dd"),""))</f>
        <v/>
      </c>
      <c r="E52" s="44">
        <f>IF(_calc!$E$54="","",IF(LEN(INDEX('Assets'!$O$4:$O$503,_calc!$E$54))=0,"",INDEX('Assets'!$O$4:$O$503,_calc!$E$54)))</f>
        <v/>
      </c>
      <c r="F52" s="44">
        <f>IF(_calc!$E$54="","",TRIM(IF(LEN(IF(LEN(INDEX('Assets'!$B$4:$B$503,_calc!$E$54))=0,"",INDEX('Assets'!$B$4:$B$503,_calc!$E$54)))=0,"","Asset ID: "&amp;IF(LEN(INDEX('Assets'!$B$4:$B$503,_calc!$E$54))=0,"",INDEX('Assets'!$B$4:$B$503,_calc!$E$54))&amp;". ")&amp;IF(LEN(IF(LEN(INDEX('Assets'!$C$4:$C$503,_calc!$E$54))=0,"",INDEX('Assets'!$C$4:$C$503,_calc!$E$54)))=0,"","Location: "&amp;IF(LEN(INDEX('Assets'!$C$4:$C$503,_calc!$E$54))=0,"",INDEX('Assets'!$C$4:$C$503,_calc!$E$54))&amp;". ")&amp;IF(LEN(IF(LEN(INDEX('Assets'!$E$4:$E$503,_calc!$E$54))=0,"",INDEX('Assets'!$E$4:$E$503,_calc!$E$54)))=0,"","Every (months): "&amp;IF(LEN(INDEX('Assets'!$E$4:$E$503,_calc!$E$54))=0,"",INDEX('Assets'!$E$4:$E$503,_calc!$E$54))&amp;". ")&amp;IF(LEN(IF(LEN(INDEX('Assets'!$M$4:$M$503,_calc!$E$54))=0,"",INDEX('Assets'!$M$4:$M$503,_calc!$E$54)))=0,"","Last result: "&amp;IF(LEN(INDEX('Assets'!$M$4:$M$503,_calc!$E$54))=0,"",INDEX('Assets'!$M$4:$M$503,_calc!$E$54))&amp;". ")&amp;IF(LEN(IF(LEN(INDEX('Assets'!$Q$4:$Q$503,_calc!$E$54))=0,"",INDEX('Assets'!$Q$4:$Q$503,_calc!$E$54)))=0,"",IF(LEN(INDEX('Assets'!$Q$4:$Q$503,_calc!$E$54))=0,"",INDEX('Assets'!$Q$4:$Q$503,_calc!$E$54)))))</f>
        <v/>
      </c>
      <c r="G52" s="44">
        <f>IF(_calc!$E$54="","",IF(LEN(INDEX('Assets'!$P$4:$P$503,_calc!$E$54))=0,"",INDEX('Assets'!$P$4:$P$503,_calc!$E$54)))</f>
        <v/>
      </c>
      <c r="K52" s="44">
        <f>IF(_calc!$E$54="","",IF(LEN(INDEX('Assets'!$N$4:$N$503,_calc!$E$54))=0,"",INDEX('Assets'!$N$4:$N$503,_calc!$E$54)))</f>
        <v/>
      </c>
    </row>
    <row r="53">
      <c r="A53" s="44">
        <f>IF(_calc!$E$55="","",IF(LEN(INDEX('Assets'!$D$4:$D$503,_calc!$E$55))=0,"",INDEX('Assets'!$D$4:$D$503,_calc!$E$55))&amp;" – "&amp;IF(LEN(INDEX('Assets'!$A$4:$A$503,_calc!$E$55))=0,"",INDEX('Assets'!$A$4:$A$503,_calc!$E$55)))</f>
        <v/>
      </c>
      <c r="B53" s="44">
        <f>IF(_calc!$E$55="","",IF(ISNUMBER(INDEX('Assets'!$G$4:$G$503,_calc!$E$55)),TEXT(INDEX('Assets'!$G$4:$G$503,_calc!$E$55),"yyyy-mm-dd"),""))</f>
        <v/>
      </c>
      <c r="C53" s="44">
        <f>IF(_calc!$E$55="","","Inspection")</f>
        <v/>
      </c>
      <c r="D53" s="44">
        <f>IF(_calc!$E$55="","",IF(ISNUMBER(INDEX('Assets'!$F$4:$F$503,_calc!$E$55)),TEXT(INDEX('Assets'!$F$4:$F$503,_calc!$E$55),"yyyy-mm-dd"),""))</f>
        <v/>
      </c>
      <c r="E53" s="44">
        <f>IF(_calc!$E$55="","",IF(LEN(INDEX('Assets'!$O$4:$O$503,_calc!$E$55))=0,"",INDEX('Assets'!$O$4:$O$503,_calc!$E$55)))</f>
        <v/>
      </c>
      <c r="F53" s="44">
        <f>IF(_calc!$E$55="","",TRIM(IF(LEN(IF(LEN(INDEX('Assets'!$B$4:$B$503,_calc!$E$55))=0,"",INDEX('Assets'!$B$4:$B$503,_calc!$E$55)))=0,"","Asset ID: "&amp;IF(LEN(INDEX('Assets'!$B$4:$B$503,_calc!$E$55))=0,"",INDEX('Assets'!$B$4:$B$503,_calc!$E$55))&amp;". ")&amp;IF(LEN(IF(LEN(INDEX('Assets'!$C$4:$C$503,_calc!$E$55))=0,"",INDEX('Assets'!$C$4:$C$503,_calc!$E$55)))=0,"","Location: "&amp;IF(LEN(INDEX('Assets'!$C$4:$C$503,_calc!$E$55))=0,"",INDEX('Assets'!$C$4:$C$503,_calc!$E$55))&amp;". ")&amp;IF(LEN(IF(LEN(INDEX('Assets'!$E$4:$E$503,_calc!$E$55))=0,"",INDEX('Assets'!$E$4:$E$503,_calc!$E$55)))=0,"","Every (months): "&amp;IF(LEN(INDEX('Assets'!$E$4:$E$503,_calc!$E$55))=0,"",INDEX('Assets'!$E$4:$E$503,_calc!$E$55))&amp;". ")&amp;IF(LEN(IF(LEN(INDEX('Assets'!$M$4:$M$503,_calc!$E$55))=0,"",INDEX('Assets'!$M$4:$M$503,_calc!$E$55)))=0,"","Last result: "&amp;IF(LEN(INDEX('Assets'!$M$4:$M$503,_calc!$E$55))=0,"",INDEX('Assets'!$M$4:$M$503,_calc!$E$55))&amp;". ")&amp;IF(LEN(IF(LEN(INDEX('Assets'!$Q$4:$Q$503,_calc!$E$55))=0,"",INDEX('Assets'!$Q$4:$Q$503,_calc!$E$55)))=0,"",IF(LEN(INDEX('Assets'!$Q$4:$Q$503,_calc!$E$55))=0,"",INDEX('Assets'!$Q$4:$Q$503,_calc!$E$55)))))</f>
        <v/>
      </c>
      <c r="G53" s="44">
        <f>IF(_calc!$E$55="","",IF(LEN(INDEX('Assets'!$P$4:$P$503,_calc!$E$55))=0,"",INDEX('Assets'!$P$4:$P$503,_calc!$E$55)))</f>
        <v/>
      </c>
      <c r="K53" s="44">
        <f>IF(_calc!$E$55="","",IF(LEN(INDEX('Assets'!$N$4:$N$503,_calc!$E$55))=0,"",INDEX('Assets'!$N$4:$N$503,_calc!$E$55)))</f>
        <v/>
      </c>
    </row>
    <row r="54">
      <c r="A54" s="44">
        <f>IF(_calc!$E$56="","",IF(LEN(INDEX('Assets'!$D$4:$D$503,_calc!$E$56))=0,"",INDEX('Assets'!$D$4:$D$503,_calc!$E$56))&amp;" – "&amp;IF(LEN(INDEX('Assets'!$A$4:$A$503,_calc!$E$56))=0,"",INDEX('Assets'!$A$4:$A$503,_calc!$E$56)))</f>
        <v/>
      </c>
      <c r="B54" s="44">
        <f>IF(_calc!$E$56="","",IF(ISNUMBER(INDEX('Assets'!$G$4:$G$503,_calc!$E$56)),TEXT(INDEX('Assets'!$G$4:$G$503,_calc!$E$56),"yyyy-mm-dd"),""))</f>
        <v/>
      </c>
      <c r="C54" s="44">
        <f>IF(_calc!$E$56="","","Inspection")</f>
        <v/>
      </c>
      <c r="D54" s="44">
        <f>IF(_calc!$E$56="","",IF(ISNUMBER(INDEX('Assets'!$F$4:$F$503,_calc!$E$56)),TEXT(INDEX('Assets'!$F$4:$F$503,_calc!$E$56),"yyyy-mm-dd"),""))</f>
        <v/>
      </c>
      <c r="E54" s="44">
        <f>IF(_calc!$E$56="","",IF(LEN(INDEX('Assets'!$O$4:$O$503,_calc!$E$56))=0,"",INDEX('Assets'!$O$4:$O$503,_calc!$E$56)))</f>
        <v/>
      </c>
      <c r="F54" s="44">
        <f>IF(_calc!$E$56="","",TRIM(IF(LEN(IF(LEN(INDEX('Assets'!$B$4:$B$503,_calc!$E$56))=0,"",INDEX('Assets'!$B$4:$B$503,_calc!$E$56)))=0,"","Asset ID: "&amp;IF(LEN(INDEX('Assets'!$B$4:$B$503,_calc!$E$56))=0,"",INDEX('Assets'!$B$4:$B$503,_calc!$E$56))&amp;". ")&amp;IF(LEN(IF(LEN(INDEX('Assets'!$C$4:$C$503,_calc!$E$56))=0,"",INDEX('Assets'!$C$4:$C$503,_calc!$E$56)))=0,"","Location: "&amp;IF(LEN(INDEX('Assets'!$C$4:$C$503,_calc!$E$56))=0,"",INDEX('Assets'!$C$4:$C$503,_calc!$E$56))&amp;". ")&amp;IF(LEN(IF(LEN(INDEX('Assets'!$E$4:$E$503,_calc!$E$56))=0,"",INDEX('Assets'!$E$4:$E$503,_calc!$E$56)))=0,"","Every (months): "&amp;IF(LEN(INDEX('Assets'!$E$4:$E$503,_calc!$E$56))=0,"",INDEX('Assets'!$E$4:$E$503,_calc!$E$56))&amp;". ")&amp;IF(LEN(IF(LEN(INDEX('Assets'!$M$4:$M$503,_calc!$E$56))=0,"",INDEX('Assets'!$M$4:$M$503,_calc!$E$56)))=0,"","Last result: "&amp;IF(LEN(INDEX('Assets'!$M$4:$M$503,_calc!$E$56))=0,"",INDEX('Assets'!$M$4:$M$503,_calc!$E$56))&amp;". ")&amp;IF(LEN(IF(LEN(INDEX('Assets'!$Q$4:$Q$503,_calc!$E$56))=0,"",INDEX('Assets'!$Q$4:$Q$503,_calc!$E$56)))=0,"",IF(LEN(INDEX('Assets'!$Q$4:$Q$503,_calc!$E$56))=0,"",INDEX('Assets'!$Q$4:$Q$503,_calc!$E$56)))))</f>
        <v/>
      </c>
      <c r="G54" s="44">
        <f>IF(_calc!$E$56="","",IF(LEN(INDEX('Assets'!$P$4:$P$503,_calc!$E$56))=0,"",INDEX('Assets'!$P$4:$P$503,_calc!$E$56)))</f>
        <v/>
      </c>
      <c r="K54" s="44">
        <f>IF(_calc!$E$56="","",IF(LEN(INDEX('Assets'!$N$4:$N$503,_calc!$E$56))=0,"",INDEX('Assets'!$N$4:$N$503,_calc!$E$56)))</f>
        <v/>
      </c>
    </row>
    <row r="55">
      <c r="A55" s="44">
        <f>IF(_calc!$E$57="","",IF(LEN(INDEX('Assets'!$D$4:$D$503,_calc!$E$57))=0,"",INDEX('Assets'!$D$4:$D$503,_calc!$E$57))&amp;" – "&amp;IF(LEN(INDEX('Assets'!$A$4:$A$503,_calc!$E$57))=0,"",INDEX('Assets'!$A$4:$A$503,_calc!$E$57)))</f>
        <v/>
      </c>
      <c r="B55" s="44">
        <f>IF(_calc!$E$57="","",IF(ISNUMBER(INDEX('Assets'!$G$4:$G$503,_calc!$E$57)),TEXT(INDEX('Assets'!$G$4:$G$503,_calc!$E$57),"yyyy-mm-dd"),""))</f>
        <v/>
      </c>
      <c r="C55" s="44">
        <f>IF(_calc!$E$57="","","Inspection")</f>
        <v/>
      </c>
      <c r="D55" s="44">
        <f>IF(_calc!$E$57="","",IF(ISNUMBER(INDEX('Assets'!$F$4:$F$503,_calc!$E$57)),TEXT(INDEX('Assets'!$F$4:$F$503,_calc!$E$57),"yyyy-mm-dd"),""))</f>
        <v/>
      </c>
      <c r="E55" s="44">
        <f>IF(_calc!$E$57="","",IF(LEN(INDEX('Assets'!$O$4:$O$503,_calc!$E$57))=0,"",INDEX('Assets'!$O$4:$O$503,_calc!$E$57)))</f>
        <v/>
      </c>
      <c r="F55" s="44">
        <f>IF(_calc!$E$57="","",TRIM(IF(LEN(IF(LEN(INDEX('Assets'!$B$4:$B$503,_calc!$E$57))=0,"",INDEX('Assets'!$B$4:$B$503,_calc!$E$57)))=0,"","Asset ID: "&amp;IF(LEN(INDEX('Assets'!$B$4:$B$503,_calc!$E$57))=0,"",INDEX('Assets'!$B$4:$B$503,_calc!$E$57))&amp;". ")&amp;IF(LEN(IF(LEN(INDEX('Assets'!$C$4:$C$503,_calc!$E$57))=0,"",INDEX('Assets'!$C$4:$C$503,_calc!$E$57)))=0,"","Location: "&amp;IF(LEN(INDEX('Assets'!$C$4:$C$503,_calc!$E$57))=0,"",INDEX('Assets'!$C$4:$C$503,_calc!$E$57))&amp;". ")&amp;IF(LEN(IF(LEN(INDEX('Assets'!$E$4:$E$503,_calc!$E$57))=0,"",INDEX('Assets'!$E$4:$E$503,_calc!$E$57)))=0,"","Every (months): "&amp;IF(LEN(INDEX('Assets'!$E$4:$E$503,_calc!$E$57))=0,"",INDEX('Assets'!$E$4:$E$503,_calc!$E$57))&amp;". ")&amp;IF(LEN(IF(LEN(INDEX('Assets'!$M$4:$M$503,_calc!$E$57))=0,"",INDEX('Assets'!$M$4:$M$503,_calc!$E$57)))=0,"","Last result: "&amp;IF(LEN(INDEX('Assets'!$M$4:$M$503,_calc!$E$57))=0,"",INDEX('Assets'!$M$4:$M$503,_calc!$E$57))&amp;". ")&amp;IF(LEN(IF(LEN(INDEX('Assets'!$Q$4:$Q$503,_calc!$E$57))=0,"",INDEX('Assets'!$Q$4:$Q$503,_calc!$E$57)))=0,"",IF(LEN(INDEX('Assets'!$Q$4:$Q$503,_calc!$E$57))=0,"",INDEX('Assets'!$Q$4:$Q$503,_calc!$E$57)))))</f>
        <v/>
      </c>
      <c r="G55" s="44">
        <f>IF(_calc!$E$57="","",IF(LEN(INDEX('Assets'!$P$4:$P$503,_calc!$E$57))=0,"",INDEX('Assets'!$P$4:$P$503,_calc!$E$57)))</f>
        <v/>
      </c>
      <c r="K55" s="44">
        <f>IF(_calc!$E$57="","",IF(LEN(INDEX('Assets'!$N$4:$N$503,_calc!$E$57))=0,"",INDEX('Assets'!$N$4:$N$503,_calc!$E$57)))</f>
        <v/>
      </c>
    </row>
    <row r="56">
      <c r="A56" s="44">
        <f>IF(_calc!$E$58="","",IF(LEN(INDEX('Assets'!$D$4:$D$503,_calc!$E$58))=0,"",INDEX('Assets'!$D$4:$D$503,_calc!$E$58))&amp;" – "&amp;IF(LEN(INDEX('Assets'!$A$4:$A$503,_calc!$E$58))=0,"",INDEX('Assets'!$A$4:$A$503,_calc!$E$58)))</f>
        <v/>
      </c>
      <c r="B56" s="44">
        <f>IF(_calc!$E$58="","",IF(ISNUMBER(INDEX('Assets'!$G$4:$G$503,_calc!$E$58)),TEXT(INDEX('Assets'!$G$4:$G$503,_calc!$E$58),"yyyy-mm-dd"),""))</f>
        <v/>
      </c>
      <c r="C56" s="44">
        <f>IF(_calc!$E$58="","","Inspection")</f>
        <v/>
      </c>
      <c r="D56" s="44">
        <f>IF(_calc!$E$58="","",IF(ISNUMBER(INDEX('Assets'!$F$4:$F$503,_calc!$E$58)),TEXT(INDEX('Assets'!$F$4:$F$503,_calc!$E$58),"yyyy-mm-dd"),""))</f>
        <v/>
      </c>
      <c r="E56" s="44">
        <f>IF(_calc!$E$58="","",IF(LEN(INDEX('Assets'!$O$4:$O$503,_calc!$E$58))=0,"",INDEX('Assets'!$O$4:$O$503,_calc!$E$58)))</f>
        <v/>
      </c>
      <c r="F56" s="44">
        <f>IF(_calc!$E$58="","",TRIM(IF(LEN(IF(LEN(INDEX('Assets'!$B$4:$B$503,_calc!$E$58))=0,"",INDEX('Assets'!$B$4:$B$503,_calc!$E$58)))=0,"","Asset ID: "&amp;IF(LEN(INDEX('Assets'!$B$4:$B$503,_calc!$E$58))=0,"",INDEX('Assets'!$B$4:$B$503,_calc!$E$58))&amp;". ")&amp;IF(LEN(IF(LEN(INDEX('Assets'!$C$4:$C$503,_calc!$E$58))=0,"",INDEX('Assets'!$C$4:$C$503,_calc!$E$58)))=0,"","Location: "&amp;IF(LEN(INDEX('Assets'!$C$4:$C$503,_calc!$E$58))=0,"",INDEX('Assets'!$C$4:$C$503,_calc!$E$58))&amp;". ")&amp;IF(LEN(IF(LEN(INDEX('Assets'!$E$4:$E$503,_calc!$E$58))=0,"",INDEX('Assets'!$E$4:$E$503,_calc!$E$58)))=0,"","Every (months): "&amp;IF(LEN(INDEX('Assets'!$E$4:$E$503,_calc!$E$58))=0,"",INDEX('Assets'!$E$4:$E$503,_calc!$E$58))&amp;". ")&amp;IF(LEN(IF(LEN(INDEX('Assets'!$M$4:$M$503,_calc!$E$58))=0,"",INDEX('Assets'!$M$4:$M$503,_calc!$E$58)))=0,"","Last result: "&amp;IF(LEN(INDEX('Assets'!$M$4:$M$503,_calc!$E$58))=0,"",INDEX('Assets'!$M$4:$M$503,_calc!$E$58))&amp;". ")&amp;IF(LEN(IF(LEN(INDEX('Assets'!$Q$4:$Q$503,_calc!$E$58))=0,"",INDEX('Assets'!$Q$4:$Q$503,_calc!$E$58)))=0,"",IF(LEN(INDEX('Assets'!$Q$4:$Q$503,_calc!$E$58))=0,"",INDEX('Assets'!$Q$4:$Q$503,_calc!$E$58)))))</f>
        <v/>
      </c>
      <c r="G56" s="44">
        <f>IF(_calc!$E$58="","",IF(LEN(INDEX('Assets'!$P$4:$P$503,_calc!$E$58))=0,"",INDEX('Assets'!$P$4:$P$503,_calc!$E$58)))</f>
        <v/>
      </c>
      <c r="K56" s="44">
        <f>IF(_calc!$E$58="","",IF(LEN(INDEX('Assets'!$N$4:$N$503,_calc!$E$58))=0,"",INDEX('Assets'!$N$4:$N$503,_calc!$E$58)))</f>
        <v/>
      </c>
    </row>
    <row r="57">
      <c r="A57" s="44">
        <f>IF(_calc!$E$59="","",IF(LEN(INDEX('Assets'!$D$4:$D$503,_calc!$E$59))=0,"",INDEX('Assets'!$D$4:$D$503,_calc!$E$59))&amp;" – "&amp;IF(LEN(INDEX('Assets'!$A$4:$A$503,_calc!$E$59))=0,"",INDEX('Assets'!$A$4:$A$503,_calc!$E$59)))</f>
        <v/>
      </c>
      <c r="B57" s="44">
        <f>IF(_calc!$E$59="","",IF(ISNUMBER(INDEX('Assets'!$G$4:$G$503,_calc!$E$59)),TEXT(INDEX('Assets'!$G$4:$G$503,_calc!$E$59),"yyyy-mm-dd"),""))</f>
        <v/>
      </c>
      <c r="C57" s="44">
        <f>IF(_calc!$E$59="","","Inspection")</f>
        <v/>
      </c>
      <c r="D57" s="44">
        <f>IF(_calc!$E$59="","",IF(ISNUMBER(INDEX('Assets'!$F$4:$F$503,_calc!$E$59)),TEXT(INDEX('Assets'!$F$4:$F$503,_calc!$E$59),"yyyy-mm-dd"),""))</f>
        <v/>
      </c>
      <c r="E57" s="44">
        <f>IF(_calc!$E$59="","",IF(LEN(INDEX('Assets'!$O$4:$O$503,_calc!$E$59))=0,"",INDEX('Assets'!$O$4:$O$503,_calc!$E$59)))</f>
        <v/>
      </c>
      <c r="F57" s="44">
        <f>IF(_calc!$E$59="","",TRIM(IF(LEN(IF(LEN(INDEX('Assets'!$B$4:$B$503,_calc!$E$59))=0,"",INDEX('Assets'!$B$4:$B$503,_calc!$E$59)))=0,"","Asset ID: "&amp;IF(LEN(INDEX('Assets'!$B$4:$B$503,_calc!$E$59))=0,"",INDEX('Assets'!$B$4:$B$503,_calc!$E$59))&amp;". ")&amp;IF(LEN(IF(LEN(INDEX('Assets'!$C$4:$C$503,_calc!$E$59))=0,"",INDEX('Assets'!$C$4:$C$503,_calc!$E$59)))=0,"","Location: "&amp;IF(LEN(INDEX('Assets'!$C$4:$C$503,_calc!$E$59))=0,"",INDEX('Assets'!$C$4:$C$503,_calc!$E$59))&amp;". ")&amp;IF(LEN(IF(LEN(INDEX('Assets'!$E$4:$E$503,_calc!$E$59))=0,"",INDEX('Assets'!$E$4:$E$503,_calc!$E$59)))=0,"","Every (months): "&amp;IF(LEN(INDEX('Assets'!$E$4:$E$503,_calc!$E$59))=0,"",INDEX('Assets'!$E$4:$E$503,_calc!$E$59))&amp;". ")&amp;IF(LEN(IF(LEN(INDEX('Assets'!$M$4:$M$503,_calc!$E$59))=0,"",INDEX('Assets'!$M$4:$M$503,_calc!$E$59)))=0,"","Last result: "&amp;IF(LEN(INDEX('Assets'!$M$4:$M$503,_calc!$E$59))=0,"",INDEX('Assets'!$M$4:$M$503,_calc!$E$59))&amp;". ")&amp;IF(LEN(IF(LEN(INDEX('Assets'!$Q$4:$Q$503,_calc!$E$59))=0,"",INDEX('Assets'!$Q$4:$Q$503,_calc!$E$59)))=0,"",IF(LEN(INDEX('Assets'!$Q$4:$Q$503,_calc!$E$59))=0,"",INDEX('Assets'!$Q$4:$Q$503,_calc!$E$59)))))</f>
        <v/>
      </c>
      <c r="G57" s="44">
        <f>IF(_calc!$E$59="","",IF(LEN(INDEX('Assets'!$P$4:$P$503,_calc!$E$59))=0,"",INDEX('Assets'!$P$4:$P$503,_calc!$E$59)))</f>
        <v/>
      </c>
      <c r="K57" s="44">
        <f>IF(_calc!$E$59="","",IF(LEN(INDEX('Assets'!$N$4:$N$503,_calc!$E$59))=0,"",INDEX('Assets'!$N$4:$N$503,_calc!$E$59)))</f>
        <v/>
      </c>
    </row>
    <row r="58">
      <c r="A58" s="44">
        <f>IF(_calc!$E$60="","",IF(LEN(INDEX('Assets'!$D$4:$D$503,_calc!$E$60))=0,"",INDEX('Assets'!$D$4:$D$503,_calc!$E$60))&amp;" – "&amp;IF(LEN(INDEX('Assets'!$A$4:$A$503,_calc!$E$60))=0,"",INDEX('Assets'!$A$4:$A$503,_calc!$E$60)))</f>
        <v/>
      </c>
      <c r="B58" s="44">
        <f>IF(_calc!$E$60="","",IF(ISNUMBER(INDEX('Assets'!$G$4:$G$503,_calc!$E$60)),TEXT(INDEX('Assets'!$G$4:$G$503,_calc!$E$60),"yyyy-mm-dd"),""))</f>
        <v/>
      </c>
      <c r="C58" s="44">
        <f>IF(_calc!$E$60="","","Inspection")</f>
        <v/>
      </c>
      <c r="D58" s="44">
        <f>IF(_calc!$E$60="","",IF(ISNUMBER(INDEX('Assets'!$F$4:$F$503,_calc!$E$60)),TEXT(INDEX('Assets'!$F$4:$F$503,_calc!$E$60),"yyyy-mm-dd"),""))</f>
        <v/>
      </c>
      <c r="E58" s="44">
        <f>IF(_calc!$E$60="","",IF(LEN(INDEX('Assets'!$O$4:$O$503,_calc!$E$60))=0,"",INDEX('Assets'!$O$4:$O$503,_calc!$E$60)))</f>
        <v/>
      </c>
      <c r="F58" s="44">
        <f>IF(_calc!$E$60="","",TRIM(IF(LEN(IF(LEN(INDEX('Assets'!$B$4:$B$503,_calc!$E$60))=0,"",INDEX('Assets'!$B$4:$B$503,_calc!$E$60)))=0,"","Asset ID: "&amp;IF(LEN(INDEX('Assets'!$B$4:$B$503,_calc!$E$60))=0,"",INDEX('Assets'!$B$4:$B$503,_calc!$E$60))&amp;". ")&amp;IF(LEN(IF(LEN(INDEX('Assets'!$C$4:$C$503,_calc!$E$60))=0,"",INDEX('Assets'!$C$4:$C$503,_calc!$E$60)))=0,"","Location: "&amp;IF(LEN(INDEX('Assets'!$C$4:$C$503,_calc!$E$60))=0,"",INDEX('Assets'!$C$4:$C$503,_calc!$E$60))&amp;". ")&amp;IF(LEN(IF(LEN(INDEX('Assets'!$E$4:$E$503,_calc!$E$60))=0,"",INDEX('Assets'!$E$4:$E$503,_calc!$E$60)))=0,"","Every (months): "&amp;IF(LEN(INDEX('Assets'!$E$4:$E$503,_calc!$E$60))=0,"",INDEX('Assets'!$E$4:$E$503,_calc!$E$60))&amp;". ")&amp;IF(LEN(IF(LEN(INDEX('Assets'!$M$4:$M$503,_calc!$E$60))=0,"",INDEX('Assets'!$M$4:$M$503,_calc!$E$60)))=0,"","Last result: "&amp;IF(LEN(INDEX('Assets'!$M$4:$M$503,_calc!$E$60))=0,"",INDEX('Assets'!$M$4:$M$503,_calc!$E$60))&amp;". ")&amp;IF(LEN(IF(LEN(INDEX('Assets'!$Q$4:$Q$503,_calc!$E$60))=0,"",INDEX('Assets'!$Q$4:$Q$503,_calc!$E$60)))=0,"",IF(LEN(INDEX('Assets'!$Q$4:$Q$503,_calc!$E$60))=0,"",INDEX('Assets'!$Q$4:$Q$503,_calc!$E$60)))))</f>
        <v/>
      </c>
      <c r="G58" s="44">
        <f>IF(_calc!$E$60="","",IF(LEN(INDEX('Assets'!$P$4:$P$503,_calc!$E$60))=0,"",INDEX('Assets'!$P$4:$P$503,_calc!$E$60)))</f>
        <v/>
      </c>
      <c r="K58" s="44">
        <f>IF(_calc!$E$60="","",IF(LEN(INDEX('Assets'!$N$4:$N$503,_calc!$E$60))=0,"",INDEX('Assets'!$N$4:$N$503,_calc!$E$60)))</f>
        <v/>
      </c>
    </row>
    <row r="59">
      <c r="A59" s="44">
        <f>IF(_calc!$E$61="","",IF(LEN(INDEX('Assets'!$D$4:$D$503,_calc!$E$61))=0,"",INDEX('Assets'!$D$4:$D$503,_calc!$E$61))&amp;" – "&amp;IF(LEN(INDEX('Assets'!$A$4:$A$503,_calc!$E$61))=0,"",INDEX('Assets'!$A$4:$A$503,_calc!$E$61)))</f>
        <v/>
      </c>
      <c r="B59" s="44">
        <f>IF(_calc!$E$61="","",IF(ISNUMBER(INDEX('Assets'!$G$4:$G$503,_calc!$E$61)),TEXT(INDEX('Assets'!$G$4:$G$503,_calc!$E$61),"yyyy-mm-dd"),""))</f>
        <v/>
      </c>
      <c r="C59" s="44">
        <f>IF(_calc!$E$61="","","Inspection")</f>
        <v/>
      </c>
      <c r="D59" s="44">
        <f>IF(_calc!$E$61="","",IF(ISNUMBER(INDEX('Assets'!$F$4:$F$503,_calc!$E$61)),TEXT(INDEX('Assets'!$F$4:$F$503,_calc!$E$61),"yyyy-mm-dd"),""))</f>
        <v/>
      </c>
      <c r="E59" s="44">
        <f>IF(_calc!$E$61="","",IF(LEN(INDEX('Assets'!$O$4:$O$503,_calc!$E$61))=0,"",INDEX('Assets'!$O$4:$O$503,_calc!$E$61)))</f>
        <v/>
      </c>
      <c r="F59" s="44">
        <f>IF(_calc!$E$61="","",TRIM(IF(LEN(IF(LEN(INDEX('Assets'!$B$4:$B$503,_calc!$E$61))=0,"",INDEX('Assets'!$B$4:$B$503,_calc!$E$61)))=0,"","Asset ID: "&amp;IF(LEN(INDEX('Assets'!$B$4:$B$503,_calc!$E$61))=0,"",INDEX('Assets'!$B$4:$B$503,_calc!$E$61))&amp;". ")&amp;IF(LEN(IF(LEN(INDEX('Assets'!$C$4:$C$503,_calc!$E$61))=0,"",INDEX('Assets'!$C$4:$C$503,_calc!$E$61)))=0,"","Location: "&amp;IF(LEN(INDEX('Assets'!$C$4:$C$503,_calc!$E$61))=0,"",INDEX('Assets'!$C$4:$C$503,_calc!$E$61))&amp;". ")&amp;IF(LEN(IF(LEN(INDEX('Assets'!$E$4:$E$503,_calc!$E$61))=0,"",INDEX('Assets'!$E$4:$E$503,_calc!$E$61)))=0,"","Every (months): "&amp;IF(LEN(INDEX('Assets'!$E$4:$E$503,_calc!$E$61))=0,"",INDEX('Assets'!$E$4:$E$503,_calc!$E$61))&amp;". ")&amp;IF(LEN(IF(LEN(INDEX('Assets'!$M$4:$M$503,_calc!$E$61))=0,"",INDEX('Assets'!$M$4:$M$503,_calc!$E$61)))=0,"","Last result: "&amp;IF(LEN(INDEX('Assets'!$M$4:$M$503,_calc!$E$61))=0,"",INDEX('Assets'!$M$4:$M$503,_calc!$E$61))&amp;". ")&amp;IF(LEN(IF(LEN(INDEX('Assets'!$Q$4:$Q$503,_calc!$E$61))=0,"",INDEX('Assets'!$Q$4:$Q$503,_calc!$E$61)))=0,"",IF(LEN(INDEX('Assets'!$Q$4:$Q$503,_calc!$E$61))=0,"",INDEX('Assets'!$Q$4:$Q$503,_calc!$E$61)))))</f>
        <v/>
      </c>
      <c r="G59" s="44">
        <f>IF(_calc!$E$61="","",IF(LEN(INDEX('Assets'!$P$4:$P$503,_calc!$E$61))=0,"",INDEX('Assets'!$P$4:$P$503,_calc!$E$61)))</f>
        <v/>
      </c>
      <c r="K59" s="44">
        <f>IF(_calc!$E$61="","",IF(LEN(INDEX('Assets'!$N$4:$N$503,_calc!$E$61))=0,"",INDEX('Assets'!$N$4:$N$503,_calc!$E$61)))</f>
        <v/>
      </c>
    </row>
    <row r="60">
      <c r="A60" s="44">
        <f>IF(_calc!$E$62="","",IF(LEN(INDEX('Assets'!$D$4:$D$503,_calc!$E$62))=0,"",INDEX('Assets'!$D$4:$D$503,_calc!$E$62))&amp;" – "&amp;IF(LEN(INDEX('Assets'!$A$4:$A$503,_calc!$E$62))=0,"",INDEX('Assets'!$A$4:$A$503,_calc!$E$62)))</f>
        <v/>
      </c>
      <c r="B60" s="44">
        <f>IF(_calc!$E$62="","",IF(ISNUMBER(INDEX('Assets'!$G$4:$G$503,_calc!$E$62)),TEXT(INDEX('Assets'!$G$4:$G$503,_calc!$E$62),"yyyy-mm-dd"),""))</f>
        <v/>
      </c>
      <c r="C60" s="44">
        <f>IF(_calc!$E$62="","","Inspection")</f>
        <v/>
      </c>
      <c r="D60" s="44">
        <f>IF(_calc!$E$62="","",IF(ISNUMBER(INDEX('Assets'!$F$4:$F$503,_calc!$E$62)),TEXT(INDEX('Assets'!$F$4:$F$503,_calc!$E$62),"yyyy-mm-dd"),""))</f>
        <v/>
      </c>
      <c r="E60" s="44">
        <f>IF(_calc!$E$62="","",IF(LEN(INDEX('Assets'!$O$4:$O$503,_calc!$E$62))=0,"",INDEX('Assets'!$O$4:$O$503,_calc!$E$62)))</f>
        <v/>
      </c>
      <c r="F60" s="44">
        <f>IF(_calc!$E$62="","",TRIM(IF(LEN(IF(LEN(INDEX('Assets'!$B$4:$B$503,_calc!$E$62))=0,"",INDEX('Assets'!$B$4:$B$503,_calc!$E$62)))=0,"","Asset ID: "&amp;IF(LEN(INDEX('Assets'!$B$4:$B$503,_calc!$E$62))=0,"",INDEX('Assets'!$B$4:$B$503,_calc!$E$62))&amp;". ")&amp;IF(LEN(IF(LEN(INDEX('Assets'!$C$4:$C$503,_calc!$E$62))=0,"",INDEX('Assets'!$C$4:$C$503,_calc!$E$62)))=0,"","Location: "&amp;IF(LEN(INDEX('Assets'!$C$4:$C$503,_calc!$E$62))=0,"",INDEX('Assets'!$C$4:$C$503,_calc!$E$62))&amp;". ")&amp;IF(LEN(IF(LEN(INDEX('Assets'!$E$4:$E$503,_calc!$E$62))=0,"",INDEX('Assets'!$E$4:$E$503,_calc!$E$62)))=0,"","Every (months): "&amp;IF(LEN(INDEX('Assets'!$E$4:$E$503,_calc!$E$62))=0,"",INDEX('Assets'!$E$4:$E$503,_calc!$E$62))&amp;". ")&amp;IF(LEN(IF(LEN(INDEX('Assets'!$M$4:$M$503,_calc!$E$62))=0,"",INDEX('Assets'!$M$4:$M$503,_calc!$E$62)))=0,"","Last result: "&amp;IF(LEN(INDEX('Assets'!$M$4:$M$503,_calc!$E$62))=0,"",INDEX('Assets'!$M$4:$M$503,_calc!$E$62))&amp;". ")&amp;IF(LEN(IF(LEN(INDEX('Assets'!$Q$4:$Q$503,_calc!$E$62))=0,"",INDEX('Assets'!$Q$4:$Q$503,_calc!$E$62)))=0,"",IF(LEN(INDEX('Assets'!$Q$4:$Q$503,_calc!$E$62))=0,"",INDEX('Assets'!$Q$4:$Q$503,_calc!$E$62)))))</f>
        <v/>
      </c>
      <c r="G60" s="44">
        <f>IF(_calc!$E$62="","",IF(LEN(INDEX('Assets'!$P$4:$P$503,_calc!$E$62))=0,"",INDEX('Assets'!$P$4:$P$503,_calc!$E$62)))</f>
        <v/>
      </c>
      <c r="K60" s="44">
        <f>IF(_calc!$E$62="","",IF(LEN(INDEX('Assets'!$N$4:$N$503,_calc!$E$62))=0,"",INDEX('Assets'!$N$4:$N$503,_calc!$E$62)))</f>
        <v/>
      </c>
    </row>
    <row r="61">
      <c r="A61" s="44">
        <f>IF(_calc!$E$63="","",IF(LEN(INDEX('Assets'!$D$4:$D$503,_calc!$E$63))=0,"",INDEX('Assets'!$D$4:$D$503,_calc!$E$63))&amp;" – "&amp;IF(LEN(INDEX('Assets'!$A$4:$A$503,_calc!$E$63))=0,"",INDEX('Assets'!$A$4:$A$503,_calc!$E$63)))</f>
        <v/>
      </c>
      <c r="B61" s="44">
        <f>IF(_calc!$E$63="","",IF(ISNUMBER(INDEX('Assets'!$G$4:$G$503,_calc!$E$63)),TEXT(INDEX('Assets'!$G$4:$G$503,_calc!$E$63),"yyyy-mm-dd"),""))</f>
        <v/>
      </c>
      <c r="C61" s="44">
        <f>IF(_calc!$E$63="","","Inspection")</f>
        <v/>
      </c>
      <c r="D61" s="44">
        <f>IF(_calc!$E$63="","",IF(ISNUMBER(INDEX('Assets'!$F$4:$F$503,_calc!$E$63)),TEXT(INDEX('Assets'!$F$4:$F$503,_calc!$E$63),"yyyy-mm-dd"),""))</f>
        <v/>
      </c>
      <c r="E61" s="44">
        <f>IF(_calc!$E$63="","",IF(LEN(INDEX('Assets'!$O$4:$O$503,_calc!$E$63))=0,"",INDEX('Assets'!$O$4:$O$503,_calc!$E$63)))</f>
        <v/>
      </c>
      <c r="F61" s="44">
        <f>IF(_calc!$E$63="","",TRIM(IF(LEN(IF(LEN(INDEX('Assets'!$B$4:$B$503,_calc!$E$63))=0,"",INDEX('Assets'!$B$4:$B$503,_calc!$E$63)))=0,"","Asset ID: "&amp;IF(LEN(INDEX('Assets'!$B$4:$B$503,_calc!$E$63))=0,"",INDEX('Assets'!$B$4:$B$503,_calc!$E$63))&amp;". ")&amp;IF(LEN(IF(LEN(INDEX('Assets'!$C$4:$C$503,_calc!$E$63))=0,"",INDEX('Assets'!$C$4:$C$503,_calc!$E$63)))=0,"","Location: "&amp;IF(LEN(INDEX('Assets'!$C$4:$C$503,_calc!$E$63))=0,"",INDEX('Assets'!$C$4:$C$503,_calc!$E$63))&amp;". ")&amp;IF(LEN(IF(LEN(INDEX('Assets'!$E$4:$E$503,_calc!$E$63))=0,"",INDEX('Assets'!$E$4:$E$503,_calc!$E$63)))=0,"","Every (months): "&amp;IF(LEN(INDEX('Assets'!$E$4:$E$503,_calc!$E$63))=0,"",INDEX('Assets'!$E$4:$E$503,_calc!$E$63))&amp;". ")&amp;IF(LEN(IF(LEN(INDEX('Assets'!$M$4:$M$503,_calc!$E$63))=0,"",INDEX('Assets'!$M$4:$M$503,_calc!$E$63)))=0,"","Last result: "&amp;IF(LEN(INDEX('Assets'!$M$4:$M$503,_calc!$E$63))=0,"",INDEX('Assets'!$M$4:$M$503,_calc!$E$63))&amp;". ")&amp;IF(LEN(IF(LEN(INDEX('Assets'!$Q$4:$Q$503,_calc!$E$63))=0,"",INDEX('Assets'!$Q$4:$Q$503,_calc!$E$63)))=0,"",IF(LEN(INDEX('Assets'!$Q$4:$Q$503,_calc!$E$63))=0,"",INDEX('Assets'!$Q$4:$Q$503,_calc!$E$63)))))</f>
        <v/>
      </c>
      <c r="G61" s="44">
        <f>IF(_calc!$E$63="","",IF(LEN(INDEX('Assets'!$P$4:$P$503,_calc!$E$63))=0,"",INDEX('Assets'!$P$4:$P$503,_calc!$E$63)))</f>
        <v/>
      </c>
      <c r="K61" s="44">
        <f>IF(_calc!$E$63="","",IF(LEN(INDEX('Assets'!$N$4:$N$503,_calc!$E$63))=0,"",INDEX('Assets'!$N$4:$N$503,_calc!$E$63)))</f>
        <v/>
      </c>
    </row>
    <row r="62">
      <c r="A62" s="44">
        <f>IF(_calc!$E$64="","",IF(LEN(INDEX('Assets'!$D$4:$D$503,_calc!$E$64))=0,"",INDEX('Assets'!$D$4:$D$503,_calc!$E$64))&amp;" – "&amp;IF(LEN(INDEX('Assets'!$A$4:$A$503,_calc!$E$64))=0,"",INDEX('Assets'!$A$4:$A$503,_calc!$E$64)))</f>
        <v/>
      </c>
      <c r="B62" s="44">
        <f>IF(_calc!$E$64="","",IF(ISNUMBER(INDEX('Assets'!$G$4:$G$503,_calc!$E$64)),TEXT(INDEX('Assets'!$G$4:$G$503,_calc!$E$64),"yyyy-mm-dd"),""))</f>
        <v/>
      </c>
      <c r="C62" s="44">
        <f>IF(_calc!$E$64="","","Inspection")</f>
        <v/>
      </c>
      <c r="D62" s="44">
        <f>IF(_calc!$E$64="","",IF(ISNUMBER(INDEX('Assets'!$F$4:$F$503,_calc!$E$64)),TEXT(INDEX('Assets'!$F$4:$F$503,_calc!$E$64),"yyyy-mm-dd"),""))</f>
        <v/>
      </c>
      <c r="E62" s="44">
        <f>IF(_calc!$E$64="","",IF(LEN(INDEX('Assets'!$O$4:$O$503,_calc!$E$64))=0,"",INDEX('Assets'!$O$4:$O$503,_calc!$E$64)))</f>
        <v/>
      </c>
      <c r="F62" s="44">
        <f>IF(_calc!$E$64="","",TRIM(IF(LEN(IF(LEN(INDEX('Assets'!$B$4:$B$503,_calc!$E$64))=0,"",INDEX('Assets'!$B$4:$B$503,_calc!$E$64)))=0,"","Asset ID: "&amp;IF(LEN(INDEX('Assets'!$B$4:$B$503,_calc!$E$64))=0,"",INDEX('Assets'!$B$4:$B$503,_calc!$E$64))&amp;". ")&amp;IF(LEN(IF(LEN(INDEX('Assets'!$C$4:$C$503,_calc!$E$64))=0,"",INDEX('Assets'!$C$4:$C$503,_calc!$E$64)))=0,"","Location: "&amp;IF(LEN(INDEX('Assets'!$C$4:$C$503,_calc!$E$64))=0,"",INDEX('Assets'!$C$4:$C$503,_calc!$E$64))&amp;". ")&amp;IF(LEN(IF(LEN(INDEX('Assets'!$E$4:$E$503,_calc!$E$64))=0,"",INDEX('Assets'!$E$4:$E$503,_calc!$E$64)))=0,"","Every (months): "&amp;IF(LEN(INDEX('Assets'!$E$4:$E$503,_calc!$E$64))=0,"",INDEX('Assets'!$E$4:$E$503,_calc!$E$64))&amp;". ")&amp;IF(LEN(IF(LEN(INDEX('Assets'!$M$4:$M$503,_calc!$E$64))=0,"",INDEX('Assets'!$M$4:$M$503,_calc!$E$64)))=0,"","Last result: "&amp;IF(LEN(INDEX('Assets'!$M$4:$M$503,_calc!$E$64))=0,"",INDEX('Assets'!$M$4:$M$503,_calc!$E$64))&amp;". ")&amp;IF(LEN(IF(LEN(INDEX('Assets'!$Q$4:$Q$503,_calc!$E$64))=0,"",INDEX('Assets'!$Q$4:$Q$503,_calc!$E$64)))=0,"",IF(LEN(INDEX('Assets'!$Q$4:$Q$503,_calc!$E$64))=0,"",INDEX('Assets'!$Q$4:$Q$503,_calc!$E$64)))))</f>
        <v/>
      </c>
      <c r="G62" s="44">
        <f>IF(_calc!$E$64="","",IF(LEN(INDEX('Assets'!$P$4:$P$503,_calc!$E$64))=0,"",INDEX('Assets'!$P$4:$P$503,_calc!$E$64)))</f>
        <v/>
      </c>
      <c r="K62" s="44">
        <f>IF(_calc!$E$64="","",IF(LEN(INDEX('Assets'!$N$4:$N$503,_calc!$E$64))=0,"",INDEX('Assets'!$N$4:$N$503,_calc!$E$64)))</f>
        <v/>
      </c>
    </row>
    <row r="63">
      <c r="A63" s="44">
        <f>IF(_calc!$E$65="","",IF(LEN(INDEX('Assets'!$D$4:$D$503,_calc!$E$65))=0,"",INDEX('Assets'!$D$4:$D$503,_calc!$E$65))&amp;" – "&amp;IF(LEN(INDEX('Assets'!$A$4:$A$503,_calc!$E$65))=0,"",INDEX('Assets'!$A$4:$A$503,_calc!$E$65)))</f>
        <v/>
      </c>
      <c r="B63" s="44">
        <f>IF(_calc!$E$65="","",IF(ISNUMBER(INDEX('Assets'!$G$4:$G$503,_calc!$E$65)),TEXT(INDEX('Assets'!$G$4:$G$503,_calc!$E$65),"yyyy-mm-dd"),""))</f>
        <v/>
      </c>
      <c r="C63" s="44">
        <f>IF(_calc!$E$65="","","Inspection")</f>
        <v/>
      </c>
      <c r="D63" s="44">
        <f>IF(_calc!$E$65="","",IF(ISNUMBER(INDEX('Assets'!$F$4:$F$503,_calc!$E$65)),TEXT(INDEX('Assets'!$F$4:$F$503,_calc!$E$65),"yyyy-mm-dd"),""))</f>
        <v/>
      </c>
      <c r="E63" s="44">
        <f>IF(_calc!$E$65="","",IF(LEN(INDEX('Assets'!$O$4:$O$503,_calc!$E$65))=0,"",INDEX('Assets'!$O$4:$O$503,_calc!$E$65)))</f>
        <v/>
      </c>
      <c r="F63" s="44">
        <f>IF(_calc!$E$65="","",TRIM(IF(LEN(IF(LEN(INDEX('Assets'!$B$4:$B$503,_calc!$E$65))=0,"",INDEX('Assets'!$B$4:$B$503,_calc!$E$65)))=0,"","Asset ID: "&amp;IF(LEN(INDEX('Assets'!$B$4:$B$503,_calc!$E$65))=0,"",INDEX('Assets'!$B$4:$B$503,_calc!$E$65))&amp;". ")&amp;IF(LEN(IF(LEN(INDEX('Assets'!$C$4:$C$503,_calc!$E$65))=0,"",INDEX('Assets'!$C$4:$C$503,_calc!$E$65)))=0,"","Location: "&amp;IF(LEN(INDEX('Assets'!$C$4:$C$503,_calc!$E$65))=0,"",INDEX('Assets'!$C$4:$C$503,_calc!$E$65))&amp;". ")&amp;IF(LEN(IF(LEN(INDEX('Assets'!$E$4:$E$503,_calc!$E$65))=0,"",INDEX('Assets'!$E$4:$E$503,_calc!$E$65)))=0,"","Every (months): "&amp;IF(LEN(INDEX('Assets'!$E$4:$E$503,_calc!$E$65))=0,"",INDEX('Assets'!$E$4:$E$503,_calc!$E$65))&amp;". ")&amp;IF(LEN(IF(LEN(INDEX('Assets'!$M$4:$M$503,_calc!$E$65))=0,"",INDEX('Assets'!$M$4:$M$503,_calc!$E$65)))=0,"","Last result: "&amp;IF(LEN(INDEX('Assets'!$M$4:$M$503,_calc!$E$65))=0,"",INDEX('Assets'!$M$4:$M$503,_calc!$E$65))&amp;". ")&amp;IF(LEN(IF(LEN(INDEX('Assets'!$Q$4:$Q$503,_calc!$E$65))=0,"",INDEX('Assets'!$Q$4:$Q$503,_calc!$E$65)))=0,"",IF(LEN(INDEX('Assets'!$Q$4:$Q$503,_calc!$E$65))=0,"",INDEX('Assets'!$Q$4:$Q$503,_calc!$E$65)))))</f>
        <v/>
      </c>
      <c r="G63" s="44">
        <f>IF(_calc!$E$65="","",IF(LEN(INDEX('Assets'!$P$4:$P$503,_calc!$E$65))=0,"",INDEX('Assets'!$P$4:$P$503,_calc!$E$65)))</f>
        <v/>
      </c>
      <c r="K63" s="44">
        <f>IF(_calc!$E$65="","",IF(LEN(INDEX('Assets'!$N$4:$N$503,_calc!$E$65))=0,"",INDEX('Assets'!$N$4:$N$503,_calc!$E$65)))</f>
        <v/>
      </c>
    </row>
    <row r="64">
      <c r="A64" s="44">
        <f>IF(_calc!$E$66="","",IF(LEN(INDEX('Assets'!$D$4:$D$503,_calc!$E$66))=0,"",INDEX('Assets'!$D$4:$D$503,_calc!$E$66))&amp;" – "&amp;IF(LEN(INDEX('Assets'!$A$4:$A$503,_calc!$E$66))=0,"",INDEX('Assets'!$A$4:$A$503,_calc!$E$66)))</f>
        <v/>
      </c>
      <c r="B64" s="44">
        <f>IF(_calc!$E$66="","",IF(ISNUMBER(INDEX('Assets'!$G$4:$G$503,_calc!$E$66)),TEXT(INDEX('Assets'!$G$4:$G$503,_calc!$E$66),"yyyy-mm-dd"),""))</f>
        <v/>
      </c>
      <c r="C64" s="44">
        <f>IF(_calc!$E$66="","","Inspection")</f>
        <v/>
      </c>
      <c r="D64" s="44">
        <f>IF(_calc!$E$66="","",IF(ISNUMBER(INDEX('Assets'!$F$4:$F$503,_calc!$E$66)),TEXT(INDEX('Assets'!$F$4:$F$503,_calc!$E$66),"yyyy-mm-dd"),""))</f>
        <v/>
      </c>
      <c r="E64" s="44">
        <f>IF(_calc!$E$66="","",IF(LEN(INDEX('Assets'!$O$4:$O$503,_calc!$E$66))=0,"",INDEX('Assets'!$O$4:$O$503,_calc!$E$66)))</f>
        <v/>
      </c>
      <c r="F64" s="44">
        <f>IF(_calc!$E$66="","",TRIM(IF(LEN(IF(LEN(INDEX('Assets'!$B$4:$B$503,_calc!$E$66))=0,"",INDEX('Assets'!$B$4:$B$503,_calc!$E$66)))=0,"","Asset ID: "&amp;IF(LEN(INDEX('Assets'!$B$4:$B$503,_calc!$E$66))=0,"",INDEX('Assets'!$B$4:$B$503,_calc!$E$66))&amp;". ")&amp;IF(LEN(IF(LEN(INDEX('Assets'!$C$4:$C$503,_calc!$E$66))=0,"",INDEX('Assets'!$C$4:$C$503,_calc!$E$66)))=0,"","Location: "&amp;IF(LEN(INDEX('Assets'!$C$4:$C$503,_calc!$E$66))=0,"",INDEX('Assets'!$C$4:$C$503,_calc!$E$66))&amp;". ")&amp;IF(LEN(IF(LEN(INDEX('Assets'!$E$4:$E$503,_calc!$E$66))=0,"",INDEX('Assets'!$E$4:$E$503,_calc!$E$66)))=0,"","Every (months): "&amp;IF(LEN(INDEX('Assets'!$E$4:$E$503,_calc!$E$66))=0,"",INDEX('Assets'!$E$4:$E$503,_calc!$E$66))&amp;". ")&amp;IF(LEN(IF(LEN(INDEX('Assets'!$M$4:$M$503,_calc!$E$66))=0,"",INDEX('Assets'!$M$4:$M$503,_calc!$E$66)))=0,"","Last result: "&amp;IF(LEN(INDEX('Assets'!$M$4:$M$503,_calc!$E$66))=0,"",INDEX('Assets'!$M$4:$M$503,_calc!$E$66))&amp;". ")&amp;IF(LEN(IF(LEN(INDEX('Assets'!$Q$4:$Q$503,_calc!$E$66))=0,"",INDEX('Assets'!$Q$4:$Q$503,_calc!$E$66)))=0,"",IF(LEN(INDEX('Assets'!$Q$4:$Q$503,_calc!$E$66))=0,"",INDEX('Assets'!$Q$4:$Q$503,_calc!$E$66)))))</f>
        <v/>
      </c>
      <c r="G64" s="44">
        <f>IF(_calc!$E$66="","",IF(LEN(INDEX('Assets'!$P$4:$P$503,_calc!$E$66))=0,"",INDEX('Assets'!$P$4:$P$503,_calc!$E$66)))</f>
        <v/>
      </c>
      <c r="K64" s="44">
        <f>IF(_calc!$E$66="","",IF(LEN(INDEX('Assets'!$N$4:$N$503,_calc!$E$66))=0,"",INDEX('Assets'!$N$4:$N$503,_calc!$E$66)))</f>
        <v/>
      </c>
    </row>
    <row r="65">
      <c r="A65" s="44">
        <f>IF(_calc!$E$67="","",IF(LEN(INDEX('Assets'!$D$4:$D$503,_calc!$E$67))=0,"",INDEX('Assets'!$D$4:$D$503,_calc!$E$67))&amp;" – "&amp;IF(LEN(INDEX('Assets'!$A$4:$A$503,_calc!$E$67))=0,"",INDEX('Assets'!$A$4:$A$503,_calc!$E$67)))</f>
        <v/>
      </c>
      <c r="B65" s="44">
        <f>IF(_calc!$E$67="","",IF(ISNUMBER(INDEX('Assets'!$G$4:$G$503,_calc!$E$67)),TEXT(INDEX('Assets'!$G$4:$G$503,_calc!$E$67),"yyyy-mm-dd"),""))</f>
        <v/>
      </c>
      <c r="C65" s="44">
        <f>IF(_calc!$E$67="","","Inspection")</f>
        <v/>
      </c>
      <c r="D65" s="44">
        <f>IF(_calc!$E$67="","",IF(ISNUMBER(INDEX('Assets'!$F$4:$F$503,_calc!$E$67)),TEXT(INDEX('Assets'!$F$4:$F$503,_calc!$E$67),"yyyy-mm-dd"),""))</f>
        <v/>
      </c>
      <c r="E65" s="44">
        <f>IF(_calc!$E$67="","",IF(LEN(INDEX('Assets'!$O$4:$O$503,_calc!$E$67))=0,"",INDEX('Assets'!$O$4:$O$503,_calc!$E$67)))</f>
        <v/>
      </c>
      <c r="F65" s="44">
        <f>IF(_calc!$E$67="","",TRIM(IF(LEN(IF(LEN(INDEX('Assets'!$B$4:$B$503,_calc!$E$67))=0,"",INDEX('Assets'!$B$4:$B$503,_calc!$E$67)))=0,"","Asset ID: "&amp;IF(LEN(INDEX('Assets'!$B$4:$B$503,_calc!$E$67))=0,"",INDEX('Assets'!$B$4:$B$503,_calc!$E$67))&amp;". ")&amp;IF(LEN(IF(LEN(INDEX('Assets'!$C$4:$C$503,_calc!$E$67))=0,"",INDEX('Assets'!$C$4:$C$503,_calc!$E$67)))=0,"","Location: "&amp;IF(LEN(INDEX('Assets'!$C$4:$C$503,_calc!$E$67))=0,"",INDEX('Assets'!$C$4:$C$503,_calc!$E$67))&amp;". ")&amp;IF(LEN(IF(LEN(INDEX('Assets'!$E$4:$E$503,_calc!$E$67))=0,"",INDEX('Assets'!$E$4:$E$503,_calc!$E$67)))=0,"","Every (months): "&amp;IF(LEN(INDEX('Assets'!$E$4:$E$503,_calc!$E$67))=0,"",INDEX('Assets'!$E$4:$E$503,_calc!$E$67))&amp;". ")&amp;IF(LEN(IF(LEN(INDEX('Assets'!$M$4:$M$503,_calc!$E$67))=0,"",INDEX('Assets'!$M$4:$M$503,_calc!$E$67)))=0,"","Last result: "&amp;IF(LEN(INDEX('Assets'!$M$4:$M$503,_calc!$E$67))=0,"",INDEX('Assets'!$M$4:$M$503,_calc!$E$67))&amp;". ")&amp;IF(LEN(IF(LEN(INDEX('Assets'!$Q$4:$Q$503,_calc!$E$67))=0,"",INDEX('Assets'!$Q$4:$Q$503,_calc!$E$67)))=0,"",IF(LEN(INDEX('Assets'!$Q$4:$Q$503,_calc!$E$67))=0,"",INDEX('Assets'!$Q$4:$Q$503,_calc!$E$67)))))</f>
        <v/>
      </c>
      <c r="G65" s="44">
        <f>IF(_calc!$E$67="","",IF(LEN(INDEX('Assets'!$P$4:$P$503,_calc!$E$67))=0,"",INDEX('Assets'!$P$4:$P$503,_calc!$E$67)))</f>
        <v/>
      </c>
      <c r="K65" s="44">
        <f>IF(_calc!$E$67="","",IF(LEN(INDEX('Assets'!$N$4:$N$503,_calc!$E$67))=0,"",INDEX('Assets'!$N$4:$N$503,_calc!$E$67)))</f>
        <v/>
      </c>
    </row>
    <row r="66">
      <c r="A66" s="44">
        <f>IF(_calc!$E$68="","",IF(LEN(INDEX('Assets'!$D$4:$D$503,_calc!$E$68))=0,"",INDEX('Assets'!$D$4:$D$503,_calc!$E$68))&amp;" – "&amp;IF(LEN(INDEX('Assets'!$A$4:$A$503,_calc!$E$68))=0,"",INDEX('Assets'!$A$4:$A$503,_calc!$E$68)))</f>
        <v/>
      </c>
      <c r="B66" s="44">
        <f>IF(_calc!$E$68="","",IF(ISNUMBER(INDEX('Assets'!$G$4:$G$503,_calc!$E$68)),TEXT(INDEX('Assets'!$G$4:$G$503,_calc!$E$68),"yyyy-mm-dd"),""))</f>
        <v/>
      </c>
      <c r="C66" s="44">
        <f>IF(_calc!$E$68="","","Inspection")</f>
        <v/>
      </c>
      <c r="D66" s="44">
        <f>IF(_calc!$E$68="","",IF(ISNUMBER(INDEX('Assets'!$F$4:$F$503,_calc!$E$68)),TEXT(INDEX('Assets'!$F$4:$F$503,_calc!$E$68),"yyyy-mm-dd"),""))</f>
        <v/>
      </c>
      <c r="E66" s="44">
        <f>IF(_calc!$E$68="","",IF(LEN(INDEX('Assets'!$O$4:$O$503,_calc!$E$68))=0,"",INDEX('Assets'!$O$4:$O$503,_calc!$E$68)))</f>
        <v/>
      </c>
      <c r="F66" s="44">
        <f>IF(_calc!$E$68="","",TRIM(IF(LEN(IF(LEN(INDEX('Assets'!$B$4:$B$503,_calc!$E$68))=0,"",INDEX('Assets'!$B$4:$B$503,_calc!$E$68)))=0,"","Asset ID: "&amp;IF(LEN(INDEX('Assets'!$B$4:$B$503,_calc!$E$68))=0,"",INDEX('Assets'!$B$4:$B$503,_calc!$E$68))&amp;". ")&amp;IF(LEN(IF(LEN(INDEX('Assets'!$C$4:$C$503,_calc!$E$68))=0,"",INDEX('Assets'!$C$4:$C$503,_calc!$E$68)))=0,"","Location: "&amp;IF(LEN(INDEX('Assets'!$C$4:$C$503,_calc!$E$68))=0,"",INDEX('Assets'!$C$4:$C$503,_calc!$E$68))&amp;". ")&amp;IF(LEN(IF(LEN(INDEX('Assets'!$E$4:$E$503,_calc!$E$68))=0,"",INDEX('Assets'!$E$4:$E$503,_calc!$E$68)))=0,"","Every (months): "&amp;IF(LEN(INDEX('Assets'!$E$4:$E$503,_calc!$E$68))=0,"",INDEX('Assets'!$E$4:$E$503,_calc!$E$68))&amp;". ")&amp;IF(LEN(IF(LEN(INDEX('Assets'!$M$4:$M$503,_calc!$E$68))=0,"",INDEX('Assets'!$M$4:$M$503,_calc!$E$68)))=0,"","Last result: "&amp;IF(LEN(INDEX('Assets'!$M$4:$M$503,_calc!$E$68))=0,"",INDEX('Assets'!$M$4:$M$503,_calc!$E$68))&amp;". ")&amp;IF(LEN(IF(LEN(INDEX('Assets'!$Q$4:$Q$503,_calc!$E$68))=0,"",INDEX('Assets'!$Q$4:$Q$503,_calc!$E$68)))=0,"",IF(LEN(INDEX('Assets'!$Q$4:$Q$503,_calc!$E$68))=0,"",INDEX('Assets'!$Q$4:$Q$503,_calc!$E$68)))))</f>
        <v/>
      </c>
      <c r="G66" s="44">
        <f>IF(_calc!$E$68="","",IF(LEN(INDEX('Assets'!$P$4:$P$503,_calc!$E$68))=0,"",INDEX('Assets'!$P$4:$P$503,_calc!$E$68)))</f>
        <v/>
      </c>
      <c r="K66" s="44">
        <f>IF(_calc!$E$68="","",IF(LEN(INDEX('Assets'!$N$4:$N$503,_calc!$E$68))=0,"",INDEX('Assets'!$N$4:$N$503,_calc!$E$68)))</f>
        <v/>
      </c>
    </row>
    <row r="67">
      <c r="A67" s="44">
        <f>IF(_calc!$E$69="","",IF(LEN(INDEX('Assets'!$D$4:$D$503,_calc!$E$69))=0,"",INDEX('Assets'!$D$4:$D$503,_calc!$E$69))&amp;" – "&amp;IF(LEN(INDEX('Assets'!$A$4:$A$503,_calc!$E$69))=0,"",INDEX('Assets'!$A$4:$A$503,_calc!$E$69)))</f>
        <v/>
      </c>
      <c r="B67" s="44">
        <f>IF(_calc!$E$69="","",IF(ISNUMBER(INDEX('Assets'!$G$4:$G$503,_calc!$E$69)),TEXT(INDEX('Assets'!$G$4:$G$503,_calc!$E$69),"yyyy-mm-dd"),""))</f>
        <v/>
      </c>
      <c r="C67" s="44">
        <f>IF(_calc!$E$69="","","Inspection")</f>
        <v/>
      </c>
      <c r="D67" s="44">
        <f>IF(_calc!$E$69="","",IF(ISNUMBER(INDEX('Assets'!$F$4:$F$503,_calc!$E$69)),TEXT(INDEX('Assets'!$F$4:$F$503,_calc!$E$69),"yyyy-mm-dd"),""))</f>
        <v/>
      </c>
      <c r="E67" s="44">
        <f>IF(_calc!$E$69="","",IF(LEN(INDEX('Assets'!$O$4:$O$503,_calc!$E$69))=0,"",INDEX('Assets'!$O$4:$O$503,_calc!$E$69)))</f>
        <v/>
      </c>
      <c r="F67" s="44">
        <f>IF(_calc!$E$69="","",TRIM(IF(LEN(IF(LEN(INDEX('Assets'!$B$4:$B$503,_calc!$E$69))=0,"",INDEX('Assets'!$B$4:$B$503,_calc!$E$69)))=0,"","Asset ID: "&amp;IF(LEN(INDEX('Assets'!$B$4:$B$503,_calc!$E$69))=0,"",INDEX('Assets'!$B$4:$B$503,_calc!$E$69))&amp;". ")&amp;IF(LEN(IF(LEN(INDEX('Assets'!$C$4:$C$503,_calc!$E$69))=0,"",INDEX('Assets'!$C$4:$C$503,_calc!$E$69)))=0,"","Location: "&amp;IF(LEN(INDEX('Assets'!$C$4:$C$503,_calc!$E$69))=0,"",INDEX('Assets'!$C$4:$C$503,_calc!$E$69))&amp;". ")&amp;IF(LEN(IF(LEN(INDEX('Assets'!$E$4:$E$503,_calc!$E$69))=0,"",INDEX('Assets'!$E$4:$E$503,_calc!$E$69)))=0,"","Every (months): "&amp;IF(LEN(INDEX('Assets'!$E$4:$E$503,_calc!$E$69))=0,"",INDEX('Assets'!$E$4:$E$503,_calc!$E$69))&amp;". ")&amp;IF(LEN(IF(LEN(INDEX('Assets'!$M$4:$M$503,_calc!$E$69))=0,"",INDEX('Assets'!$M$4:$M$503,_calc!$E$69)))=0,"","Last result: "&amp;IF(LEN(INDEX('Assets'!$M$4:$M$503,_calc!$E$69))=0,"",INDEX('Assets'!$M$4:$M$503,_calc!$E$69))&amp;". ")&amp;IF(LEN(IF(LEN(INDEX('Assets'!$Q$4:$Q$503,_calc!$E$69))=0,"",INDEX('Assets'!$Q$4:$Q$503,_calc!$E$69)))=0,"",IF(LEN(INDEX('Assets'!$Q$4:$Q$503,_calc!$E$69))=0,"",INDEX('Assets'!$Q$4:$Q$503,_calc!$E$69)))))</f>
        <v/>
      </c>
      <c r="G67" s="44">
        <f>IF(_calc!$E$69="","",IF(LEN(INDEX('Assets'!$P$4:$P$503,_calc!$E$69))=0,"",INDEX('Assets'!$P$4:$P$503,_calc!$E$69)))</f>
        <v/>
      </c>
      <c r="K67" s="44">
        <f>IF(_calc!$E$69="","",IF(LEN(INDEX('Assets'!$N$4:$N$503,_calc!$E$69))=0,"",INDEX('Assets'!$N$4:$N$503,_calc!$E$69)))</f>
        <v/>
      </c>
    </row>
    <row r="68">
      <c r="A68" s="44">
        <f>IF(_calc!$E$70="","",IF(LEN(INDEX('Assets'!$D$4:$D$503,_calc!$E$70))=0,"",INDEX('Assets'!$D$4:$D$503,_calc!$E$70))&amp;" – "&amp;IF(LEN(INDEX('Assets'!$A$4:$A$503,_calc!$E$70))=0,"",INDEX('Assets'!$A$4:$A$503,_calc!$E$70)))</f>
        <v/>
      </c>
      <c r="B68" s="44">
        <f>IF(_calc!$E$70="","",IF(ISNUMBER(INDEX('Assets'!$G$4:$G$503,_calc!$E$70)),TEXT(INDEX('Assets'!$G$4:$G$503,_calc!$E$70),"yyyy-mm-dd"),""))</f>
        <v/>
      </c>
      <c r="C68" s="44">
        <f>IF(_calc!$E$70="","","Inspection")</f>
        <v/>
      </c>
      <c r="D68" s="44">
        <f>IF(_calc!$E$70="","",IF(ISNUMBER(INDEX('Assets'!$F$4:$F$503,_calc!$E$70)),TEXT(INDEX('Assets'!$F$4:$F$503,_calc!$E$70),"yyyy-mm-dd"),""))</f>
        <v/>
      </c>
      <c r="E68" s="44">
        <f>IF(_calc!$E$70="","",IF(LEN(INDEX('Assets'!$O$4:$O$503,_calc!$E$70))=0,"",INDEX('Assets'!$O$4:$O$503,_calc!$E$70)))</f>
        <v/>
      </c>
      <c r="F68" s="44">
        <f>IF(_calc!$E$70="","",TRIM(IF(LEN(IF(LEN(INDEX('Assets'!$B$4:$B$503,_calc!$E$70))=0,"",INDEX('Assets'!$B$4:$B$503,_calc!$E$70)))=0,"","Asset ID: "&amp;IF(LEN(INDEX('Assets'!$B$4:$B$503,_calc!$E$70))=0,"",INDEX('Assets'!$B$4:$B$503,_calc!$E$70))&amp;". ")&amp;IF(LEN(IF(LEN(INDEX('Assets'!$C$4:$C$503,_calc!$E$70))=0,"",INDEX('Assets'!$C$4:$C$503,_calc!$E$70)))=0,"","Location: "&amp;IF(LEN(INDEX('Assets'!$C$4:$C$503,_calc!$E$70))=0,"",INDEX('Assets'!$C$4:$C$503,_calc!$E$70))&amp;". ")&amp;IF(LEN(IF(LEN(INDEX('Assets'!$E$4:$E$503,_calc!$E$70))=0,"",INDEX('Assets'!$E$4:$E$503,_calc!$E$70)))=0,"","Every (months): "&amp;IF(LEN(INDEX('Assets'!$E$4:$E$503,_calc!$E$70))=0,"",INDEX('Assets'!$E$4:$E$503,_calc!$E$70))&amp;". ")&amp;IF(LEN(IF(LEN(INDEX('Assets'!$M$4:$M$503,_calc!$E$70))=0,"",INDEX('Assets'!$M$4:$M$503,_calc!$E$70)))=0,"","Last result: "&amp;IF(LEN(INDEX('Assets'!$M$4:$M$503,_calc!$E$70))=0,"",INDEX('Assets'!$M$4:$M$503,_calc!$E$70))&amp;". ")&amp;IF(LEN(IF(LEN(INDEX('Assets'!$Q$4:$Q$503,_calc!$E$70))=0,"",INDEX('Assets'!$Q$4:$Q$503,_calc!$E$70)))=0,"",IF(LEN(INDEX('Assets'!$Q$4:$Q$503,_calc!$E$70))=0,"",INDEX('Assets'!$Q$4:$Q$503,_calc!$E$70)))))</f>
        <v/>
      </c>
      <c r="G68" s="44">
        <f>IF(_calc!$E$70="","",IF(LEN(INDEX('Assets'!$P$4:$P$503,_calc!$E$70))=0,"",INDEX('Assets'!$P$4:$P$503,_calc!$E$70)))</f>
        <v/>
      </c>
      <c r="K68" s="44">
        <f>IF(_calc!$E$70="","",IF(LEN(INDEX('Assets'!$N$4:$N$503,_calc!$E$70))=0,"",INDEX('Assets'!$N$4:$N$503,_calc!$E$70)))</f>
        <v/>
      </c>
    </row>
    <row r="69">
      <c r="A69" s="44">
        <f>IF(_calc!$E$71="","",IF(LEN(INDEX('Assets'!$D$4:$D$503,_calc!$E$71))=0,"",INDEX('Assets'!$D$4:$D$503,_calc!$E$71))&amp;" – "&amp;IF(LEN(INDEX('Assets'!$A$4:$A$503,_calc!$E$71))=0,"",INDEX('Assets'!$A$4:$A$503,_calc!$E$71)))</f>
        <v/>
      </c>
      <c r="B69" s="44">
        <f>IF(_calc!$E$71="","",IF(ISNUMBER(INDEX('Assets'!$G$4:$G$503,_calc!$E$71)),TEXT(INDEX('Assets'!$G$4:$G$503,_calc!$E$71),"yyyy-mm-dd"),""))</f>
        <v/>
      </c>
      <c r="C69" s="44">
        <f>IF(_calc!$E$71="","","Inspection")</f>
        <v/>
      </c>
      <c r="D69" s="44">
        <f>IF(_calc!$E$71="","",IF(ISNUMBER(INDEX('Assets'!$F$4:$F$503,_calc!$E$71)),TEXT(INDEX('Assets'!$F$4:$F$503,_calc!$E$71),"yyyy-mm-dd"),""))</f>
        <v/>
      </c>
      <c r="E69" s="44">
        <f>IF(_calc!$E$71="","",IF(LEN(INDEX('Assets'!$O$4:$O$503,_calc!$E$71))=0,"",INDEX('Assets'!$O$4:$O$503,_calc!$E$71)))</f>
        <v/>
      </c>
      <c r="F69" s="44">
        <f>IF(_calc!$E$71="","",TRIM(IF(LEN(IF(LEN(INDEX('Assets'!$B$4:$B$503,_calc!$E$71))=0,"",INDEX('Assets'!$B$4:$B$503,_calc!$E$71)))=0,"","Asset ID: "&amp;IF(LEN(INDEX('Assets'!$B$4:$B$503,_calc!$E$71))=0,"",INDEX('Assets'!$B$4:$B$503,_calc!$E$71))&amp;". ")&amp;IF(LEN(IF(LEN(INDEX('Assets'!$C$4:$C$503,_calc!$E$71))=0,"",INDEX('Assets'!$C$4:$C$503,_calc!$E$71)))=0,"","Location: "&amp;IF(LEN(INDEX('Assets'!$C$4:$C$503,_calc!$E$71))=0,"",INDEX('Assets'!$C$4:$C$503,_calc!$E$71))&amp;". ")&amp;IF(LEN(IF(LEN(INDEX('Assets'!$E$4:$E$503,_calc!$E$71))=0,"",INDEX('Assets'!$E$4:$E$503,_calc!$E$71)))=0,"","Every (months): "&amp;IF(LEN(INDEX('Assets'!$E$4:$E$503,_calc!$E$71))=0,"",INDEX('Assets'!$E$4:$E$503,_calc!$E$71))&amp;". ")&amp;IF(LEN(IF(LEN(INDEX('Assets'!$M$4:$M$503,_calc!$E$71))=0,"",INDEX('Assets'!$M$4:$M$503,_calc!$E$71)))=0,"","Last result: "&amp;IF(LEN(INDEX('Assets'!$M$4:$M$503,_calc!$E$71))=0,"",INDEX('Assets'!$M$4:$M$503,_calc!$E$71))&amp;". ")&amp;IF(LEN(IF(LEN(INDEX('Assets'!$Q$4:$Q$503,_calc!$E$71))=0,"",INDEX('Assets'!$Q$4:$Q$503,_calc!$E$71)))=0,"",IF(LEN(INDEX('Assets'!$Q$4:$Q$503,_calc!$E$71))=0,"",INDEX('Assets'!$Q$4:$Q$503,_calc!$E$71)))))</f>
        <v/>
      </c>
      <c r="G69" s="44">
        <f>IF(_calc!$E$71="","",IF(LEN(INDEX('Assets'!$P$4:$P$503,_calc!$E$71))=0,"",INDEX('Assets'!$P$4:$P$503,_calc!$E$71)))</f>
        <v/>
      </c>
      <c r="K69" s="44">
        <f>IF(_calc!$E$71="","",IF(LEN(INDEX('Assets'!$N$4:$N$503,_calc!$E$71))=0,"",INDEX('Assets'!$N$4:$N$503,_calc!$E$71)))</f>
        <v/>
      </c>
    </row>
    <row r="70">
      <c r="A70" s="44">
        <f>IF(_calc!$E$72="","",IF(LEN(INDEX('Assets'!$D$4:$D$503,_calc!$E$72))=0,"",INDEX('Assets'!$D$4:$D$503,_calc!$E$72))&amp;" – "&amp;IF(LEN(INDEX('Assets'!$A$4:$A$503,_calc!$E$72))=0,"",INDEX('Assets'!$A$4:$A$503,_calc!$E$72)))</f>
        <v/>
      </c>
      <c r="B70" s="44">
        <f>IF(_calc!$E$72="","",IF(ISNUMBER(INDEX('Assets'!$G$4:$G$503,_calc!$E$72)),TEXT(INDEX('Assets'!$G$4:$G$503,_calc!$E$72),"yyyy-mm-dd"),""))</f>
        <v/>
      </c>
      <c r="C70" s="44">
        <f>IF(_calc!$E$72="","","Inspection")</f>
        <v/>
      </c>
      <c r="D70" s="44">
        <f>IF(_calc!$E$72="","",IF(ISNUMBER(INDEX('Assets'!$F$4:$F$503,_calc!$E$72)),TEXT(INDEX('Assets'!$F$4:$F$503,_calc!$E$72),"yyyy-mm-dd"),""))</f>
        <v/>
      </c>
      <c r="E70" s="44">
        <f>IF(_calc!$E$72="","",IF(LEN(INDEX('Assets'!$O$4:$O$503,_calc!$E$72))=0,"",INDEX('Assets'!$O$4:$O$503,_calc!$E$72)))</f>
        <v/>
      </c>
      <c r="F70" s="44">
        <f>IF(_calc!$E$72="","",TRIM(IF(LEN(IF(LEN(INDEX('Assets'!$B$4:$B$503,_calc!$E$72))=0,"",INDEX('Assets'!$B$4:$B$503,_calc!$E$72)))=0,"","Asset ID: "&amp;IF(LEN(INDEX('Assets'!$B$4:$B$503,_calc!$E$72))=0,"",INDEX('Assets'!$B$4:$B$503,_calc!$E$72))&amp;". ")&amp;IF(LEN(IF(LEN(INDEX('Assets'!$C$4:$C$503,_calc!$E$72))=0,"",INDEX('Assets'!$C$4:$C$503,_calc!$E$72)))=0,"","Location: "&amp;IF(LEN(INDEX('Assets'!$C$4:$C$503,_calc!$E$72))=0,"",INDEX('Assets'!$C$4:$C$503,_calc!$E$72))&amp;". ")&amp;IF(LEN(IF(LEN(INDEX('Assets'!$E$4:$E$503,_calc!$E$72))=0,"",INDEX('Assets'!$E$4:$E$503,_calc!$E$72)))=0,"","Every (months): "&amp;IF(LEN(INDEX('Assets'!$E$4:$E$503,_calc!$E$72))=0,"",INDEX('Assets'!$E$4:$E$503,_calc!$E$72))&amp;". ")&amp;IF(LEN(IF(LEN(INDEX('Assets'!$M$4:$M$503,_calc!$E$72))=0,"",INDEX('Assets'!$M$4:$M$503,_calc!$E$72)))=0,"","Last result: "&amp;IF(LEN(INDEX('Assets'!$M$4:$M$503,_calc!$E$72))=0,"",INDEX('Assets'!$M$4:$M$503,_calc!$E$72))&amp;". ")&amp;IF(LEN(IF(LEN(INDEX('Assets'!$Q$4:$Q$503,_calc!$E$72))=0,"",INDEX('Assets'!$Q$4:$Q$503,_calc!$E$72)))=0,"",IF(LEN(INDEX('Assets'!$Q$4:$Q$503,_calc!$E$72))=0,"",INDEX('Assets'!$Q$4:$Q$503,_calc!$E$72)))))</f>
        <v/>
      </c>
      <c r="G70" s="44">
        <f>IF(_calc!$E$72="","",IF(LEN(INDEX('Assets'!$P$4:$P$503,_calc!$E$72))=0,"",INDEX('Assets'!$P$4:$P$503,_calc!$E$72)))</f>
        <v/>
      </c>
      <c r="K70" s="44">
        <f>IF(_calc!$E$72="","",IF(LEN(INDEX('Assets'!$N$4:$N$503,_calc!$E$72))=0,"",INDEX('Assets'!$N$4:$N$503,_calc!$E$72)))</f>
        <v/>
      </c>
    </row>
    <row r="71">
      <c r="A71" s="44">
        <f>IF(_calc!$E$73="","",IF(LEN(INDEX('Assets'!$D$4:$D$503,_calc!$E$73))=0,"",INDEX('Assets'!$D$4:$D$503,_calc!$E$73))&amp;" – "&amp;IF(LEN(INDEX('Assets'!$A$4:$A$503,_calc!$E$73))=0,"",INDEX('Assets'!$A$4:$A$503,_calc!$E$73)))</f>
        <v/>
      </c>
      <c r="B71" s="44">
        <f>IF(_calc!$E$73="","",IF(ISNUMBER(INDEX('Assets'!$G$4:$G$503,_calc!$E$73)),TEXT(INDEX('Assets'!$G$4:$G$503,_calc!$E$73),"yyyy-mm-dd"),""))</f>
        <v/>
      </c>
      <c r="C71" s="44">
        <f>IF(_calc!$E$73="","","Inspection")</f>
        <v/>
      </c>
      <c r="D71" s="44">
        <f>IF(_calc!$E$73="","",IF(ISNUMBER(INDEX('Assets'!$F$4:$F$503,_calc!$E$73)),TEXT(INDEX('Assets'!$F$4:$F$503,_calc!$E$73),"yyyy-mm-dd"),""))</f>
        <v/>
      </c>
      <c r="E71" s="44">
        <f>IF(_calc!$E$73="","",IF(LEN(INDEX('Assets'!$O$4:$O$503,_calc!$E$73))=0,"",INDEX('Assets'!$O$4:$O$503,_calc!$E$73)))</f>
        <v/>
      </c>
      <c r="F71" s="44">
        <f>IF(_calc!$E$73="","",TRIM(IF(LEN(IF(LEN(INDEX('Assets'!$B$4:$B$503,_calc!$E$73))=0,"",INDEX('Assets'!$B$4:$B$503,_calc!$E$73)))=0,"","Asset ID: "&amp;IF(LEN(INDEX('Assets'!$B$4:$B$503,_calc!$E$73))=0,"",INDEX('Assets'!$B$4:$B$503,_calc!$E$73))&amp;". ")&amp;IF(LEN(IF(LEN(INDEX('Assets'!$C$4:$C$503,_calc!$E$73))=0,"",INDEX('Assets'!$C$4:$C$503,_calc!$E$73)))=0,"","Location: "&amp;IF(LEN(INDEX('Assets'!$C$4:$C$503,_calc!$E$73))=0,"",INDEX('Assets'!$C$4:$C$503,_calc!$E$73))&amp;". ")&amp;IF(LEN(IF(LEN(INDEX('Assets'!$E$4:$E$503,_calc!$E$73))=0,"",INDEX('Assets'!$E$4:$E$503,_calc!$E$73)))=0,"","Every (months): "&amp;IF(LEN(INDEX('Assets'!$E$4:$E$503,_calc!$E$73))=0,"",INDEX('Assets'!$E$4:$E$503,_calc!$E$73))&amp;". ")&amp;IF(LEN(IF(LEN(INDEX('Assets'!$M$4:$M$503,_calc!$E$73))=0,"",INDEX('Assets'!$M$4:$M$503,_calc!$E$73)))=0,"","Last result: "&amp;IF(LEN(INDEX('Assets'!$M$4:$M$503,_calc!$E$73))=0,"",INDEX('Assets'!$M$4:$M$503,_calc!$E$73))&amp;". ")&amp;IF(LEN(IF(LEN(INDEX('Assets'!$Q$4:$Q$503,_calc!$E$73))=0,"",INDEX('Assets'!$Q$4:$Q$503,_calc!$E$73)))=0,"",IF(LEN(INDEX('Assets'!$Q$4:$Q$503,_calc!$E$73))=0,"",INDEX('Assets'!$Q$4:$Q$503,_calc!$E$73)))))</f>
        <v/>
      </c>
      <c r="G71" s="44">
        <f>IF(_calc!$E$73="","",IF(LEN(INDEX('Assets'!$P$4:$P$503,_calc!$E$73))=0,"",INDEX('Assets'!$P$4:$P$503,_calc!$E$73)))</f>
        <v/>
      </c>
      <c r="K71" s="44">
        <f>IF(_calc!$E$73="","",IF(LEN(INDEX('Assets'!$N$4:$N$503,_calc!$E$73))=0,"",INDEX('Assets'!$N$4:$N$503,_calc!$E$73)))</f>
        <v/>
      </c>
    </row>
    <row r="72">
      <c r="A72" s="44">
        <f>IF(_calc!$E$74="","",IF(LEN(INDEX('Assets'!$D$4:$D$503,_calc!$E$74))=0,"",INDEX('Assets'!$D$4:$D$503,_calc!$E$74))&amp;" – "&amp;IF(LEN(INDEX('Assets'!$A$4:$A$503,_calc!$E$74))=0,"",INDEX('Assets'!$A$4:$A$503,_calc!$E$74)))</f>
        <v/>
      </c>
      <c r="B72" s="44">
        <f>IF(_calc!$E$74="","",IF(ISNUMBER(INDEX('Assets'!$G$4:$G$503,_calc!$E$74)),TEXT(INDEX('Assets'!$G$4:$G$503,_calc!$E$74),"yyyy-mm-dd"),""))</f>
        <v/>
      </c>
      <c r="C72" s="44">
        <f>IF(_calc!$E$74="","","Inspection")</f>
        <v/>
      </c>
      <c r="D72" s="44">
        <f>IF(_calc!$E$74="","",IF(ISNUMBER(INDEX('Assets'!$F$4:$F$503,_calc!$E$74)),TEXT(INDEX('Assets'!$F$4:$F$503,_calc!$E$74),"yyyy-mm-dd"),""))</f>
        <v/>
      </c>
      <c r="E72" s="44">
        <f>IF(_calc!$E$74="","",IF(LEN(INDEX('Assets'!$O$4:$O$503,_calc!$E$74))=0,"",INDEX('Assets'!$O$4:$O$503,_calc!$E$74)))</f>
        <v/>
      </c>
      <c r="F72" s="44">
        <f>IF(_calc!$E$74="","",TRIM(IF(LEN(IF(LEN(INDEX('Assets'!$B$4:$B$503,_calc!$E$74))=0,"",INDEX('Assets'!$B$4:$B$503,_calc!$E$74)))=0,"","Asset ID: "&amp;IF(LEN(INDEX('Assets'!$B$4:$B$503,_calc!$E$74))=0,"",INDEX('Assets'!$B$4:$B$503,_calc!$E$74))&amp;". ")&amp;IF(LEN(IF(LEN(INDEX('Assets'!$C$4:$C$503,_calc!$E$74))=0,"",INDEX('Assets'!$C$4:$C$503,_calc!$E$74)))=0,"","Location: "&amp;IF(LEN(INDEX('Assets'!$C$4:$C$503,_calc!$E$74))=0,"",INDEX('Assets'!$C$4:$C$503,_calc!$E$74))&amp;". ")&amp;IF(LEN(IF(LEN(INDEX('Assets'!$E$4:$E$503,_calc!$E$74))=0,"",INDEX('Assets'!$E$4:$E$503,_calc!$E$74)))=0,"","Every (months): "&amp;IF(LEN(INDEX('Assets'!$E$4:$E$503,_calc!$E$74))=0,"",INDEX('Assets'!$E$4:$E$503,_calc!$E$74))&amp;". ")&amp;IF(LEN(IF(LEN(INDEX('Assets'!$M$4:$M$503,_calc!$E$74))=0,"",INDEX('Assets'!$M$4:$M$503,_calc!$E$74)))=0,"","Last result: "&amp;IF(LEN(INDEX('Assets'!$M$4:$M$503,_calc!$E$74))=0,"",INDEX('Assets'!$M$4:$M$503,_calc!$E$74))&amp;". ")&amp;IF(LEN(IF(LEN(INDEX('Assets'!$Q$4:$Q$503,_calc!$E$74))=0,"",INDEX('Assets'!$Q$4:$Q$503,_calc!$E$74)))=0,"",IF(LEN(INDEX('Assets'!$Q$4:$Q$503,_calc!$E$74))=0,"",INDEX('Assets'!$Q$4:$Q$503,_calc!$E$74)))))</f>
        <v/>
      </c>
      <c r="G72" s="44">
        <f>IF(_calc!$E$74="","",IF(LEN(INDEX('Assets'!$P$4:$P$503,_calc!$E$74))=0,"",INDEX('Assets'!$P$4:$P$503,_calc!$E$74)))</f>
        <v/>
      </c>
      <c r="K72" s="44">
        <f>IF(_calc!$E$74="","",IF(LEN(INDEX('Assets'!$N$4:$N$503,_calc!$E$74))=0,"",INDEX('Assets'!$N$4:$N$503,_calc!$E$74)))</f>
        <v/>
      </c>
    </row>
    <row r="73">
      <c r="A73" s="44">
        <f>IF(_calc!$E$75="","",IF(LEN(INDEX('Assets'!$D$4:$D$503,_calc!$E$75))=0,"",INDEX('Assets'!$D$4:$D$503,_calc!$E$75))&amp;" – "&amp;IF(LEN(INDEX('Assets'!$A$4:$A$503,_calc!$E$75))=0,"",INDEX('Assets'!$A$4:$A$503,_calc!$E$75)))</f>
        <v/>
      </c>
      <c r="B73" s="44">
        <f>IF(_calc!$E$75="","",IF(ISNUMBER(INDEX('Assets'!$G$4:$G$503,_calc!$E$75)),TEXT(INDEX('Assets'!$G$4:$G$503,_calc!$E$75),"yyyy-mm-dd"),""))</f>
        <v/>
      </c>
      <c r="C73" s="44">
        <f>IF(_calc!$E$75="","","Inspection")</f>
        <v/>
      </c>
      <c r="D73" s="44">
        <f>IF(_calc!$E$75="","",IF(ISNUMBER(INDEX('Assets'!$F$4:$F$503,_calc!$E$75)),TEXT(INDEX('Assets'!$F$4:$F$503,_calc!$E$75),"yyyy-mm-dd"),""))</f>
        <v/>
      </c>
      <c r="E73" s="44">
        <f>IF(_calc!$E$75="","",IF(LEN(INDEX('Assets'!$O$4:$O$503,_calc!$E$75))=0,"",INDEX('Assets'!$O$4:$O$503,_calc!$E$75)))</f>
        <v/>
      </c>
      <c r="F73" s="44">
        <f>IF(_calc!$E$75="","",TRIM(IF(LEN(IF(LEN(INDEX('Assets'!$B$4:$B$503,_calc!$E$75))=0,"",INDEX('Assets'!$B$4:$B$503,_calc!$E$75)))=0,"","Asset ID: "&amp;IF(LEN(INDEX('Assets'!$B$4:$B$503,_calc!$E$75))=0,"",INDEX('Assets'!$B$4:$B$503,_calc!$E$75))&amp;". ")&amp;IF(LEN(IF(LEN(INDEX('Assets'!$C$4:$C$503,_calc!$E$75))=0,"",INDEX('Assets'!$C$4:$C$503,_calc!$E$75)))=0,"","Location: "&amp;IF(LEN(INDEX('Assets'!$C$4:$C$503,_calc!$E$75))=0,"",INDEX('Assets'!$C$4:$C$503,_calc!$E$75))&amp;". ")&amp;IF(LEN(IF(LEN(INDEX('Assets'!$E$4:$E$503,_calc!$E$75))=0,"",INDEX('Assets'!$E$4:$E$503,_calc!$E$75)))=0,"","Every (months): "&amp;IF(LEN(INDEX('Assets'!$E$4:$E$503,_calc!$E$75))=0,"",INDEX('Assets'!$E$4:$E$503,_calc!$E$75))&amp;". ")&amp;IF(LEN(IF(LEN(INDEX('Assets'!$M$4:$M$503,_calc!$E$75))=0,"",INDEX('Assets'!$M$4:$M$503,_calc!$E$75)))=0,"","Last result: "&amp;IF(LEN(INDEX('Assets'!$M$4:$M$503,_calc!$E$75))=0,"",INDEX('Assets'!$M$4:$M$503,_calc!$E$75))&amp;". ")&amp;IF(LEN(IF(LEN(INDEX('Assets'!$Q$4:$Q$503,_calc!$E$75))=0,"",INDEX('Assets'!$Q$4:$Q$503,_calc!$E$75)))=0,"",IF(LEN(INDEX('Assets'!$Q$4:$Q$503,_calc!$E$75))=0,"",INDEX('Assets'!$Q$4:$Q$503,_calc!$E$75)))))</f>
        <v/>
      </c>
      <c r="G73" s="44">
        <f>IF(_calc!$E$75="","",IF(LEN(INDEX('Assets'!$P$4:$P$503,_calc!$E$75))=0,"",INDEX('Assets'!$P$4:$P$503,_calc!$E$75)))</f>
        <v/>
      </c>
      <c r="K73" s="44">
        <f>IF(_calc!$E$75="","",IF(LEN(INDEX('Assets'!$N$4:$N$503,_calc!$E$75))=0,"",INDEX('Assets'!$N$4:$N$503,_calc!$E$75)))</f>
        <v/>
      </c>
    </row>
    <row r="74">
      <c r="A74" s="44">
        <f>IF(_calc!$E$76="","",IF(LEN(INDEX('Assets'!$D$4:$D$503,_calc!$E$76))=0,"",INDEX('Assets'!$D$4:$D$503,_calc!$E$76))&amp;" – "&amp;IF(LEN(INDEX('Assets'!$A$4:$A$503,_calc!$E$76))=0,"",INDEX('Assets'!$A$4:$A$503,_calc!$E$76)))</f>
        <v/>
      </c>
      <c r="B74" s="44">
        <f>IF(_calc!$E$76="","",IF(ISNUMBER(INDEX('Assets'!$G$4:$G$503,_calc!$E$76)),TEXT(INDEX('Assets'!$G$4:$G$503,_calc!$E$76),"yyyy-mm-dd"),""))</f>
        <v/>
      </c>
      <c r="C74" s="44">
        <f>IF(_calc!$E$76="","","Inspection")</f>
        <v/>
      </c>
      <c r="D74" s="44">
        <f>IF(_calc!$E$76="","",IF(ISNUMBER(INDEX('Assets'!$F$4:$F$503,_calc!$E$76)),TEXT(INDEX('Assets'!$F$4:$F$503,_calc!$E$76),"yyyy-mm-dd"),""))</f>
        <v/>
      </c>
      <c r="E74" s="44">
        <f>IF(_calc!$E$76="","",IF(LEN(INDEX('Assets'!$O$4:$O$503,_calc!$E$76))=0,"",INDEX('Assets'!$O$4:$O$503,_calc!$E$76)))</f>
        <v/>
      </c>
      <c r="F74" s="44">
        <f>IF(_calc!$E$76="","",TRIM(IF(LEN(IF(LEN(INDEX('Assets'!$B$4:$B$503,_calc!$E$76))=0,"",INDEX('Assets'!$B$4:$B$503,_calc!$E$76)))=0,"","Asset ID: "&amp;IF(LEN(INDEX('Assets'!$B$4:$B$503,_calc!$E$76))=0,"",INDEX('Assets'!$B$4:$B$503,_calc!$E$76))&amp;". ")&amp;IF(LEN(IF(LEN(INDEX('Assets'!$C$4:$C$503,_calc!$E$76))=0,"",INDEX('Assets'!$C$4:$C$503,_calc!$E$76)))=0,"","Location: "&amp;IF(LEN(INDEX('Assets'!$C$4:$C$503,_calc!$E$76))=0,"",INDEX('Assets'!$C$4:$C$503,_calc!$E$76))&amp;". ")&amp;IF(LEN(IF(LEN(INDEX('Assets'!$E$4:$E$503,_calc!$E$76))=0,"",INDEX('Assets'!$E$4:$E$503,_calc!$E$76)))=0,"","Every (months): "&amp;IF(LEN(INDEX('Assets'!$E$4:$E$503,_calc!$E$76))=0,"",INDEX('Assets'!$E$4:$E$503,_calc!$E$76))&amp;". ")&amp;IF(LEN(IF(LEN(INDEX('Assets'!$M$4:$M$503,_calc!$E$76))=0,"",INDEX('Assets'!$M$4:$M$503,_calc!$E$76)))=0,"","Last result: "&amp;IF(LEN(INDEX('Assets'!$M$4:$M$503,_calc!$E$76))=0,"",INDEX('Assets'!$M$4:$M$503,_calc!$E$76))&amp;". ")&amp;IF(LEN(IF(LEN(INDEX('Assets'!$Q$4:$Q$503,_calc!$E$76))=0,"",INDEX('Assets'!$Q$4:$Q$503,_calc!$E$76)))=0,"",IF(LEN(INDEX('Assets'!$Q$4:$Q$503,_calc!$E$76))=0,"",INDEX('Assets'!$Q$4:$Q$503,_calc!$E$76)))))</f>
        <v/>
      </c>
      <c r="G74" s="44">
        <f>IF(_calc!$E$76="","",IF(LEN(INDEX('Assets'!$P$4:$P$503,_calc!$E$76))=0,"",INDEX('Assets'!$P$4:$P$503,_calc!$E$76)))</f>
        <v/>
      </c>
      <c r="K74" s="44">
        <f>IF(_calc!$E$76="","",IF(LEN(INDEX('Assets'!$N$4:$N$503,_calc!$E$76))=0,"",INDEX('Assets'!$N$4:$N$503,_calc!$E$76)))</f>
        <v/>
      </c>
    </row>
    <row r="75">
      <c r="A75" s="44">
        <f>IF(_calc!$E$77="","",IF(LEN(INDEX('Assets'!$D$4:$D$503,_calc!$E$77))=0,"",INDEX('Assets'!$D$4:$D$503,_calc!$E$77))&amp;" – "&amp;IF(LEN(INDEX('Assets'!$A$4:$A$503,_calc!$E$77))=0,"",INDEX('Assets'!$A$4:$A$503,_calc!$E$77)))</f>
        <v/>
      </c>
      <c r="B75" s="44">
        <f>IF(_calc!$E$77="","",IF(ISNUMBER(INDEX('Assets'!$G$4:$G$503,_calc!$E$77)),TEXT(INDEX('Assets'!$G$4:$G$503,_calc!$E$77),"yyyy-mm-dd"),""))</f>
        <v/>
      </c>
      <c r="C75" s="44">
        <f>IF(_calc!$E$77="","","Inspection")</f>
        <v/>
      </c>
      <c r="D75" s="44">
        <f>IF(_calc!$E$77="","",IF(ISNUMBER(INDEX('Assets'!$F$4:$F$503,_calc!$E$77)),TEXT(INDEX('Assets'!$F$4:$F$503,_calc!$E$77),"yyyy-mm-dd"),""))</f>
        <v/>
      </c>
      <c r="E75" s="44">
        <f>IF(_calc!$E$77="","",IF(LEN(INDEX('Assets'!$O$4:$O$503,_calc!$E$77))=0,"",INDEX('Assets'!$O$4:$O$503,_calc!$E$77)))</f>
        <v/>
      </c>
      <c r="F75" s="44">
        <f>IF(_calc!$E$77="","",TRIM(IF(LEN(IF(LEN(INDEX('Assets'!$B$4:$B$503,_calc!$E$77))=0,"",INDEX('Assets'!$B$4:$B$503,_calc!$E$77)))=0,"","Asset ID: "&amp;IF(LEN(INDEX('Assets'!$B$4:$B$503,_calc!$E$77))=0,"",INDEX('Assets'!$B$4:$B$503,_calc!$E$77))&amp;". ")&amp;IF(LEN(IF(LEN(INDEX('Assets'!$C$4:$C$503,_calc!$E$77))=0,"",INDEX('Assets'!$C$4:$C$503,_calc!$E$77)))=0,"","Location: "&amp;IF(LEN(INDEX('Assets'!$C$4:$C$503,_calc!$E$77))=0,"",INDEX('Assets'!$C$4:$C$503,_calc!$E$77))&amp;". ")&amp;IF(LEN(IF(LEN(INDEX('Assets'!$E$4:$E$503,_calc!$E$77))=0,"",INDEX('Assets'!$E$4:$E$503,_calc!$E$77)))=0,"","Every (months): "&amp;IF(LEN(INDEX('Assets'!$E$4:$E$503,_calc!$E$77))=0,"",INDEX('Assets'!$E$4:$E$503,_calc!$E$77))&amp;". ")&amp;IF(LEN(IF(LEN(INDEX('Assets'!$M$4:$M$503,_calc!$E$77))=0,"",INDEX('Assets'!$M$4:$M$503,_calc!$E$77)))=0,"","Last result: "&amp;IF(LEN(INDEX('Assets'!$M$4:$M$503,_calc!$E$77))=0,"",INDEX('Assets'!$M$4:$M$503,_calc!$E$77))&amp;". ")&amp;IF(LEN(IF(LEN(INDEX('Assets'!$Q$4:$Q$503,_calc!$E$77))=0,"",INDEX('Assets'!$Q$4:$Q$503,_calc!$E$77)))=0,"",IF(LEN(INDEX('Assets'!$Q$4:$Q$503,_calc!$E$77))=0,"",INDEX('Assets'!$Q$4:$Q$503,_calc!$E$77)))))</f>
        <v/>
      </c>
      <c r="G75" s="44">
        <f>IF(_calc!$E$77="","",IF(LEN(INDEX('Assets'!$P$4:$P$503,_calc!$E$77))=0,"",INDEX('Assets'!$P$4:$P$503,_calc!$E$77)))</f>
        <v/>
      </c>
      <c r="K75" s="44">
        <f>IF(_calc!$E$77="","",IF(LEN(INDEX('Assets'!$N$4:$N$503,_calc!$E$77))=0,"",INDEX('Assets'!$N$4:$N$503,_calc!$E$77)))</f>
        <v/>
      </c>
    </row>
    <row r="76">
      <c r="A76" s="44">
        <f>IF(_calc!$E$78="","",IF(LEN(INDEX('Assets'!$D$4:$D$503,_calc!$E$78))=0,"",INDEX('Assets'!$D$4:$D$503,_calc!$E$78))&amp;" – "&amp;IF(LEN(INDEX('Assets'!$A$4:$A$503,_calc!$E$78))=0,"",INDEX('Assets'!$A$4:$A$503,_calc!$E$78)))</f>
        <v/>
      </c>
      <c r="B76" s="44">
        <f>IF(_calc!$E$78="","",IF(ISNUMBER(INDEX('Assets'!$G$4:$G$503,_calc!$E$78)),TEXT(INDEX('Assets'!$G$4:$G$503,_calc!$E$78),"yyyy-mm-dd"),""))</f>
        <v/>
      </c>
      <c r="C76" s="44">
        <f>IF(_calc!$E$78="","","Inspection")</f>
        <v/>
      </c>
      <c r="D76" s="44">
        <f>IF(_calc!$E$78="","",IF(ISNUMBER(INDEX('Assets'!$F$4:$F$503,_calc!$E$78)),TEXT(INDEX('Assets'!$F$4:$F$503,_calc!$E$78),"yyyy-mm-dd"),""))</f>
        <v/>
      </c>
      <c r="E76" s="44">
        <f>IF(_calc!$E$78="","",IF(LEN(INDEX('Assets'!$O$4:$O$503,_calc!$E$78))=0,"",INDEX('Assets'!$O$4:$O$503,_calc!$E$78)))</f>
        <v/>
      </c>
      <c r="F76" s="44">
        <f>IF(_calc!$E$78="","",TRIM(IF(LEN(IF(LEN(INDEX('Assets'!$B$4:$B$503,_calc!$E$78))=0,"",INDEX('Assets'!$B$4:$B$503,_calc!$E$78)))=0,"","Asset ID: "&amp;IF(LEN(INDEX('Assets'!$B$4:$B$503,_calc!$E$78))=0,"",INDEX('Assets'!$B$4:$B$503,_calc!$E$78))&amp;". ")&amp;IF(LEN(IF(LEN(INDEX('Assets'!$C$4:$C$503,_calc!$E$78))=0,"",INDEX('Assets'!$C$4:$C$503,_calc!$E$78)))=0,"","Location: "&amp;IF(LEN(INDEX('Assets'!$C$4:$C$503,_calc!$E$78))=0,"",INDEX('Assets'!$C$4:$C$503,_calc!$E$78))&amp;". ")&amp;IF(LEN(IF(LEN(INDEX('Assets'!$E$4:$E$503,_calc!$E$78))=0,"",INDEX('Assets'!$E$4:$E$503,_calc!$E$78)))=0,"","Every (months): "&amp;IF(LEN(INDEX('Assets'!$E$4:$E$503,_calc!$E$78))=0,"",INDEX('Assets'!$E$4:$E$503,_calc!$E$78))&amp;". ")&amp;IF(LEN(IF(LEN(INDEX('Assets'!$M$4:$M$503,_calc!$E$78))=0,"",INDEX('Assets'!$M$4:$M$503,_calc!$E$78)))=0,"","Last result: "&amp;IF(LEN(INDEX('Assets'!$M$4:$M$503,_calc!$E$78))=0,"",INDEX('Assets'!$M$4:$M$503,_calc!$E$78))&amp;". ")&amp;IF(LEN(IF(LEN(INDEX('Assets'!$Q$4:$Q$503,_calc!$E$78))=0,"",INDEX('Assets'!$Q$4:$Q$503,_calc!$E$78)))=0,"",IF(LEN(INDEX('Assets'!$Q$4:$Q$503,_calc!$E$78))=0,"",INDEX('Assets'!$Q$4:$Q$503,_calc!$E$78)))))</f>
        <v/>
      </c>
      <c r="G76" s="44">
        <f>IF(_calc!$E$78="","",IF(LEN(INDEX('Assets'!$P$4:$P$503,_calc!$E$78))=0,"",INDEX('Assets'!$P$4:$P$503,_calc!$E$78)))</f>
        <v/>
      </c>
      <c r="K76" s="44">
        <f>IF(_calc!$E$78="","",IF(LEN(INDEX('Assets'!$N$4:$N$503,_calc!$E$78))=0,"",INDEX('Assets'!$N$4:$N$503,_calc!$E$78)))</f>
        <v/>
      </c>
    </row>
    <row r="77">
      <c r="A77" s="44">
        <f>IF(_calc!$E$79="","",IF(LEN(INDEX('Assets'!$D$4:$D$503,_calc!$E$79))=0,"",INDEX('Assets'!$D$4:$D$503,_calc!$E$79))&amp;" – "&amp;IF(LEN(INDEX('Assets'!$A$4:$A$503,_calc!$E$79))=0,"",INDEX('Assets'!$A$4:$A$503,_calc!$E$79)))</f>
        <v/>
      </c>
      <c r="B77" s="44">
        <f>IF(_calc!$E$79="","",IF(ISNUMBER(INDEX('Assets'!$G$4:$G$503,_calc!$E$79)),TEXT(INDEX('Assets'!$G$4:$G$503,_calc!$E$79),"yyyy-mm-dd"),""))</f>
        <v/>
      </c>
      <c r="C77" s="44">
        <f>IF(_calc!$E$79="","","Inspection")</f>
        <v/>
      </c>
      <c r="D77" s="44">
        <f>IF(_calc!$E$79="","",IF(ISNUMBER(INDEX('Assets'!$F$4:$F$503,_calc!$E$79)),TEXT(INDEX('Assets'!$F$4:$F$503,_calc!$E$79),"yyyy-mm-dd"),""))</f>
        <v/>
      </c>
      <c r="E77" s="44">
        <f>IF(_calc!$E$79="","",IF(LEN(INDEX('Assets'!$O$4:$O$503,_calc!$E$79))=0,"",INDEX('Assets'!$O$4:$O$503,_calc!$E$79)))</f>
        <v/>
      </c>
      <c r="F77" s="44">
        <f>IF(_calc!$E$79="","",TRIM(IF(LEN(IF(LEN(INDEX('Assets'!$B$4:$B$503,_calc!$E$79))=0,"",INDEX('Assets'!$B$4:$B$503,_calc!$E$79)))=0,"","Asset ID: "&amp;IF(LEN(INDEX('Assets'!$B$4:$B$503,_calc!$E$79))=0,"",INDEX('Assets'!$B$4:$B$503,_calc!$E$79))&amp;". ")&amp;IF(LEN(IF(LEN(INDEX('Assets'!$C$4:$C$503,_calc!$E$79))=0,"",INDEX('Assets'!$C$4:$C$503,_calc!$E$79)))=0,"","Location: "&amp;IF(LEN(INDEX('Assets'!$C$4:$C$503,_calc!$E$79))=0,"",INDEX('Assets'!$C$4:$C$503,_calc!$E$79))&amp;". ")&amp;IF(LEN(IF(LEN(INDEX('Assets'!$E$4:$E$503,_calc!$E$79))=0,"",INDEX('Assets'!$E$4:$E$503,_calc!$E$79)))=0,"","Every (months): "&amp;IF(LEN(INDEX('Assets'!$E$4:$E$503,_calc!$E$79))=0,"",INDEX('Assets'!$E$4:$E$503,_calc!$E$79))&amp;". ")&amp;IF(LEN(IF(LEN(INDEX('Assets'!$M$4:$M$503,_calc!$E$79))=0,"",INDEX('Assets'!$M$4:$M$503,_calc!$E$79)))=0,"","Last result: "&amp;IF(LEN(INDEX('Assets'!$M$4:$M$503,_calc!$E$79))=0,"",INDEX('Assets'!$M$4:$M$503,_calc!$E$79))&amp;". ")&amp;IF(LEN(IF(LEN(INDEX('Assets'!$Q$4:$Q$503,_calc!$E$79))=0,"",INDEX('Assets'!$Q$4:$Q$503,_calc!$E$79)))=0,"",IF(LEN(INDEX('Assets'!$Q$4:$Q$503,_calc!$E$79))=0,"",INDEX('Assets'!$Q$4:$Q$503,_calc!$E$79)))))</f>
        <v/>
      </c>
      <c r="G77" s="44">
        <f>IF(_calc!$E$79="","",IF(LEN(INDEX('Assets'!$P$4:$P$503,_calc!$E$79))=0,"",INDEX('Assets'!$P$4:$P$503,_calc!$E$79)))</f>
        <v/>
      </c>
      <c r="K77" s="44">
        <f>IF(_calc!$E$79="","",IF(LEN(INDEX('Assets'!$N$4:$N$503,_calc!$E$79))=0,"",INDEX('Assets'!$N$4:$N$503,_calc!$E$79)))</f>
        <v/>
      </c>
    </row>
    <row r="78">
      <c r="A78" s="44">
        <f>IF(_calc!$E$80="","",IF(LEN(INDEX('Assets'!$D$4:$D$503,_calc!$E$80))=0,"",INDEX('Assets'!$D$4:$D$503,_calc!$E$80))&amp;" – "&amp;IF(LEN(INDEX('Assets'!$A$4:$A$503,_calc!$E$80))=0,"",INDEX('Assets'!$A$4:$A$503,_calc!$E$80)))</f>
        <v/>
      </c>
      <c r="B78" s="44">
        <f>IF(_calc!$E$80="","",IF(ISNUMBER(INDEX('Assets'!$G$4:$G$503,_calc!$E$80)),TEXT(INDEX('Assets'!$G$4:$G$503,_calc!$E$80),"yyyy-mm-dd"),""))</f>
        <v/>
      </c>
      <c r="C78" s="44">
        <f>IF(_calc!$E$80="","","Inspection")</f>
        <v/>
      </c>
      <c r="D78" s="44">
        <f>IF(_calc!$E$80="","",IF(ISNUMBER(INDEX('Assets'!$F$4:$F$503,_calc!$E$80)),TEXT(INDEX('Assets'!$F$4:$F$503,_calc!$E$80),"yyyy-mm-dd"),""))</f>
        <v/>
      </c>
      <c r="E78" s="44">
        <f>IF(_calc!$E$80="","",IF(LEN(INDEX('Assets'!$O$4:$O$503,_calc!$E$80))=0,"",INDEX('Assets'!$O$4:$O$503,_calc!$E$80)))</f>
        <v/>
      </c>
      <c r="F78" s="44">
        <f>IF(_calc!$E$80="","",TRIM(IF(LEN(IF(LEN(INDEX('Assets'!$B$4:$B$503,_calc!$E$80))=0,"",INDEX('Assets'!$B$4:$B$503,_calc!$E$80)))=0,"","Asset ID: "&amp;IF(LEN(INDEX('Assets'!$B$4:$B$503,_calc!$E$80))=0,"",INDEX('Assets'!$B$4:$B$503,_calc!$E$80))&amp;". ")&amp;IF(LEN(IF(LEN(INDEX('Assets'!$C$4:$C$503,_calc!$E$80))=0,"",INDEX('Assets'!$C$4:$C$503,_calc!$E$80)))=0,"","Location: "&amp;IF(LEN(INDEX('Assets'!$C$4:$C$503,_calc!$E$80))=0,"",INDEX('Assets'!$C$4:$C$503,_calc!$E$80))&amp;". ")&amp;IF(LEN(IF(LEN(INDEX('Assets'!$E$4:$E$503,_calc!$E$80))=0,"",INDEX('Assets'!$E$4:$E$503,_calc!$E$80)))=0,"","Every (months): "&amp;IF(LEN(INDEX('Assets'!$E$4:$E$503,_calc!$E$80))=0,"",INDEX('Assets'!$E$4:$E$503,_calc!$E$80))&amp;". ")&amp;IF(LEN(IF(LEN(INDEX('Assets'!$M$4:$M$503,_calc!$E$80))=0,"",INDEX('Assets'!$M$4:$M$503,_calc!$E$80)))=0,"","Last result: "&amp;IF(LEN(INDEX('Assets'!$M$4:$M$503,_calc!$E$80))=0,"",INDEX('Assets'!$M$4:$M$503,_calc!$E$80))&amp;". ")&amp;IF(LEN(IF(LEN(INDEX('Assets'!$Q$4:$Q$503,_calc!$E$80))=0,"",INDEX('Assets'!$Q$4:$Q$503,_calc!$E$80)))=0,"",IF(LEN(INDEX('Assets'!$Q$4:$Q$503,_calc!$E$80))=0,"",INDEX('Assets'!$Q$4:$Q$503,_calc!$E$80)))))</f>
        <v/>
      </c>
      <c r="G78" s="44">
        <f>IF(_calc!$E$80="","",IF(LEN(INDEX('Assets'!$P$4:$P$503,_calc!$E$80))=0,"",INDEX('Assets'!$P$4:$P$503,_calc!$E$80)))</f>
        <v/>
      </c>
      <c r="K78" s="44">
        <f>IF(_calc!$E$80="","",IF(LEN(INDEX('Assets'!$N$4:$N$503,_calc!$E$80))=0,"",INDEX('Assets'!$N$4:$N$503,_calc!$E$80)))</f>
        <v/>
      </c>
    </row>
    <row r="79">
      <c r="A79" s="44">
        <f>IF(_calc!$E$81="","",IF(LEN(INDEX('Assets'!$D$4:$D$503,_calc!$E$81))=0,"",INDEX('Assets'!$D$4:$D$503,_calc!$E$81))&amp;" – "&amp;IF(LEN(INDEX('Assets'!$A$4:$A$503,_calc!$E$81))=0,"",INDEX('Assets'!$A$4:$A$503,_calc!$E$81)))</f>
        <v/>
      </c>
      <c r="B79" s="44">
        <f>IF(_calc!$E$81="","",IF(ISNUMBER(INDEX('Assets'!$G$4:$G$503,_calc!$E$81)),TEXT(INDEX('Assets'!$G$4:$G$503,_calc!$E$81),"yyyy-mm-dd"),""))</f>
        <v/>
      </c>
      <c r="C79" s="44">
        <f>IF(_calc!$E$81="","","Inspection")</f>
        <v/>
      </c>
      <c r="D79" s="44">
        <f>IF(_calc!$E$81="","",IF(ISNUMBER(INDEX('Assets'!$F$4:$F$503,_calc!$E$81)),TEXT(INDEX('Assets'!$F$4:$F$503,_calc!$E$81),"yyyy-mm-dd"),""))</f>
        <v/>
      </c>
      <c r="E79" s="44">
        <f>IF(_calc!$E$81="","",IF(LEN(INDEX('Assets'!$O$4:$O$503,_calc!$E$81))=0,"",INDEX('Assets'!$O$4:$O$503,_calc!$E$81)))</f>
        <v/>
      </c>
      <c r="F79" s="44">
        <f>IF(_calc!$E$81="","",TRIM(IF(LEN(IF(LEN(INDEX('Assets'!$B$4:$B$503,_calc!$E$81))=0,"",INDEX('Assets'!$B$4:$B$503,_calc!$E$81)))=0,"","Asset ID: "&amp;IF(LEN(INDEX('Assets'!$B$4:$B$503,_calc!$E$81))=0,"",INDEX('Assets'!$B$4:$B$503,_calc!$E$81))&amp;". ")&amp;IF(LEN(IF(LEN(INDEX('Assets'!$C$4:$C$503,_calc!$E$81))=0,"",INDEX('Assets'!$C$4:$C$503,_calc!$E$81)))=0,"","Location: "&amp;IF(LEN(INDEX('Assets'!$C$4:$C$503,_calc!$E$81))=0,"",INDEX('Assets'!$C$4:$C$503,_calc!$E$81))&amp;". ")&amp;IF(LEN(IF(LEN(INDEX('Assets'!$E$4:$E$503,_calc!$E$81))=0,"",INDEX('Assets'!$E$4:$E$503,_calc!$E$81)))=0,"","Every (months): "&amp;IF(LEN(INDEX('Assets'!$E$4:$E$503,_calc!$E$81))=0,"",INDEX('Assets'!$E$4:$E$503,_calc!$E$81))&amp;". ")&amp;IF(LEN(IF(LEN(INDEX('Assets'!$M$4:$M$503,_calc!$E$81))=0,"",INDEX('Assets'!$M$4:$M$503,_calc!$E$81)))=0,"","Last result: "&amp;IF(LEN(INDEX('Assets'!$M$4:$M$503,_calc!$E$81))=0,"",INDEX('Assets'!$M$4:$M$503,_calc!$E$81))&amp;". ")&amp;IF(LEN(IF(LEN(INDEX('Assets'!$Q$4:$Q$503,_calc!$E$81))=0,"",INDEX('Assets'!$Q$4:$Q$503,_calc!$E$81)))=0,"",IF(LEN(INDEX('Assets'!$Q$4:$Q$503,_calc!$E$81))=0,"",INDEX('Assets'!$Q$4:$Q$503,_calc!$E$81)))))</f>
        <v/>
      </c>
      <c r="G79" s="44">
        <f>IF(_calc!$E$81="","",IF(LEN(INDEX('Assets'!$P$4:$P$503,_calc!$E$81))=0,"",INDEX('Assets'!$P$4:$P$503,_calc!$E$81)))</f>
        <v/>
      </c>
      <c r="K79" s="44">
        <f>IF(_calc!$E$81="","",IF(LEN(INDEX('Assets'!$N$4:$N$503,_calc!$E$81))=0,"",INDEX('Assets'!$N$4:$N$503,_calc!$E$81)))</f>
        <v/>
      </c>
    </row>
    <row r="80">
      <c r="A80" s="44">
        <f>IF(_calc!$E$82="","",IF(LEN(INDEX('Assets'!$D$4:$D$503,_calc!$E$82))=0,"",INDEX('Assets'!$D$4:$D$503,_calc!$E$82))&amp;" – "&amp;IF(LEN(INDEX('Assets'!$A$4:$A$503,_calc!$E$82))=0,"",INDEX('Assets'!$A$4:$A$503,_calc!$E$82)))</f>
        <v/>
      </c>
      <c r="B80" s="44">
        <f>IF(_calc!$E$82="","",IF(ISNUMBER(INDEX('Assets'!$G$4:$G$503,_calc!$E$82)),TEXT(INDEX('Assets'!$G$4:$G$503,_calc!$E$82),"yyyy-mm-dd"),""))</f>
        <v/>
      </c>
      <c r="C80" s="44">
        <f>IF(_calc!$E$82="","","Inspection")</f>
        <v/>
      </c>
      <c r="D80" s="44">
        <f>IF(_calc!$E$82="","",IF(ISNUMBER(INDEX('Assets'!$F$4:$F$503,_calc!$E$82)),TEXT(INDEX('Assets'!$F$4:$F$503,_calc!$E$82),"yyyy-mm-dd"),""))</f>
        <v/>
      </c>
      <c r="E80" s="44">
        <f>IF(_calc!$E$82="","",IF(LEN(INDEX('Assets'!$O$4:$O$503,_calc!$E$82))=0,"",INDEX('Assets'!$O$4:$O$503,_calc!$E$82)))</f>
        <v/>
      </c>
      <c r="F80" s="44">
        <f>IF(_calc!$E$82="","",TRIM(IF(LEN(IF(LEN(INDEX('Assets'!$B$4:$B$503,_calc!$E$82))=0,"",INDEX('Assets'!$B$4:$B$503,_calc!$E$82)))=0,"","Asset ID: "&amp;IF(LEN(INDEX('Assets'!$B$4:$B$503,_calc!$E$82))=0,"",INDEX('Assets'!$B$4:$B$503,_calc!$E$82))&amp;". ")&amp;IF(LEN(IF(LEN(INDEX('Assets'!$C$4:$C$503,_calc!$E$82))=0,"",INDEX('Assets'!$C$4:$C$503,_calc!$E$82)))=0,"","Location: "&amp;IF(LEN(INDEX('Assets'!$C$4:$C$503,_calc!$E$82))=0,"",INDEX('Assets'!$C$4:$C$503,_calc!$E$82))&amp;". ")&amp;IF(LEN(IF(LEN(INDEX('Assets'!$E$4:$E$503,_calc!$E$82))=0,"",INDEX('Assets'!$E$4:$E$503,_calc!$E$82)))=0,"","Every (months): "&amp;IF(LEN(INDEX('Assets'!$E$4:$E$503,_calc!$E$82))=0,"",INDEX('Assets'!$E$4:$E$503,_calc!$E$82))&amp;". ")&amp;IF(LEN(IF(LEN(INDEX('Assets'!$M$4:$M$503,_calc!$E$82))=0,"",INDEX('Assets'!$M$4:$M$503,_calc!$E$82)))=0,"","Last result: "&amp;IF(LEN(INDEX('Assets'!$M$4:$M$503,_calc!$E$82))=0,"",INDEX('Assets'!$M$4:$M$503,_calc!$E$82))&amp;". ")&amp;IF(LEN(IF(LEN(INDEX('Assets'!$Q$4:$Q$503,_calc!$E$82))=0,"",INDEX('Assets'!$Q$4:$Q$503,_calc!$E$82)))=0,"",IF(LEN(INDEX('Assets'!$Q$4:$Q$503,_calc!$E$82))=0,"",INDEX('Assets'!$Q$4:$Q$503,_calc!$E$82)))))</f>
        <v/>
      </c>
      <c r="G80" s="44">
        <f>IF(_calc!$E$82="","",IF(LEN(INDEX('Assets'!$P$4:$P$503,_calc!$E$82))=0,"",INDEX('Assets'!$P$4:$P$503,_calc!$E$82)))</f>
        <v/>
      </c>
      <c r="K80" s="44">
        <f>IF(_calc!$E$82="","",IF(LEN(INDEX('Assets'!$N$4:$N$503,_calc!$E$82))=0,"",INDEX('Assets'!$N$4:$N$503,_calc!$E$82)))</f>
        <v/>
      </c>
    </row>
    <row r="81">
      <c r="A81" s="44">
        <f>IF(_calc!$E$83="","",IF(LEN(INDEX('Assets'!$D$4:$D$503,_calc!$E$83))=0,"",INDEX('Assets'!$D$4:$D$503,_calc!$E$83))&amp;" – "&amp;IF(LEN(INDEX('Assets'!$A$4:$A$503,_calc!$E$83))=0,"",INDEX('Assets'!$A$4:$A$503,_calc!$E$83)))</f>
        <v/>
      </c>
      <c r="B81" s="44">
        <f>IF(_calc!$E$83="","",IF(ISNUMBER(INDEX('Assets'!$G$4:$G$503,_calc!$E$83)),TEXT(INDEX('Assets'!$G$4:$G$503,_calc!$E$83),"yyyy-mm-dd"),""))</f>
        <v/>
      </c>
      <c r="C81" s="44">
        <f>IF(_calc!$E$83="","","Inspection")</f>
        <v/>
      </c>
      <c r="D81" s="44">
        <f>IF(_calc!$E$83="","",IF(ISNUMBER(INDEX('Assets'!$F$4:$F$503,_calc!$E$83)),TEXT(INDEX('Assets'!$F$4:$F$503,_calc!$E$83),"yyyy-mm-dd"),""))</f>
        <v/>
      </c>
      <c r="E81" s="44">
        <f>IF(_calc!$E$83="","",IF(LEN(INDEX('Assets'!$O$4:$O$503,_calc!$E$83))=0,"",INDEX('Assets'!$O$4:$O$503,_calc!$E$83)))</f>
        <v/>
      </c>
      <c r="F81" s="44">
        <f>IF(_calc!$E$83="","",TRIM(IF(LEN(IF(LEN(INDEX('Assets'!$B$4:$B$503,_calc!$E$83))=0,"",INDEX('Assets'!$B$4:$B$503,_calc!$E$83)))=0,"","Asset ID: "&amp;IF(LEN(INDEX('Assets'!$B$4:$B$503,_calc!$E$83))=0,"",INDEX('Assets'!$B$4:$B$503,_calc!$E$83))&amp;". ")&amp;IF(LEN(IF(LEN(INDEX('Assets'!$C$4:$C$503,_calc!$E$83))=0,"",INDEX('Assets'!$C$4:$C$503,_calc!$E$83)))=0,"","Location: "&amp;IF(LEN(INDEX('Assets'!$C$4:$C$503,_calc!$E$83))=0,"",INDEX('Assets'!$C$4:$C$503,_calc!$E$83))&amp;". ")&amp;IF(LEN(IF(LEN(INDEX('Assets'!$E$4:$E$503,_calc!$E$83))=0,"",INDEX('Assets'!$E$4:$E$503,_calc!$E$83)))=0,"","Every (months): "&amp;IF(LEN(INDEX('Assets'!$E$4:$E$503,_calc!$E$83))=0,"",INDEX('Assets'!$E$4:$E$503,_calc!$E$83))&amp;". ")&amp;IF(LEN(IF(LEN(INDEX('Assets'!$M$4:$M$503,_calc!$E$83))=0,"",INDEX('Assets'!$M$4:$M$503,_calc!$E$83)))=0,"","Last result: "&amp;IF(LEN(INDEX('Assets'!$M$4:$M$503,_calc!$E$83))=0,"",INDEX('Assets'!$M$4:$M$503,_calc!$E$83))&amp;". ")&amp;IF(LEN(IF(LEN(INDEX('Assets'!$Q$4:$Q$503,_calc!$E$83))=0,"",INDEX('Assets'!$Q$4:$Q$503,_calc!$E$83)))=0,"",IF(LEN(INDEX('Assets'!$Q$4:$Q$503,_calc!$E$83))=0,"",INDEX('Assets'!$Q$4:$Q$503,_calc!$E$83)))))</f>
        <v/>
      </c>
      <c r="G81" s="44">
        <f>IF(_calc!$E$83="","",IF(LEN(INDEX('Assets'!$P$4:$P$503,_calc!$E$83))=0,"",INDEX('Assets'!$P$4:$P$503,_calc!$E$83)))</f>
        <v/>
      </c>
      <c r="K81" s="44">
        <f>IF(_calc!$E$83="","",IF(LEN(INDEX('Assets'!$N$4:$N$503,_calc!$E$83))=0,"",INDEX('Assets'!$N$4:$N$503,_calc!$E$83)))</f>
        <v/>
      </c>
    </row>
    <row r="82">
      <c r="A82" s="44">
        <f>IF(_calc!$E$84="","",IF(LEN(INDEX('Assets'!$D$4:$D$503,_calc!$E$84))=0,"",INDEX('Assets'!$D$4:$D$503,_calc!$E$84))&amp;" – "&amp;IF(LEN(INDEX('Assets'!$A$4:$A$503,_calc!$E$84))=0,"",INDEX('Assets'!$A$4:$A$503,_calc!$E$84)))</f>
        <v/>
      </c>
      <c r="B82" s="44">
        <f>IF(_calc!$E$84="","",IF(ISNUMBER(INDEX('Assets'!$G$4:$G$503,_calc!$E$84)),TEXT(INDEX('Assets'!$G$4:$G$503,_calc!$E$84),"yyyy-mm-dd"),""))</f>
        <v/>
      </c>
      <c r="C82" s="44">
        <f>IF(_calc!$E$84="","","Inspection")</f>
        <v/>
      </c>
      <c r="D82" s="44">
        <f>IF(_calc!$E$84="","",IF(ISNUMBER(INDEX('Assets'!$F$4:$F$503,_calc!$E$84)),TEXT(INDEX('Assets'!$F$4:$F$503,_calc!$E$84),"yyyy-mm-dd"),""))</f>
        <v/>
      </c>
      <c r="E82" s="44">
        <f>IF(_calc!$E$84="","",IF(LEN(INDEX('Assets'!$O$4:$O$503,_calc!$E$84))=0,"",INDEX('Assets'!$O$4:$O$503,_calc!$E$84)))</f>
        <v/>
      </c>
      <c r="F82" s="44">
        <f>IF(_calc!$E$84="","",TRIM(IF(LEN(IF(LEN(INDEX('Assets'!$B$4:$B$503,_calc!$E$84))=0,"",INDEX('Assets'!$B$4:$B$503,_calc!$E$84)))=0,"","Asset ID: "&amp;IF(LEN(INDEX('Assets'!$B$4:$B$503,_calc!$E$84))=0,"",INDEX('Assets'!$B$4:$B$503,_calc!$E$84))&amp;". ")&amp;IF(LEN(IF(LEN(INDEX('Assets'!$C$4:$C$503,_calc!$E$84))=0,"",INDEX('Assets'!$C$4:$C$503,_calc!$E$84)))=0,"","Location: "&amp;IF(LEN(INDEX('Assets'!$C$4:$C$503,_calc!$E$84))=0,"",INDEX('Assets'!$C$4:$C$503,_calc!$E$84))&amp;". ")&amp;IF(LEN(IF(LEN(INDEX('Assets'!$E$4:$E$503,_calc!$E$84))=0,"",INDEX('Assets'!$E$4:$E$503,_calc!$E$84)))=0,"","Every (months): "&amp;IF(LEN(INDEX('Assets'!$E$4:$E$503,_calc!$E$84))=0,"",INDEX('Assets'!$E$4:$E$503,_calc!$E$84))&amp;". ")&amp;IF(LEN(IF(LEN(INDEX('Assets'!$M$4:$M$503,_calc!$E$84))=0,"",INDEX('Assets'!$M$4:$M$503,_calc!$E$84)))=0,"","Last result: "&amp;IF(LEN(INDEX('Assets'!$M$4:$M$503,_calc!$E$84))=0,"",INDEX('Assets'!$M$4:$M$503,_calc!$E$84))&amp;". ")&amp;IF(LEN(IF(LEN(INDEX('Assets'!$Q$4:$Q$503,_calc!$E$84))=0,"",INDEX('Assets'!$Q$4:$Q$503,_calc!$E$84)))=0,"",IF(LEN(INDEX('Assets'!$Q$4:$Q$503,_calc!$E$84))=0,"",INDEX('Assets'!$Q$4:$Q$503,_calc!$E$84)))))</f>
        <v/>
      </c>
      <c r="G82" s="44">
        <f>IF(_calc!$E$84="","",IF(LEN(INDEX('Assets'!$P$4:$P$503,_calc!$E$84))=0,"",INDEX('Assets'!$P$4:$P$503,_calc!$E$84)))</f>
        <v/>
      </c>
      <c r="K82" s="44">
        <f>IF(_calc!$E$84="","",IF(LEN(INDEX('Assets'!$N$4:$N$503,_calc!$E$84))=0,"",INDEX('Assets'!$N$4:$N$503,_calc!$E$84)))</f>
        <v/>
      </c>
    </row>
    <row r="83">
      <c r="A83" s="44">
        <f>IF(_calc!$E$85="","",IF(LEN(INDEX('Assets'!$D$4:$D$503,_calc!$E$85))=0,"",INDEX('Assets'!$D$4:$D$503,_calc!$E$85))&amp;" – "&amp;IF(LEN(INDEX('Assets'!$A$4:$A$503,_calc!$E$85))=0,"",INDEX('Assets'!$A$4:$A$503,_calc!$E$85)))</f>
        <v/>
      </c>
      <c r="B83" s="44">
        <f>IF(_calc!$E$85="","",IF(ISNUMBER(INDEX('Assets'!$G$4:$G$503,_calc!$E$85)),TEXT(INDEX('Assets'!$G$4:$G$503,_calc!$E$85),"yyyy-mm-dd"),""))</f>
        <v/>
      </c>
      <c r="C83" s="44">
        <f>IF(_calc!$E$85="","","Inspection")</f>
        <v/>
      </c>
      <c r="D83" s="44">
        <f>IF(_calc!$E$85="","",IF(ISNUMBER(INDEX('Assets'!$F$4:$F$503,_calc!$E$85)),TEXT(INDEX('Assets'!$F$4:$F$503,_calc!$E$85),"yyyy-mm-dd"),""))</f>
        <v/>
      </c>
      <c r="E83" s="44">
        <f>IF(_calc!$E$85="","",IF(LEN(INDEX('Assets'!$O$4:$O$503,_calc!$E$85))=0,"",INDEX('Assets'!$O$4:$O$503,_calc!$E$85)))</f>
        <v/>
      </c>
      <c r="F83" s="44">
        <f>IF(_calc!$E$85="","",TRIM(IF(LEN(IF(LEN(INDEX('Assets'!$B$4:$B$503,_calc!$E$85))=0,"",INDEX('Assets'!$B$4:$B$503,_calc!$E$85)))=0,"","Asset ID: "&amp;IF(LEN(INDEX('Assets'!$B$4:$B$503,_calc!$E$85))=0,"",INDEX('Assets'!$B$4:$B$503,_calc!$E$85))&amp;". ")&amp;IF(LEN(IF(LEN(INDEX('Assets'!$C$4:$C$503,_calc!$E$85))=0,"",INDEX('Assets'!$C$4:$C$503,_calc!$E$85)))=0,"","Location: "&amp;IF(LEN(INDEX('Assets'!$C$4:$C$503,_calc!$E$85))=0,"",INDEX('Assets'!$C$4:$C$503,_calc!$E$85))&amp;". ")&amp;IF(LEN(IF(LEN(INDEX('Assets'!$E$4:$E$503,_calc!$E$85))=0,"",INDEX('Assets'!$E$4:$E$503,_calc!$E$85)))=0,"","Every (months): "&amp;IF(LEN(INDEX('Assets'!$E$4:$E$503,_calc!$E$85))=0,"",INDEX('Assets'!$E$4:$E$503,_calc!$E$85))&amp;". ")&amp;IF(LEN(IF(LEN(INDEX('Assets'!$M$4:$M$503,_calc!$E$85))=0,"",INDEX('Assets'!$M$4:$M$503,_calc!$E$85)))=0,"","Last result: "&amp;IF(LEN(INDEX('Assets'!$M$4:$M$503,_calc!$E$85))=0,"",INDEX('Assets'!$M$4:$M$503,_calc!$E$85))&amp;". ")&amp;IF(LEN(IF(LEN(INDEX('Assets'!$Q$4:$Q$503,_calc!$E$85))=0,"",INDEX('Assets'!$Q$4:$Q$503,_calc!$E$85)))=0,"",IF(LEN(INDEX('Assets'!$Q$4:$Q$503,_calc!$E$85))=0,"",INDEX('Assets'!$Q$4:$Q$503,_calc!$E$85)))))</f>
        <v/>
      </c>
      <c r="G83" s="44">
        <f>IF(_calc!$E$85="","",IF(LEN(INDEX('Assets'!$P$4:$P$503,_calc!$E$85))=0,"",INDEX('Assets'!$P$4:$P$503,_calc!$E$85)))</f>
        <v/>
      </c>
      <c r="K83" s="44">
        <f>IF(_calc!$E$85="","",IF(LEN(INDEX('Assets'!$N$4:$N$503,_calc!$E$85))=0,"",INDEX('Assets'!$N$4:$N$503,_calc!$E$85)))</f>
        <v/>
      </c>
    </row>
    <row r="84">
      <c r="A84" s="44">
        <f>IF(_calc!$E$86="","",IF(LEN(INDEX('Assets'!$D$4:$D$503,_calc!$E$86))=0,"",INDEX('Assets'!$D$4:$D$503,_calc!$E$86))&amp;" – "&amp;IF(LEN(INDEX('Assets'!$A$4:$A$503,_calc!$E$86))=0,"",INDEX('Assets'!$A$4:$A$503,_calc!$E$86)))</f>
        <v/>
      </c>
      <c r="B84" s="44">
        <f>IF(_calc!$E$86="","",IF(ISNUMBER(INDEX('Assets'!$G$4:$G$503,_calc!$E$86)),TEXT(INDEX('Assets'!$G$4:$G$503,_calc!$E$86),"yyyy-mm-dd"),""))</f>
        <v/>
      </c>
      <c r="C84" s="44">
        <f>IF(_calc!$E$86="","","Inspection")</f>
        <v/>
      </c>
      <c r="D84" s="44">
        <f>IF(_calc!$E$86="","",IF(ISNUMBER(INDEX('Assets'!$F$4:$F$503,_calc!$E$86)),TEXT(INDEX('Assets'!$F$4:$F$503,_calc!$E$86),"yyyy-mm-dd"),""))</f>
        <v/>
      </c>
      <c r="E84" s="44">
        <f>IF(_calc!$E$86="","",IF(LEN(INDEX('Assets'!$O$4:$O$503,_calc!$E$86))=0,"",INDEX('Assets'!$O$4:$O$503,_calc!$E$86)))</f>
        <v/>
      </c>
      <c r="F84" s="44">
        <f>IF(_calc!$E$86="","",TRIM(IF(LEN(IF(LEN(INDEX('Assets'!$B$4:$B$503,_calc!$E$86))=0,"",INDEX('Assets'!$B$4:$B$503,_calc!$E$86)))=0,"","Asset ID: "&amp;IF(LEN(INDEX('Assets'!$B$4:$B$503,_calc!$E$86))=0,"",INDEX('Assets'!$B$4:$B$503,_calc!$E$86))&amp;". ")&amp;IF(LEN(IF(LEN(INDEX('Assets'!$C$4:$C$503,_calc!$E$86))=0,"",INDEX('Assets'!$C$4:$C$503,_calc!$E$86)))=0,"","Location: "&amp;IF(LEN(INDEX('Assets'!$C$4:$C$503,_calc!$E$86))=0,"",INDEX('Assets'!$C$4:$C$503,_calc!$E$86))&amp;". ")&amp;IF(LEN(IF(LEN(INDEX('Assets'!$E$4:$E$503,_calc!$E$86))=0,"",INDEX('Assets'!$E$4:$E$503,_calc!$E$86)))=0,"","Every (months): "&amp;IF(LEN(INDEX('Assets'!$E$4:$E$503,_calc!$E$86))=0,"",INDEX('Assets'!$E$4:$E$503,_calc!$E$86))&amp;". ")&amp;IF(LEN(IF(LEN(INDEX('Assets'!$M$4:$M$503,_calc!$E$86))=0,"",INDEX('Assets'!$M$4:$M$503,_calc!$E$86)))=0,"","Last result: "&amp;IF(LEN(INDEX('Assets'!$M$4:$M$503,_calc!$E$86))=0,"",INDEX('Assets'!$M$4:$M$503,_calc!$E$86))&amp;". ")&amp;IF(LEN(IF(LEN(INDEX('Assets'!$Q$4:$Q$503,_calc!$E$86))=0,"",INDEX('Assets'!$Q$4:$Q$503,_calc!$E$86)))=0,"",IF(LEN(INDEX('Assets'!$Q$4:$Q$503,_calc!$E$86))=0,"",INDEX('Assets'!$Q$4:$Q$503,_calc!$E$86)))))</f>
        <v/>
      </c>
      <c r="G84" s="44">
        <f>IF(_calc!$E$86="","",IF(LEN(INDEX('Assets'!$P$4:$P$503,_calc!$E$86))=0,"",INDEX('Assets'!$P$4:$P$503,_calc!$E$86)))</f>
        <v/>
      </c>
      <c r="K84" s="44">
        <f>IF(_calc!$E$86="","",IF(LEN(INDEX('Assets'!$N$4:$N$503,_calc!$E$86))=0,"",INDEX('Assets'!$N$4:$N$503,_calc!$E$86)))</f>
        <v/>
      </c>
    </row>
    <row r="85">
      <c r="A85" s="44">
        <f>IF(_calc!$E$87="","",IF(LEN(INDEX('Assets'!$D$4:$D$503,_calc!$E$87))=0,"",INDEX('Assets'!$D$4:$D$503,_calc!$E$87))&amp;" – "&amp;IF(LEN(INDEX('Assets'!$A$4:$A$503,_calc!$E$87))=0,"",INDEX('Assets'!$A$4:$A$503,_calc!$E$87)))</f>
        <v/>
      </c>
      <c r="B85" s="44">
        <f>IF(_calc!$E$87="","",IF(ISNUMBER(INDEX('Assets'!$G$4:$G$503,_calc!$E$87)),TEXT(INDEX('Assets'!$G$4:$G$503,_calc!$E$87),"yyyy-mm-dd"),""))</f>
        <v/>
      </c>
      <c r="C85" s="44">
        <f>IF(_calc!$E$87="","","Inspection")</f>
        <v/>
      </c>
      <c r="D85" s="44">
        <f>IF(_calc!$E$87="","",IF(ISNUMBER(INDEX('Assets'!$F$4:$F$503,_calc!$E$87)),TEXT(INDEX('Assets'!$F$4:$F$503,_calc!$E$87),"yyyy-mm-dd"),""))</f>
        <v/>
      </c>
      <c r="E85" s="44">
        <f>IF(_calc!$E$87="","",IF(LEN(INDEX('Assets'!$O$4:$O$503,_calc!$E$87))=0,"",INDEX('Assets'!$O$4:$O$503,_calc!$E$87)))</f>
        <v/>
      </c>
      <c r="F85" s="44">
        <f>IF(_calc!$E$87="","",TRIM(IF(LEN(IF(LEN(INDEX('Assets'!$B$4:$B$503,_calc!$E$87))=0,"",INDEX('Assets'!$B$4:$B$503,_calc!$E$87)))=0,"","Asset ID: "&amp;IF(LEN(INDEX('Assets'!$B$4:$B$503,_calc!$E$87))=0,"",INDEX('Assets'!$B$4:$B$503,_calc!$E$87))&amp;". ")&amp;IF(LEN(IF(LEN(INDEX('Assets'!$C$4:$C$503,_calc!$E$87))=0,"",INDEX('Assets'!$C$4:$C$503,_calc!$E$87)))=0,"","Location: "&amp;IF(LEN(INDEX('Assets'!$C$4:$C$503,_calc!$E$87))=0,"",INDEX('Assets'!$C$4:$C$503,_calc!$E$87))&amp;". ")&amp;IF(LEN(IF(LEN(INDEX('Assets'!$E$4:$E$503,_calc!$E$87))=0,"",INDEX('Assets'!$E$4:$E$503,_calc!$E$87)))=0,"","Every (months): "&amp;IF(LEN(INDEX('Assets'!$E$4:$E$503,_calc!$E$87))=0,"",INDEX('Assets'!$E$4:$E$503,_calc!$E$87))&amp;". ")&amp;IF(LEN(IF(LEN(INDEX('Assets'!$M$4:$M$503,_calc!$E$87))=0,"",INDEX('Assets'!$M$4:$M$503,_calc!$E$87)))=0,"","Last result: "&amp;IF(LEN(INDEX('Assets'!$M$4:$M$503,_calc!$E$87))=0,"",INDEX('Assets'!$M$4:$M$503,_calc!$E$87))&amp;". ")&amp;IF(LEN(IF(LEN(INDEX('Assets'!$Q$4:$Q$503,_calc!$E$87))=0,"",INDEX('Assets'!$Q$4:$Q$503,_calc!$E$87)))=0,"",IF(LEN(INDEX('Assets'!$Q$4:$Q$503,_calc!$E$87))=0,"",INDEX('Assets'!$Q$4:$Q$503,_calc!$E$87)))))</f>
        <v/>
      </c>
      <c r="G85" s="44">
        <f>IF(_calc!$E$87="","",IF(LEN(INDEX('Assets'!$P$4:$P$503,_calc!$E$87))=0,"",INDEX('Assets'!$P$4:$P$503,_calc!$E$87)))</f>
        <v/>
      </c>
      <c r="K85" s="44">
        <f>IF(_calc!$E$87="","",IF(LEN(INDEX('Assets'!$N$4:$N$503,_calc!$E$87))=0,"",INDEX('Assets'!$N$4:$N$503,_calc!$E$87)))</f>
        <v/>
      </c>
    </row>
    <row r="86">
      <c r="A86" s="44">
        <f>IF(_calc!$E$88="","",IF(LEN(INDEX('Assets'!$D$4:$D$503,_calc!$E$88))=0,"",INDEX('Assets'!$D$4:$D$503,_calc!$E$88))&amp;" – "&amp;IF(LEN(INDEX('Assets'!$A$4:$A$503,_calc!$E$88))=0,"",INDEX('Assets'!$A$4:$A$503,_calc!$E$88)))</f>
        <v/>
      </c>
      <c r="B86" s="44">
        <f>IF(_calc!$E$88="","",IF(ISNUMBER(INDEX('Assets'!$G$4:$G$503,_calc!$E$88)),TEXT(INDEX('Assets'!$G$4:$G$503,_calc!$E$88),"yyyy-mm-dd"),""))</f>
        <v/>
      </c>
      <c r="C86" s="44">
        <f>IF(_calc!$E$88="","","Inspection")</f>
        <v/>
      </c>
      <c r="D86" s="44">
        <f>IF(_calc!$E$88="","",IF(ISNUMBER(INDEX('Assets'!$F$4:$F$503,_calc!$E$88)),TEXT(INDEX('Assets'!$F$4:$F$503,_calc!$E$88),"yyyy-mm-dd"),""))</f>
        <v/>
      </c>
      <c r="E86" s="44">
        <f>IF(_calc!$E$88="","",IF(LEN(INDEX('Assets'!$O$4:$O$503,_calc!$E$88))=0,"",INDEX('Assets'!$O$4:$O$503,_calc!$E$88)))</f>
        <v/>
      </c>
      <c r="F86" s="44">
        <f>IF(_calc!$E$88="","",TRIM(IF(LEN(IF(LEN(INDEX('Assets'!$B$4:$B$503,_calc!$E$88))=0,"",INDEX('Assets'!$B$4:$B$503,_calc!$E$88)))=0,"","Asset ID: "&amp;IF(LEN(INDEX('Assets'!$B$4:$B$503,_calc!$E$88))=0,"",INDEX('Assets'!$B$4:$B$503,_calc!$E$88))&amp;". ")&amp;IF(LEN(IF(LEN(INDEX('Assets'!$C$4:$C$503,_calc!$E$88))=0,"",INDEX('Assets'!$C$4:$C$503,_calc!$E$88)))=0,"","Location: "&amp;IF(LEN(INDEX('Assets'!$C$4:$C$503,_calc!$E$88))=0,"",INDEX('Assets'!$C$4:$C$503,_calc!$E$88))&amp;". ")&amp;IF(LEN(IF(LEN(INDEX('Assets'!$E$4:$E$503,_calc!$E$88))=0,"",INDEX('Assets'!$E$4:$E$503,_calc!$E$88)))=0,"","Every (months): "&amp;IF(LEN(INDEX('Assets'!$E$4:$E$503,_calc!$E$88))=0,"",INDEX('Assets'!$E$4:$E$503,_calc!$E$88))&amp;". ")&amp;IF(LEN(IF(LEN(INDEX('Assets'!$M$4:$M$503,_calc!$E$88))=0,"",INDEX('Assets'!$M$4:$M$503,_calc!$E$88)))=0,"","Last result: "&amp;IF(LEN(INDEX('Assets'!$M$4:$M$503,_calc!$E$88))=0,"",INDEX('Assets'!$M$4:$M$503,_calc!$E$88))&amp;". ")&amp;IF(LEN(IF(LEN(INDEX('Assets'!$Q$4:$Q$503,_calc!$E$88))=0,"",INDEX('Assets'!$Q$4:$Q$503,_calc!$E$88)))=0,"",IF(LEN(INDEX('Assets'!$Q$4:$Q$503,_calc!$E$88))=0,"",INDEX('Assets'!$Q$4:$Q$503,_calc!$E$88)))))</f>
        <v/>
      </c>
      <c r="G86" s="44">
        <f>IF(_calc!$E$88="","",IF(LEN(INDEX('Assets'!$P$4:$P$503,_calc!$E$88))=0,"",INDEX('Assets'!$P$4:$P$503,_calc!$E$88)))</f>
        <v/>
      </c>
      <c r="K86" s="44">
        <f>IF(_calc!$E$88="","",IF(LEN(INDEX('Assets'!$N$4:$N$503,_calc!$E$88))=0,"",INDEX('Assets'!$N$4:$N$503,_calc!$E$88)))</f>
        <v/>
      </c>
    </row>
    <row r="87">
      <c r="A87" s="44">
        <f>IF(_calc!$E$89="","",IF(LEN(INDEX('Assets'!$D$4:$D$503,_calc!$E$89))=0,"",INDEX('Assets'!$D$4:$D$503,_calc!$E$89))&amp;" – "&amp;IF(LEN(INDEX('Assets'!$A$4:$A$503,_calc!$E$89))=0,"",INDEX('Assets'!$A$4:$A$503,_calc!$E$89)))</f>
        <v/>
      </c>
      <c r="B87" s="44">
        <f>IF(_calc!$E$89="","",IF(ISNUMBER(INDEX('Assets'!$G$4:$G$503,_calc!$E$89)),TEXT(INDEX('Assets'!$G$4:$G$503,_calc!$E$89),"yyyy-mm-dd"),""))</f>
        <v/>
      </c>
      <c r="C87" s="44">
        <f>IF(_calc!$E$89="","","Inspection")</f>
        <v/>
      </c>
      <c r="D87" s="44">
        <f>IF(_calc!$E$89="","",IF(ISNUMBER(INDEX('Assets'!$F$4:$F$503,_calc!$E$89)),TEXT(INDEX('Assets'!$F$4:$F$503,_calc!$E$89),"yyyy-mm-dd"),""))</f>
        <v/>
      </c>
      <c r="E87" s="44">
        <f>IF(_calc!$E$89="","",IF(LEN(INDEX('Assets'!$O$4:$O$503,_calc!$E$89))=0,"",INDEX('Assets'!$O$4:$O$503,_calc!$E$89)))</f>
        <v/>
      </c>
      <c r="F87" s="44">
        <f>IF(_calc!$E$89="","",TRIM(IF(LEN(IF(LEN(INDEX('Assets'!$B$4:$B$503,_calc!$E$89))=0,"",INDEX('Assets'!$B$4:$B$503,_calc!$E$89)))=0,"","Asset ID: "&amp;IF(LEN(INDEX('Assets'!$B$4:$B$503,_calc!$E$89))=0,"",INDEX('Assets'!$B$4:$B$503,_calc!$E$89))&amp;". ")&amp;IF(LEN(IF(LEN(INDEX('Assets'!$C$4:$C$503,_calc!$E$89))=0,"",INDEX('Assets'!$C$4:$C$503,_calc!$E$89)))=0,"","Location: "&amp;IF(LEN(INDEX('Assets'!$C$4:$C$503,_calc!$E$89))=0,"",INDEX('Assets'!$C$4:$C$503,_calc!$E$89))&amp;". ")&amp;IF(LEN(IF(LEN(INDEX('Assets'!$E$4:$E$503,_calc!$E$89))=0,"",INDEX('Assets'!$E$4:$E$503,_calc!$E$89)))=0,"","Every (months): "&amp;IF(LEN(INDEX('Assets'!$E$4:$E$503,_calc!$E$89))=0,"",INDEX('Assets'!$E$4:$E$503,_calc!$E$89))&amp;". ")&amp;IF(LEN(IF(LEN(INDEX('Assets'!$M$4:$M$503,_calc!$E$89))=0,"",INDEX('Assets'!$M$4:$M$503,_calc!$E$89)))=0,"","Last result: "&amp;IF(LEN(INDEX('Assets'!$M$4:$M$503,_calc!$E$89))=0,"",INDEX('Assets'!$M$4:$M$503,_calc!$E$89))&amp;". ")&amp;IF(LEN(IF(LEN(INDEX('Assets'!$Q$4:$Q$503,_calc!$E$89))=0,"",INDEX('Assets'!$Q$4:$Q$503,_calc!$E$89)))=0,"",IF(LEN(INDEX('Assets'!$Q$4:$Q$503,_calc!$E$89))=0,"",INDEX('Assets'!$Q$4:$Q$503,_calc!$E$89)))))</f>
        <v/>
      </c>
      <c r="G87" s="44">
        <f>IF(_calc!$E$89="","",IF(LEN(INDEX('Assets'!$P$4:$P$503,_calc!$E$89))=0,"",INDEX('Assets'!$P$4:$P$503,_calc!$E$89)))</f>
        <v/>
      </c>
      <c r="K87" s="44">
        <f>IF(_calc!$E$89="","",IF(LEN(INDEX('Assets'!$N$4:$N$503,_calc!$E$89))=0,"",INDEX('Assets'!$N$4:$N$503,_calc!$E$89)))</f>
        <v/>
      </c>
    </row>
    <row r="88">
      <c r="A88" s="44">
        <f>IF(_calc!$E$90="","",IF(LEN(INDEX('Assets'!$D$4:$D$503,_calc!$E$90))=0,"",INDEX('Assets'!$D$4:$D$503,_calc!$E$90))&amp;" – "&amp;IF(LEN(INDEX('Assets'!$A$4:$A$503,_calc!$E$90))=0,"",INDEX('Assets'!$A$4:$A$503,_calc!$E$90)))</f>
        <v/>
      </c>
      <c r="B88" s="44">
        <f>IF(_calc!$E$90="","",IF(ISNUMBER(INDEX('Assets'!$G$4:$G$503,_calc!$E$90)),TEXT(INDEX('Assets'!$G$4:$G$503,_calc!$E$90),"yyyy-mm-dd"),""))</f>
        <v/>
      </c>
      <c r="C88" s="44">
        <f>IF(_calc!$E$90="","","Inspection")</f>
        <v/>
      </c>
      <c r="D88" s="44">
        <f>IF(_calc!$E$90="","",IF(ISNUMBER(INDEX('Assets'!$F$4:$F$503,_calc!$E$90)),TEXT(INDEX('Assets'!$F$4:$F$503,_calc!$E$90),"yyyy-mm-dd"),""))</f>
        <v/>
      </c>
      <c r="E88" s="44">
        <f>IF(_calc!$E$90="","",IF(LEN(INDEX('Assets'!$O$4:$O$503,_calc!$E$90))=0,"",INDEX('Assets'!$O$4:$O$503,_calc!$E$90)))</f>
        <v/>
      </c>
      <c r="F88" s="44">
        <f>IF(_calc!$E$90="","",TRIM(IF(LEN(IF(LEN(INDEX('Assets'!$B$4:$B$503,_calc!$E$90))=0,"",INDEX('Assets'!$B$4:$B$503,_calc!$E$90)))=0,"","Asset ID: "&amp;IF(LEN(INDEX('Assets'!$B$4:$B$503,_calc!$E$90))=0,"",INDEX('Assets'!$B$4:$B$503,_calc!$E$90))&amp;". ")&amp;IF(LEN(IF(LEN(INDEX('Assets'!$C$4:$C$503,_calc!$E$90))=0,"",INDEX('Assets'!$C$4:$C$503,_calc!$E$90)))=0,"","Location: "&amp;IF(LEN(INDEX('Assets'!$C$4:$C$503,_calc!$E$90))=0,"",INDEX('Assets'!$C$4:$C$503,_calc!$E$90))&amp;". ")&amp;IF(LEN(IF(LEN(INDEX('Assets'!$E$4:$E$503,_calc!$E$90))=0,"",INDEX('Assets'!$E$4:$E$503,_calc!$E$90)))=0,"","Every (months): "&amp;IF(LEN(INDEX('Assets'!$E$4:$E$503,_calc!$E$90))=0,"",INDEX('Assets'!$E$4:$E$503,_calc!$E$90))&amp;". ")&amp;IF(LEN(IF(LEN(INDEX('Assets'!$M$4:$M$503,_calc!$E$90))=0,"",INDEX('Assets'!$M$4:$M$503,_calc!$E$90)))=0,"","Last result: "&amp;IF(LEN(INDEX('Assets'!$M$4:$M$503,_calc!$E$90))=0,"",INDEX('Assets'!$M$4:$M$503,_calc!$E$90))&amp;". ")&amp;IF(LEN(IF(LEN(INDEX('Assets'!$Q$4:$Q$503,_calc!$E$90))=0,"",INDEX('Assets'!$Q$4:$Q$503,_calc!$E$90)))=0,"",IF(LEN(INDEX('Assets'!$Q$4:$Q$503,_calc!$E$90))=0,"",INDEX('Assets'!$Q$4:$Q$503,_calc!$E$90)))))</f>
        <v/>
      </c>
      <c r="G88" s="44">
        <f>IF(_calc!$E$90="","",IF(LEN(INDEX('Assets'!$P$4:$P$503,_calc!$E$90))=0,"",INDEX('Assets'!$P$4:$P$503,_calc!$E$90)))</f>
        <v/>
      </c>
      <c r="K88" s="44">
        <f>IF(_calc!$E$90="","",IF(LEN(INDEX('Assets'!$N$4:$N$503,_calc!$E$90))=0,"",INDEX('Assets'!$N$4:$N$503,_calc!$E$90)))</f>
        <v/>
      </c>
    </row>
    <row r="89">
      <c r="A89" s="44">
        <f>IF(_calc!$E$91="","",IF(LEN(INDEX('Assets'!$D$4:$D$503,_calc!$E$91))=0,"",INDEX('Assets'!$D$4:$D$503,_calc!$E$91))&amp;" – "&amp;IF(LEN(INDEX('Assets'!$A$4:$A$503,_calc!$E$91))=0,"",INDEX('Assets'!$A$4:$A$503,_calc!$E$91)))</f>
        <v/>
      </c>
      <c r="B89" s="44">
        <f>IF(_calc!$E$91="","",IF(ISNUMBER(INDEX('Assets'!$G$4:$G$503,_calc!$E$91)),TEXT(INDEX('Assets'!$G$4:$G$503,_calc!$E$91),"yyyy-mm-dd"),""))</f>
        <v/>
      </c>
      <c r="C89" s="44">
        <f>IF(_calc!$E$91="","","Inspection")</f>
        <v/>
      </c>
      <c r="D89" s="44">
        <f>IF(_calc!$E$91="","",IF(ISNUMBER(INDEX('Assets'!$F$4:$F$503,_calc!$E$91)),TEXT(INDEX('Assets'!$F$4:$F$503,_calc!$E$91),"yyyy-mm-dd"),""))</f>
        <v/>
      </c>
      <c r="E89" s="44">
        <f>IF(_calc!$E$91="","",IF(LEN(INDEX('Assets'!$O$4:$O$503,_calc!$E$91))=0,"",INDEX('Assets'!$O$4:$O$503,_calc!$E$91)))</f>
        <v/>
      </c>
      <c r="F89" s="44">
        <f>IF(_calc!$E$91="","",TRIM(IF(LEN(IF(LEN(INDEX('Assets'!$B$4:$B$503,_calc!$E$91))=0,"",INDEX('Assets'!$B$4:$B$503,_calc!$E$91)))=0,"","Asset ID: "&amp;IF(LEN(INDEX('Assets'!$B$4:$B$503,_calc!$E$91))=0,"",INDEX('Assets'!$B$4:$B$503,_calc!$E$91))&amp;". ")&amp;IF(LEN(IF(LEN(INDEX('Assets'!$C$4:$C$503,_calc!$E$91))=0,"",INDEX('Assets'!$C$4:$C$503,_calc!$E$91)))=0,"","Location: "&amp;IF(LEN(INDEX('Assets'!$C$4:$C$503,_calc!$E$91))=0,"",INDEX('Assets'!$C$4:$C$503,_calc!$E$91))&amp;". ")&amp;IF(LEN(IF(LEN(INDEX('Assets'!$E$4:$E$503,_calc!$E$91))=0,"",INDEX('Assets'!$E$4:$E$503,_calc!$E$91)))=0,"","Every (months): "&amp;IF(LEN(INDEX('Assets'!$E$4:$E$503,_calc!$E$91))=0,"",INDEX('Assets'!$E$4:$E$503,_calc!$E$91))&amp;". ")&amp;IF(LEN(IF(LEN(INDEX('Assets'!$M$4:$M$503,_calc!$E$91))=0,"",INDEX('Assets'!$M$4:$M$503,_calc!$E$91)))=0,"","Last result: "&amp;IF(LEN(INDEX('Assets'!$M$4:$M$503,_calc!$E$91))=0,"",INDEX('Assets'!$M$4:$M$503,_calc!$E$91))&amp;". ")&amp;IF(LEN(IF(LEN(INDEX('Assets'!$Q$4:$Q$503,_calc!$E$91))=0,"",INDEX('Assets'!$Q$4:$Q$503,_calc!$E$91)))=0,"",IF(LEN(INDEX('Assets'!$Q$4:$Q$503,_calc!$E$91))=0,"",INDEX('Assets'!$Q$4:$Q$503,_calc!$E$91)))))</f>
        <v/>
      </c>
      <c r="G89" s="44">
        <f>IF(_calc!$E$91="","",IF(LEN(INDEX('Assets'!$P$4:$P$503,_calc!$E$91))=0,"",INDEX('Assets'!$P$4:$P$503,_calc!$E$91)))</f>
        <v/>
      </c>
      <c r="K89" s="44">
        <f>IF(_calc!$E$91="","",IF(LEN(INDEX('Assets'!$N$4:$N$503,_calc!$E$91))=0,"",INDEX('Assets'!$N$4:$N$503,_calc!$E$91)))</f>
        <v/>
      </c>
    </row>
    <row r="90">
      <c r="A90" s="44">
        <f>IF(_calc!$E$92="","",IF(LEN(INDEX('Assets'!$D$4:$D$503,_calc!$E$92))=0,"",INDEX('Assets'!$D$4:$D$503,_calc!$E$92))&amp;" – "&amp;IF(LEN(INDEX('Assets'!$A$4:$A$503,_calc!$E$92))=0,"",INDEX('Assets'!$A$4:$A$503,_calc!$E$92)))</f>
        <v/>
      </c>
      <c r="B90" s="44">
        <f>IF(_calc!$E$92="","",IF(ISNUMBER(INDEX('Assets'!$G$4:$G$503,_calc!$E$92)),TEXT(INDEX('Assets'!$G$4:$G$503,_calc!$E$92),"yyyy-mm-dd"),""))</f>
        <v/>
      </c>
      <c r="C90" s="44">
        <f>IF(_calc!$E$92="","","Inspection")</f>
        <v/>
      </c>
      <c r="D90" s="44">
        <f>IF(_calc!$E$92="","",IF(ISNUMBER(INDEX('Assets'!$F$4:$F$503,_calc!$E$92)),TEXT(INDEX('Assets'!$F$4:$F$503,_calc!$E$92),"yyyy-mm-dd"),""))</f>
        <v/>
      </c>
      <c r="E90" s="44">
        <f>IF(_calc!$E$92="","",IF(LEN(INDEX('Assets'!$O$4:$O$503,_calc!$E$92))=0,"",INDEX('Assets'!$O$4:$O$503,_calc!$E$92)))</f>
        <v/>
      </c>
      <c r="F90" s="44">
        <f>IF(_calc!$E$92="","",TRIM(IF(LEN(IF(LEN(INDEX('Assets'!$B$4:$B$503,_calc!$E$92))=0,"",INDEX('Assets'!$B$4:$B$503,_calc!$E$92)))=0,"","Asset ID: "&amp;IF(LEN(INDEX('Assets'!$B$4:$B$503,_calc!$E$92))=0,"",INDEX('Assets'!$B$4:$B$503,_calc!$E$92))&amp;". ")&amp;IF(LEN(IF(LEN(INDEX('Assets'!$C$4:$C$503,_calc!$E$92))=0,"",INDEX('Assets'!$C$4:$C$503,_calc!$E$92)))=0,"","Location: "&amp;IF(LEN(INDEX('Assets'!$C$4:$C$503,_calc!$E$92))=0,"",INDEX('Assets'!$C$4:$C$503,_calc!$E$92))&amp;". ")&amp;IF(LEN(IF(LEN(INDEX('Assets'!$E$4:$E$503,_calc!$E$92))=0,"",INDEX('Assets'!$E$4:$E$503,_calc!$E$92)))=0,"","Every (months): "&amp;IF(LEN(INDEX('Assets'!$E$4:$E$503,_calc!$E$92))=0,"",INDEX('Assets'!$E$4:$E$503,_calc!$E$92))&amp;". ")&amp;IF(LEN(IF(LEN(INDEX('Assets'!$M$4:$M$503,_calc!$E$92))=0,"",INDEX('Assets'!$M$4:$M$503,_calc!$E$92)))=0,"","Last result: "&amp;IF(LEN(INDEX('Assets'!$M$4:$M$503,_calc!$E$92))=0,"",INDEX('Assets'!$M$4:$M$503,_calc!$E$92))&amp;". ")&amp;IF(LEN(IF(LEN(INDEX('Assets'!$Q$4:$Q$503,_calc!$E$92))=0,"",INDEX('Assets'!$Q$4:$Q$503,_calc!$E$92)))=0,"",IF(LEN(INDEX('Assets'!$Q$4:$Q$503,_calc!$E$92))=0,"",INDEX('Assets'!$Q$4:$Q$503,_calc!$E$92)))))</f>
        <v/>
      </c>
      <c r="G90" s="44">
        <f>IF(_calc!$E$92="","",IF(LEN(INDEX('Assets'!$P$4:$P$503,_calc!$E$92))=0,"",INDEX('Assets'!$P$4:$P$503,_calc!$E$92)))</f>
        <v/>
      </c>
      <c r="K90" s="44">
        <f>IF(_calc!$E$92="","",IF(LEN(INDEX('Assets'!$N$4:$N$503,_calc!$E$92))=0,"",INDEX('Assets'!$N$4:$N$503,_calc!$E$92)))</f>
        <v/>
      </c>
    </row>
    <row r="91">
      <c r="A91" s="44">
        <f>IF(_calc!$E$93="","",IF(LEN(INDEX('Assets'!$D$4:$D$503,_calc!$E$93))=0,"",INDEX('Assets'!$D$4:$D$503,_calc!$E$93))&amp;" – "&amp;IF(LEN(INDEX('Assets'!$A$4:$A$503,_calc!$E$93))=0,"",INDEX('Assets'!$A$4:$A$503,_calc!$E$93)))</f>
        <v/>
      </c>
      <c r="B91" s="44">
        <f>IF(_calc!$E$93="","",IF(ISNUMBER(INDEX('Assets'!$G$4:$G$503,_calc!$E$93)),TEXT(INDEX('Assets'!$G$4:$G$503,_calc!$E$93),"yyyy-mm-dd"),""))</f>
        <v/>
      </c>
      <c r="C91" s="44">
        <f>IF(_calc!$E$93="","","Inspection")</f>
        <v/>
      </c>
      <c r="D91" s="44">
        <f>IF(_calc!$E$93="","",IF(ISNUMBER(INDEX('Assets'!$F$4:$F$503,_calc!$E$93)),TEXT(INDEX('Assets'!$F$4:$F$503,_calc!$E$93),"yyyy-mm-dd"),""))</f>
        <v/>
      </c>
      <c r="E91" s="44">
        <f>IF(_calc!$E$93="","",IF(LEN(INDEX('Assets'!$O$4:$O$503,_calc!$E$93))=0,"",INDEX('Assets'!$O$4:$O$503,_calc!$E$93)))</f>
        <v/>
      </c>
      <c r="F91" s="44">
        <f>IF(_calc!$E$93="","",TRIM(IF(LEN(IF(LEN(INDEX('Assets'!$B$4:$B$503,_calc!$E$93))=0,"",INDEX('Assets'!$B$4:$B$503,_calc!$E$93)))=0,"","Asset ID: "&amp;IF(LEN(INDEX('Assets'!$B$4:$B$503,_calc!$E$93))=0,"",INDEX('Assets'!$B$4:$B$503,_calc!$E$93))&amp;". ")&amp;IF(LEN(IF(LEN(INDEX('Assets'!$C$4:$C$503,_calc!$E$93))=0,"",INDEX('Assets'!$C$4:$C$503,_calc!$E$93)))=0,"","Location: "&amp;IF(LEN(INDEX('Assets'!$C$4:$C$503,_calc!$E$93))=0,"",INDEX('Assets'!$C$4:$C$503,_calc!$E$93))&amp;". ")&amp;IF(LEN(IF(LEN(INDEX('Assets'!$E$4:$E$503,_calc!$E$93))=0,"",INDEX('Assets'!$E$4:$E$503,_calc!$E$93)))=0,"","Every (months): "&amp;IF(LEN(INDEX('Assets'!$E$4:$E$503,_calc!$E$93))=0,"",INDEX('Assets'!$E$4:$E$503,_calc!$E$93))&amp;". ")&amp;IF(LEN(IF(LEN(INDEX('Assets'!$M$4:$M$503,_calc!$E$93))=0,"",INDEX('Assets'!$M$4:$M$503,_calc!$E$93)))=0,"","Last result: "&amp;IF(LEN(INDEX('Assets'!$M$4:$M$503,_calc!$E$93))=0,"",INDEX('Assets'!$M$4:$M$503,_calc!$E$93))&amp;". ")&amp;IF(LEN(IF(LEN(INDEX('Assets'!$Q$4:$Q$503,_calc!$E$93))=0,"",INDEX('Assets'!$Q$4:$Q$503,_calc!$E$93)))=0,"",IF(LEN(INDEX('Assets'!$Q$4:$Q$503,_calc!$E$93))=0,"",INDEX('Assets'!$Q$4:$Q$503,_calc!$E$93)))))</f>
        <v/>
      </c>
      <c r="G91" s="44">
        <f>IF(_calc!$E$93="","",IF(LEN(INDEX('Assets'!$P$4:$P$503,_calc!$E$93))=0,"",INDEX('Assets'!$P$4:$P$503,_calc!$E$93)))</f>
        <v/>
      </c>
      <c r="K91" s="44">
        <f>IF(_calc!$E$93="","",IF(LEN(INDEX('Assets'!$N$4:$N$503,_calc!$E$93))=0,"",INDEX('Assets'!$N$4:$N$503,_calc!$E$93)))</f>
        <v/>
      </c>
    </row>
    <row r="92">
      <c r="A92" s="44">
        <f>IF(_calc!$E$94="","",IF(LEN(INDEX('Assets'!$D$4:$D$503,_calc!$E$94))=0,"",INDEX('Assets'!$D$4:$D$503,_calc!$E$94))&amp;" – "&amp;IF(LEN(INDEX('Assets'!$A$4:$A$503,_calc!$E$94))=0,"",INDEX('Assets'!$A$4:$A$503,_calc!$E$94)))</f>
        <v/>
      </c>
      <c r="B92" s="44">
        <f>IF(_calc!$E$94="","",IF(ISNUMBER(INDEX('Assets'!$G$4:$G$503,_calc!$E$94)),TEXT(INDEX('Assets'!$G$4:$G$503,_calc!$E$94),"yyyy-mm-dd"),""))</f>
        <v/>
      </c>
      <c r="C92" s="44">
        <f>IF(_calc!$E$94="","","Inspection")</f>
        <v/>
      </c>
      <c r="D92" s="44">
        <f>IF(_calc!$E$94="","",IF(ISNUMBER(INDEX('Assets'!$F$4:$F$503,_calc!$E$94)),TEXT(INDEX('Assets'!$F$4:$F$503,_calc!$E$94),"yyyy-mm-dd"),""))</f>
        <v/>
      </c>
      <c r="E92" s="44">
        <f>IF(_calc!$E$94="","",IF(LEN(INDEX('Assets'!$O$4:$O$503,_calc!$E$94))=0,"",INDEX('Assets'!$O$4:$O$503,_calc!$E$94)))</f>
        <v/>
      </c>
      <c r="F92" s="44">
        <f>IF(_calc!$E$94="","",TRIM(IF(LEN(IF(LEN(INDEX('Assets'!$B$4:$B$503,_calc!$E$94))=0,"",INDEX('Assets'!$B$4:$B$503,_calc!$E$94)))=0,"","Asset ID: "&amp;IF(LEN(INDEX('Assets'!$B$4:$B$503,_calc!$E$94))=0,"",INDEX('Assets'!$B$4:$B$503,_calc!$E$94))&amp;". ")&amp;IF(LEN(IF(LEN(INDEX('Assets'!$C$4:$C$503,_calc!$E$94))=0,"",INDEX('Assets'!$C$4:$C$503,_calc!$E$94)))=0,"","Location: "&amp;IF(LEN(INDEX('Assets'!$C$4:$C$503,_calc!$E$94))=0,"",INDEX('Assets'!$C$4:$C$503,_calc!$E$94))&amp;". ")&amp;IF(LEN(IF(LEN(INDEX('Assets'!$E$4:$E$503,_calc!$E$94))=0,"",INDEX('Assets'!$E$4:$E$503,_calc!$E$94)))=0,"","Every (months): "&amp;IF(LEN(INDEX('Assets'!$E$4:$E$503,_calc!$E$94))=0,"",INDEX('Assets'!$E$4:$E$503,_calc!$E$94))&amp;". ")&amp;IF(LEN(IF(LEN(INDEX('Assets'!$M$4:$M$503,_calc!$E$94))=0,"",INDEX('Assets'!$M$4:$M$503,_calc!$E$94)))=0,"","Last result: "&amp;IF(LEN(INDEX('Assets'!$M$4:$M$503,_calc!$E$94))=0,"",INDEX('Assets'!$M$4:$M$503,_calc!$E$94))&amp;". ")&amp;IF(LEN(IF(LEN(INDEX('Assets'!$Q$4:$Q$503,_calc!$E$94))=0,"",INDEX('Assets'!$Q$4:$Q$503,_calc!$E$94)))=0,"",IF(LEN(INDEX('Assets'!$Q$4:$Q$503,_calc!$E$94))=0,"",INDEX('Assets'!$Q$4:$Q$503,_calc!$E$94)))))</f>
        <v/>
      </c>
      <c r="G92" s="44">
        <f>IF(_calc!$E$94="","",IF(LEN(INDEX('Assets'!$P$4:$P$503,_calc!$E$94))=0,"",INDEX('Assets'!$P$4:$P$503,_calc!$E$94)))</f>
        <v/>
      </c>
      <c r="K92" s="44">
        <f>IF(_calc!$E$94="","",IF(LEN(INDEX('Assets'!$N$4:$N$503,_calc!$E$94))=0,"",INDEX('Assets'!$N$4:$N$503,_calc!$E$94)))</f>
        <v/>
      </c>
    </row>
    <row r="93">
      <c r="A93" s="44">
        <f>IF(_calc!$E$95="","",IF(LEN(INDEX('Assets'!$D$4:$D$503,_calc!$E$95))=0,"",INDEX('Assets'!$D$4:$D$503,_calc!$E$95))&amp;" – "&amp;IF(LEN(INDEX('Assets'!$A$4:$A$503,_calc!$E$95))=0,"",INDEX('Assets'!$A$4:$A$503,_calc!$E$95)))</f>
        <v/>
      </c>
      <c r="B93" s="44">
        <f>IF(_calc!$E$95="","",IF(ISNUMBER(INDEX('Assets'!$G$4:$G$503,_calc!$E$95)),TEXT(INDEX('Assets'!$G$4:$G$503,_calc!$E$95),"yyyy-mm-dd"),""))</f>
        <v/>
      </c>
      <c r="C93" s="44">
        <f>IF(_calc!$E$95="","","Inspection")</f>
        <v/>
      </c>
      <c r="D93" s="44">
        <f>IF(_calc!$E$95="","",IF(ISNUMBER(INDEX('Assets'!$F$4:$F$503,_calc!$E$95)),TEXT(INDEX('Assets'!$F$4:$F$503,_calc!$E$95),"yyyy-mm-dd"),""))</f>
        <v/>
      </c>
      <c r="E93" s="44">
        <f>IF(_calc!$E$95="","",IF(LEN(INDEX('Assets'!$O$4:$O$503,_calc!$E$95))=0,"",INDEX('Assets'!$O$4:$O$503,_calc!$E$95)))</f>
        <v/>
      </c>
      <c r="F93" s="44">
        <f>IF(_calc!$E$95="","",TRIM(IF(LEN(IF(LEN(INDEX('Assets'!$B$4:$B$503,_calc!$E$95))=0,"",INDEX('Assets'!$B$4:$B$503,_calc!$E$95)))=0,"","Asset ID: "&amp;IF(LEN(INDEX('Assets'!$B$4:$B$503,_calc!$E$95))=0,"",INDEX('Assets'!$B$4:$B$503,_calc!$E$95))&amp;". ")&amp;IF(LEN(IF(LEN(INDEX('Assets'!$C$4:$C$503,_calc!$E$95))=0,"",INDEX('Assets'!$C$4:$C$503,_calc!$E$95)))=0,"","Location: "&amp;IF(LEN(INDEX('Assets'!$C$4:$C$503,_calc!$E$95))=0,"",INDEX('Assets'!$C$4:$C$503,_calc!$E$95))&amp;". ")&amp;IF(LEN(IF(LEN(INDEX('Assets'!$E$4:$E$503,_calc!$E$95))=0,"",INDEX('Assets'!$E$4:$E$503,_calc!$E$95)))=0,"","Every (months): "&amp;IF(LEN(INDEX('Assets'!$E$4:$E$503,_calc!$E$95))=0,"",INDEX('Assets'!$E$4:$E$503,_calc!$E$95))&amp;". ")&amp;IF(LEN(IF(LEN(INDEX('Assets'!$M$4:$M$503,_calc!$E$95))=0,"",INDEX('Assets'!$M$4:$M$503,_calc!$E$95)))=0,"","Last result: "&amp;IF(LEN(INDEX('Assets'!$M$4:$M$503,_calc!$E$95))=0,"",INDEX('Assets'!$M$4:$M$503,_calc!$E$95))&amp;". ")&amp;IF(LEN(IF(LEN(INDEX('Assets'!$Q$4:$Q$503,_calc!$E$95))=0,"",INDEX('Assets'!$Q$4:$Q$503,_calc!$E$95)))=0,"",IF(LEN(INDEX('Assets'!$Q$4:$Q$503,_calc!$E$95))=0,"",INDEX('Assets'!$Q$4:$Q$503,_calc!$E$95)))))</f>
        <v/>
      </c>
      <c r="G93" s="44">
        <f>IF(_calc!$E$95="","",IF(LEN(INDEX('Assets'!$P$4:$P$503,_calc!$E$95))=0,"",INDEX('Assets'!$P$4:$P$503,_calc!$E$95)))</f>
        <v/>
      </c>
      <c r="K93" s="44">
        <f>IF(_calc!$E$95="","",IF(LEN(INDEX('Assets'!$N$4:$N$503,_calc!$E$95))=0,"",INDEX('Assets'!$N$4:$N$503,_calc!$E$95)))</f>
        <v/>
      </c>
    </row>
    <row r="94">
      <c r="A94" s="44">
        <f>IF(_calc!$E$96="","",IF(LEN(INDEX('Assets'!$D$4:$D$503,_calc!$E$96))=0,"",INDEX('Assets'!$D$4:$D$503,_calc!$E$96))&amp;" – "&amp;IF(LEN(INDEX('Assets'!$A$4:$A$503,_calc!$E$96))=0,"",INDEX('Assets'!$A$4:$A$503,_calc!$E$96)))</f>
        <v/>
      </c>
      <c r="B94" s="44">
        <f>IF(_calc!$E$96="","",IF(ISNUMBER(INDEX('Assets'!$G$4:$G$503,_calc!$E$96)),TEXT(INDEX('Assets'!$G$4:$G$503,_calc!$E$96),"yyyy-mm-dd"),""))</f>
        <v/>
      </c>
      <c r="C94" s="44">
        <f>IF(_calc!$E$96="","","Inspection")</f>
        <v/>
      </c>
      <c r="D94" s="44">
        <f>IF(_calc!$E$96="","",IF(ISNUMBER(INDEX('Assets'!$F$4:$F$503,_calc!$E$96)),TEXT(INDEX('Assets'!$F$4:$F$503,_calc!$E$96),"yyyy-mm-dd"),""))</f>
        <v/>
      </c>
      <c r="E94" s="44">
        <f>IF(_calc!$E$96="","",IF(LEN(INDEX('Assets'!$O$4:$O$503,_calc!$E$96))=0,"",INDEX('Assets'!$O$4:$O$503,_calc!$E$96)))</f>
        <v/>
      </c>
      <c r="F94" s="44">
        <f>IF(_calc!$E$96="","",TRIM(IF(LEN(IF(LEN(INDEX('Assets'!$B$4:$B$503,_calc!$E$96))=0,"",INDEX('Assets'!$B$4:$B$503,_calc!$E$96)))=0,"","Asset ID: "&amp;IF(LEN(INDEX('Assets'!$B$4:$B$503,_calc!$E$96))=0,"",INDEX('Assets'!$B$4:$B$503,_calc!$E$96))&amp;". ")&amp;IF(LEN(IF(LEN(INDEX('Assets'!$C$4:$C$503,_calc!$E$96))=0,"",INDEX('Assets'!$C$4:$C$503,_calc!$E$96)))=0,"","Location: "&amp;IF(LEN(INDEX('Assets'!$C$4:$C$503,_calc!$E$96))=0,"",INDEX('Assets'!$C$4:$C$503,_calc!$E$96))&amp;". ")&amp;IF(LEN(IF(LEN(INDEX('Assets'!$E$4:$E$503,_calc!$E$96))=0,"",INDEX('Assets'!$E$4:$E$503,_calc!$E$96)))=0,"","Every (months): "&amp;IF(LEN(INDEX('Assets'!$E$4:$E$503,_calc!$E$96))=0,"",INDEX('Assets'!$E$4:$E$503,_calc!$E$96))&amp;". ")&amp;IF(LEN(IF(LEN(INDEX('Assets'!$M$4:$M$503,_calc!$E$96))=0,"",INDEX('Assets'!$M$4:$M$503,_calc!$E$96)))=0,"","Last result: "&amp;IF(LEN(INDEX('Assets'!$M$4:$M$503,_calc!$E$96))=0,"",INDEX('Assets'!$M$4:$M$503,_calc!$E$96))&amp;". ")&amp;IF(LEN(IF(LEN(INDEX('Assets'!$Q$4:$Q$503,_calc!$E$96))=0,"",INDEX('Assets'!$Q$4:$Q$503,_calc!$E$96)))=0,"",IF(LEN(INDEX('Assets'!$Q$4:$Q$503,_calc!$E$96))=0,"",INDEX('Assets'!$Q$4:$Q$503,_calc!$E$96)))))</f>
        <v/>
      </c>
      <c r="G94" s="44">
        <f>IF(_calc!$E$96="","",IF(LEN(INDEX('Assets'!$P$4:$P$503,_calc!$E$96))=0,"",INDEX('Assets'!$P$4:$P$503,_calc!$E$96)))</f>
        <v/>
      </c>
      <c r="K94" s="44">
        <f>IF(_calc!$E$96="","",IF(LEN(INDEX('Assets'!$N$4:$N$503,_calc!$E$96))=0,"",INDEX('Assets'!$N$4:$N$503,_calc!$E$96)))</f>
        <v/>
      </c>
    </row>
    <row r="95">
      <c r="A95" s="44">
        <f>IF(_calc!$E$97="","",IF(LEN(INDEX('Assets'!$D$4:$D$503,_calc!$E$97))=0,"",INDEX('Assets'!$D$4:$D$503,_calc!$E$97))&amp;" – "&amp;IF(LEN(INDEX('Assets'!$A$4:$A$503,_calc!$E$97))=0,"",INDEX('Assets'!$A$4:$A$503,_calc!$E$97)))</f>
        <v/>
      </c>
      <c r="B95" s="44">
        <f>IF(_calc!$E$97="","",IF(ISNUMBER(INDEX('Assets'!$G$4:$G$503,_calc!$E$97)),TEXT(INDEX('Assets'!$G$4:$G$503,_calc!$E$97),"yyyy-mm-dd"),""))</f>
        <v/>
      </c>
      <c r="C95" s="44">
        <f>IF(_calc!$E$97="","","Inspection")</f>
        <v/>
      </c>
      <c r="D95" s="44">
        <f>IF(_calc!$E$97="","",IF(ISNUMBER(INDEX('Assets'!$F$4:$F$503,_calc!$E$97)),TEXT(INDEX('Assets'!$F$4:$F$503,_calc!$E$97),"yyyy-mm-dd"),""))</f>
        <v/>
      </c>
      <c r="E95" s="44">
        <f>IF(_calc!$E$97="","",IF(LEN(INDEX('Assets'!$O$4:$O$503,_calc!$E$97))=0,"",INDEX('Assets'!$O$4:$O$503,_calc!$E$97)))</f>
        <v/>
      </c>
      <c r="F95" s="44">
        <f>IF(_calc!$E$97="","",TRIM(IF(LEN(IF(LEN(INDEX('Assets'!$B$4:$B$503,_calc!$E$97))=0,"",INDEX('Assets'!$B$4:$B$503,_calc!$E$97)))=0,"","Asset ID: "&amp;IF(LEN(INDEX('Assets'!$B$4:$B$503,_calc!$E$97))=0,"",INDEX('Assets'!$B$4:$B$503,_calc!$E$97))&amp;". ")&amp;IF(LEN(IF(LEN(INDEX('Assets'!$C$4:$C$503,_calc!$E$97))=0,"",INDEX('Assets'!$C$4:$C$503,_calc!$E$97)))=0,"","Location: "&amp;IF(LEN(INDEX('Assets'!$C$4:$C$503,_calc!$E$97))=0,"",INDEX('Assets'!$C$4:$C$503,_calc!$E$97))&amp;". ")&amp;IF(LEN(IF(LEN(INDEX('Assets'!$E$4:$E$503,_calc!$E$97))=0,"",INDEX('Assets'!$E$4:$E$503,_calc!$E$97)))=0,"","Every (months): "&amp;IF(LEN(INDEX('Assets'!$E$4:$E$503,_calc!$E$97))=0,"",INDEX('Assets'!$E$4:$E$503,_calc!$E$97))&amp;". ")&amp;IF(LEN(IF(LEN(INDEX('Assets'!$M$4:$M$503,_calc!$E$97))=0,"",INDEX('Assets'!$M$4:$M$503,_calc!$E$97)))=0,"","Last result: "&amp;IF(LEN(INDEX('Assets'!$M$4:$M$503,_calc!$E$97))=0,"",INDEX('Assets'!$M$4:$M$503,_calc!$E$97))&amp;". ")&amp;IF(LEN(IF(LEN(INDEX('Assets'!$Q$4:$Q$503,_calc!$E$97))=0,"",INDEX('Assets'!$Q$4:$Q$503,_calc!$E$97)))=0,"",IF(LEN(INDEX('Assets'!$Q$4:$Q$503,_calc!$E$97))=0,"",INDEX('Assets'!$Q$4:$Q$503,_calc!$E$97)))))</f>
        <v/>
      </c>
      <c r="G95" s="44">
        <f>IF(_calc!$E$97="","",IF(LEN(INDEX('Assets'!$P$4:$P$503,_calc!$E$97))=0,"",INDEX('Assets'!$P$4:$P$503,_calc!$E$97)))</f>
        <v/>
      </c>
      <c r="K95" s="44">
        <f>IF(_calc!$E$97="","",IF(LEN(INDEX('Assets'!$N$4:$N$503,_calc!$E$97))=0,"",INDEX('Assets'!$N$4:$N$503,_calc!$E$97)))</f>
        <v/>
      </c>
    </row>
    <row r="96">
      <c r="A96" s="44">
        <f>IF(_calc!$E$98="","",IF(LEN(INDEX('Assets'!$D$4:$D$503,_calc!$E$98))=0,"",INDEX('Assets'!$D$4:$D$503,_calc!$E$98))&amp;" – "&amp;IF(LEN(INDEX('Assets'!$A$4:$A$503,_calc!$E$98))=0,"",INDEX('Assets'!$A$4:$A$503,_calc!$E$98)))</f>
        <v/>
      </c>
      <c r="B96" s="44">
        <f>IF(_calc!$E$98="","",IF(ISNUMBER(INDEX('Assets'!$G$4:$G$503,_calc!$E$98)),TEXT(INDEX('Assets'!$G$4:$G$503,_calc!$E$98),"yyyy-mm-dd"),""))</f>
        <v/>
      </c>
      <c r="C96" s="44">
        <f>IF(_calc!$E$98="","","Inspection")</f>
        <v/>
      </c>
      <c r="D96" s="44">
        <f>IF(_calc!$E$98="","",IF(ISNUMBER(INDEX('Assets'!$F$4:$F$503,_calc!$E$98)),TEXT(INDEX('Assets'!$F$4:$F$503,_calc!$E$98),"yyyy-mm-dd"),""))</f>
        <v/>
      </c>
      <c r="E96" s="44">
        <f>IF(_calc!$E$98="","",IF(LEN(INDEX('Assets'!$O$4:$O$503,_calc!$E$98))=0,"",INDEX('Assets'!$O$4:$O$503,_calc!$E$98)))</f>
        <v/>
      </c>
      <c r="F96" s="44">
        <f>IF(_calc!$E$98="","",TRIM(IF(LEN(IF(LEN(INDEX('Assets'!$B$4:$B$503,_calc!$E$98))=0,"",INDEX('Assets'!$B$4:$B$503,_calc!$E$98)))=0,"","Asset ID: "&amp;IF(LEN(INDEX('Assets'!$B$4:$B$503,_calc!$E$98))=0,"",INDEX('Assets'!$B$4:$B$503,_calc!$E$98))&amp;". ")&amp;IF(LEN(IF(LEN(INDEX('Assets'!$C$4:$C$503,_calc!$E$98))=0,"",INDEX('Assets'!$C$4:$C$503,_calc!$E$98)))=0,"","Location: "&amp;IF(LEN(INDEX('Assets'!$C$4:$C$503,_calc!$E$98))=0,"",INDEX('Assets'!$C$4:$C$503,_calc!$E$98))&amp;". ")&amp;IF(LEN(IF(LEN(INDEX('Assets'!$E$4:$E$503,_calc!$E$98))=0,"",INDEX('Assets'!$E$4:$E$503,_calc!$E$98)))=0,"","Every (months): "&amp;IF(LEN(INDEX('Assets'!$E$4:$E$503,_calc!$E$98))=0,"",INDEX('Assets'!$E$4:$E$503,_calc!$E$98))&amp;". ")&amp;IF(LEN(IF(LEN(INDEX('Assets'!$M$4:$M$503,_calc!$E$98))=0,"",INDEX('Assets'!$M$4:$M$503,_calc!$E$98)))=0,"","Last result: "&amp;IF(LEN(INDEX('Assets'!$M$4:$M$503,_calc!$E$98))=0,"",INDEX('Assets'!$M$4:$M$503,_calc!$E$98))&amp;". ")&amp;IF(LEN(IF(LEN(INDEX('Assets'!$Q$4:$Q$503,_calc!$E$98))=0,"",INDEX('Assets'!$Q$4:$Q$503,_calc!$E$98)))=0,"",IF(LEN(INDEX('Assets'!$Q$4:$Q$503,_calc!$E$98))=0,"",INDEX('Assets'!$Q$4:$Q$503,_calc!$E$98)))))</f>
        <v/>
      </c>
      <c r="G96" s="44">
        <f>IF(_calc!$E$98="","",IF(LEN(INDEX('Assets'!$P$4:$P$503,_calc!$E$98))=0,"",INDEX('Assets'!$P$4:$P$503,_calc!$E$98)))</f>
        <v/>
      </c>
      <c r="K96" s="44">
        <f>IF(_calc!$E$98="","",IF(LEN(INDEX('Assets'!$N$4:$N$503,_calc!$E$98))=0,"",INDEX('Assets'!$N$4:$N$503,_calc!$E$98)))</f>
        <v/>
      </c>
    </row>
    <row r="97">
      <c r="A97" s="44">
        <f>IF(_calc!$E$99="","",IF(LEN(INDEX('Assets'!$D$4:$D$503,_calc!$E$99))=0,"",INDEX('Assets'!$D$4:$D$503,_calc!$E$99))&amp;" – "&amp;IF(LEN(INDEX('Assets'!$A$4:$A$503,_calc!$E$99))=0,"",INDEX('Assets'!$A$4:$A$503,_calc!$E$99)))</f>
        <v/>
      </c>
      <c r="B97" s="44">
        <f>IF(_calc!$E$99="","",IF(ISNUMBER(INDEX('Assets'!$G$4:$G$503,_calc!$E$99)),TEXT(INDEX('Assets'!$G$4:$G$503,_calc!$E$99),"yyyy-mm-dd"),""))</f>
        <v/>
      </c>
      <c r="C97" s="44">
        <f>IF(_calc!$E$99="","","Inspection")</f>
        <v/>
      </c>
      <c r="D97" s="44">
        <f>IF(_calc!$E$99="","",IF(ISNUMBER(INDEX('Assets'!$F$4:$F$503,_calc!$E$99)),TEXT(INDEX('Assets'!$F$4:$F$503,_calc!$E$99),"yyyy-mm-dd"),""))</f>
        <v/>
      </c>
      <c r="E97" s="44">
        <f>IF(_calc!$E$99="","",IF(LEN(INDEX('Assets'!$O$4:$O$503,_calc!$E$99))=0,"",INDEX('Assets'!$O$4:$O$503,_calc!$E$99)))</f>
        <v/>
      </c>
      <c r="F97" s="44">
        <f>IF(_calc!$E$99="","",TRIM(IF(LEN(IF(LEN(INDEX('Assets'!$B$4:$B$503,_calc!$E$99))=0,"",INDEX('Assets'!$B$4:$B$503,_calc!$E$99)))=0,"","Asset ID: "&amp;IF(LEN(INDEX('Assets'!$B$4:$B$503,_calc!$E$99))=0,"",INDEX('Assets'!$B$4:$B$503,_calc!$E$99))&amp;". ")&amp;IF(LEN(IF(LEN(INDEX('Assets'!$C$4:$C$503,_calc!$E$99))=0,"",INDEX('Assets'!$C$4:$C$503,_calc!$E$99)))=0,"","Location: "&amp;IF(LEN(INDEX('Assets'!$C$4:$C$503,_calc!$E$99))=0,"",INDEX('Assets'!$C$4:$C$503,_calc!$E$99))&amp;". ")&amp;IF(LEN(IF(LEN(INDEX('Assets'!$E$4:$E$503,_calc!$E$99))=0,"",INDEX('Assets'!$E$4:$E$503,_calc!$E$99)))=0,"","Every (months): "&amp;IF(LEN(INDEX('Assets'!$E$4:$E$503,_calc!$E$99))=0,"",INDEX('Assets'!$E$4:$E$503,_calc!$E$99))&amp;". ")&amp;IF(LEN(IF(LEN(INDEX('Assets'!$M$4:$M$503,_calc!$E$99))=0,"",INDEX('Assets'!$M$4:$M$503,_calc!$E$99)))=0,"","Last result: "&amp;IF(LEN(INDEX('Assets'!$M$4:$M$503,_calc!$E$99))=0,"",INDEX('Assets'!$M$4:$M$503,_calc!$E$99))&amp;". ")&amp;IF(LEN(IF(LEN(INDEX('Assets'!$Q$4:$Q$503,_calc!$E$99))=0,"",INDEX('Assets'!$Q$4:$Q$503,_calc!$E$99)))=0,"",IF(LEN(INDEX('Assets'!$Q$4:$Q$503,_calc!$E$99))=0,"",INDEX('Assets'!$Q$4:$Q$503,_calc!$E$99)))))</f>
        <v/>
      </c>
      <c r="G97" s="44">
        <f>IF(_calc!$E$99="","",IF(LEN(INDEX('Assets'!$P$4:$P$503,_calc!$E$99))=0,"",INDEX('Assets'!$P$4:$P$503,_calc!$E$99)))</f>
        <v/>
      </c>
      <c r="K97" s="44">
        <f>IF(_calc!$E$99="","",IF(LEN(INDEX('Assets'!$N$4:$N$503,_calc!$E$99))=0,"",INDEX('Assets'!$N$4:$N$503,_calc!$E$99)))</f>
        <v/>
      </c>
    </row>
    <row r="98">
      <c r="A98" s="44">
        <f>IF(_calc!$E$100="","",IF(LEN(INDEX('Assets'!$D$4:$D$503,_calc!$E$100))=0,"",INDEX('Assets'!$D$4:$D$503,_calc!$E$100))&amp;" – "&amp;IF(LEN(INDEX('Assets'!$A$4:$A$503,_calc!$E$100))=0,"",INDEX('Assets'!$A$4:$A$503,_calc!$E$100)))</f>
        <v/>
      </c>
      <c r="B98" s="44">
        <f>IF(_calc!$E$100="","",IF(ISNUMBER(INDEX('Assets'!$G$4:$G$503,_calc!$E$100)),TEXT(INDEX('Assets'!$G$4:$G$503,_calc!$E$100),"yyyy-mm-dd"),""))</f>
        <v/>
      </c>
      <c r="C98" s="44">
        <f>IF(_calc!$E$100="","","Inspection")</f>
        <v/>
      </c>
      <c r="D98" s="44">
        <f>IF(_calc!$E$100="","",IF(ISNUMBER(INDEX('Assets'!$F$4:$F$503,_calc!$E$100)),TEXT(INDEX('Assets'!$F$4:$F$503,_calc!$E$100),"yyyy-mm-dd"),""))</f>
        <v/>
      </c>
      <c r="E98" s="44">
        <f>IF(_calc!$E$100="","",IF(LEN(INDEX('Assets'!$O$4:$O$503,_calc!$E$100))=0,"",INDEX('Assets'!$O$4:$O$503,_calc!$E$100)))</f>
        <v/>
      </c>
      <c r="F98" s="44">
        <f>IF(_calc!$E$100="","",TRIM(IF(LEN(IF(LEN(INDEX('Assets'!$B$4:$B$503,_calc!$E$100))=0,"",INDEX('Assets'!$B$4:$B$503,_calc!$E$100)))=0,"","Asset ID: "&amp;IF(LEN(INDEX('Assets'!$B$4:$B$503,_calc!$E$100))=0,"",INDEX('Assets'!$B$4:$B$503,_calc!$E$100))&amp;". ")&amp;IF(LEN(IF(LEN(INDEX('Assets'!$C$4:$C$503,_calc!$E$100))=0,"",INDEX('Assets'!$C$4:$C$503,_calc!$E$100)))=0,"","Location: "&amp;IF(LEN(INDEX('Assets'!$C$4:$C$503,_calc!$E$100))=0,"",INDEX('Assets'!$C$4:$C$503,_calc!$E$100))&amp;". ")&amp;IF(LEN(IF(LEN(INDEX('Assets'!$E$4:$E$503,_calc!$E$100))=0,"",INDEX('Assets'!$E$4:$E$503,_calc!$E$100)))=0,"","Every (months): "&amp;IF(LEN(INDEX('Assets'!$E$4:$E$503,_calc!$E$100))=0,"",INDEX('Assets'!$E$4:$E$503,_calc!$E$100))&amp;". ")&amp;IF(LEN(IF(LEN(INDEX('Assets'!$M$4:$M$503,_calc!$E$100))=0,"",INDEX('Assets'!$M$4:$M$503,_calc!$E$100)))=0,"","Last result: "&amp;IF(LEN(INDEX('Assets'!$M$4:$M$503,_calc!$E$100))=0,"",INDEX('Assets'!$M$4:$M$503,_calc!$E$100))&amp;". ")&amp;IF(LEN(IF(LEN(INDEX('Assets'!$Q$4:$Q$503,_calc!$E$100))=0,"",INDEX('Assets'!$Q$4:$Q$503,_calc!$E$100)))=0,"",IF(LEN(INDEX('Assets'!$Q$4:$Q$503,_calc!$E$100))=0,"",INDEX('Assets'!$Q$4:$Q$503,_calc!$E$100)))))</f>
        <v/>
      </c>
      <c r="G98" s="44">
        <f>IF(_calc!$E$100="","",IF(LEN(INDEX('Assets'!$P$4:$P$503,_calc!$E$100))=0,"",INDEX('Assets'!$P$4:$P$503,_calc!$E$100)))</f>
        <v/>
      </c>
      <c r="K98" s="44">
        <f>IF(_calc!$E$100="","",IF(LEN(INDEX('Assets'!$N$4:$N$503,_calc!$E$100))=0,"",INDEX('Assets'!$N$4:$N$503,_calc!$E$100)))</f>
        <v/>
      </c>
    </row>
    <row r="99">
      <c r="A99" s="44">
        <f>IF(_calc!$E$101="","",IF(LEN(INDEX('Assets'!$D$4:$D$503,_calc!$E$101))=0,"",INDEX('Assets'!$D$4:$D$503,_calc!$E$101))&amp;" – "&amp;IF(LEN(INDEX('Assets'!$A$4:$A$503,_calc!$E$101))=0,"",INDEX('Assets'!$A$4:$A$503,_calc!$E$101)))</f>
        <v/>
      </c>
      <c r="B99" s="44">
        <f>IF(_calc!$E$101="","",IF(ISNUMBER(INDEX('Assets'!$G$4:$G$503,_calc!$E$101)),TEXT(INDEX('Assets'!$G$4:$G$503,_calc!$E$101),"yyyy-mm-dd"),""))</f>
        <v/>
      </c>
      <c r="C99" s="44">
        <f>IF(_calc!$E$101="","","Inspection")</f>
        <v/>
      </c>
      <c r="D99" s="44">
        <f>IF(_calc!$E$101="","",IF(ISNUMBER(INDEX('Assets'!$F$4:$F$503,_calc!$E$101)),TEXT(INDEX('Assets'!$F$4:$F$503,_calc!$E$101),"yyyy-mm-dd"),""))</f>
        <v/>
      </c>
      <c r="E99" s="44">
        <f>IF(_calc!$E$101="","",IF(LEN(INDEX('Assets'!$O$4:$O$503,_calc!$E$101))=0,"",INDEX('Assets'!$O$4:$O$503,_calc!$E$101)))</f>
        <v/>
      </c>
      <c r="F99" s="44">
        <f>IF(_calc!$E$101="","",TRIM(IF(LEN(IF(LEN(INDEX('Assets'!$B$4:$B$503,_calc!$E$101))=0,"",INDEX('Assets'!$B$4:$B$503,_calc!$E$101)))=0,"","Asset ID: "&amp;IF(LEN(INDEX('Assets'!$B$4:$B$503,_calc!$E$101))=0,"",INDEX('Assets'!$B$4:$B$503,_calc!$E$101))&amp;". ")&amp;IF(LEN(IF(LEN(INDEX('Assets'!$C$4:$C$503,_calc!$E$101))=0,"",INDEX('Assets'!$C$4:$C$503,_calc!$E$101)))=0,"","Location: "&amp;IF(LEN(INDEX('Assets'!$C$4:$C$503,_calc!$E$101))=0,"",INDEX('Assets'!$C$4:$C$503,_calc!$E$101))&amp;". ")&amp;IF(LEN(IF(LEN(INDEX('Assets'!$E$4:$E$503,_calc!$E$101))=0,"",INDEX('Assets'!$E$4:$E$503,_calc!$E$101)))=0,"","Every (months): "&amp;IF(LEN(INDEX('Assets'!$E$4:$E$503,_calc!$E$101))=0,"",INDEX('Assets'!$E$4:$E$503,_calc!$E$101))&amp;". ")&amp;IF(LEN(IF(LEN(INDEX('Assets'!$M$4:$M$503,_calc!$E$101))=0,"",INDEX('Assets'!$M$4:$M$503,_calc!$E$101)))=0,"","Last result: "&amp;IF(LEN(INDEX('Assets'!$M$4:$M$503,_calc!$E$101))=0,"",INDEX('Assets'!$M$4:$M$503,_calc!$E$101))&amp;". ")&amp;IF(LEN(IF(LEN(INDEX('Assets'!$Q$4:$Q$503,_calc!$E$101))=0,"",INDEX('Assets'!$Q$4:$Q$503,_calc!$E$101)))=0,"",IF(LEN(INDEX('Assets'!$Q$4:$Q$503,_calc!$E$101))=0,"",INDEX('Assets'!$Q$4:$Q$503,_calc!$E$101)))))</f>
        <v/>
      </c>
      <c r="G99" s="44">
        <f>IF(_calc!$E$101="","",IF(LEN(INDEX('Assets'!$P$4:$P$503,_calc!$E$101))=0,"",INDEX('Assets'!$P$4:$P$503,_calc!$E$101)))</f>
        <v/>
      </c>
      <c r="K99" s="44">
        <f>IF(_calc!$E$101="","",IF(LEN(INDEX('Assets'!$N$4:$N$503,_calc!$E$101))=0,"",INDEX('Assets'!$N$4:$N$503,_calc!$E$101)))</f>
        <v/>
      </c>
    </row>
    <row r="100">
      <c r="A100" s="44">
        <f>IF(_calc!$E$102="","",IF(LEN(INDEX('Assets'!$D$4:$D$503,_calc!$E$102))=0,"",INDEX('Assets'!$D$4:$D$503,_calc!$E$102))&amp;" – "&amp;IF(LEN(INDEX('Assets'!$A$4:$A$503,_calc!$E$102))=0,"",INDEX('Assets'!$A$4:$A$503,_calc!$E$102)))</f>
        <v/>
      </c>
      <c r="B100" s="44">
        <f>IF(_calc!$E$102="","",IF(ISNUMBER(INDEX('Assets'!$G$4:$G$503,_calc!$E$102)),TEXT(INDEX('Assets'!$G$4:$G$503,_calc!$E$102),"yyyy-mm-dd"),""))</f>
        <v/>
      </c>
      <c r="C100" s="44">
        <f>IF(_calc!$E$102="","","Inspection")</f>
        <v/>
      </c>
      <c r="D100" s="44">
        <f>IF(_calc!$E$102="","",IF(ISNUMBER(INDEX('Assets'!$F$4:$F$503,_calc!$E$102)),TEXT(INDEX('Assets'!$F$4:$F$503,_calc!$E$102),"yyyy-mm-dd"),""))</f>
        <v/>
      </c>
      <c r="E100" s="44">
        <f>IF(_calc!$E$102="","",IF(LEN(INDEX('Assets'!$O$4:$O$503,_calc!$E$102))=0,"",INDEX('Assets'!$O$4:$O$503,_calc!$E$102)))</f>
        <v/>
      </c>
      <c r="F100" s="44">
        <f>IF(_calc!$E$102="","",TRIM(IF(LEN(IF(LEN(INDEX('Assets'!$B$4:$B$503,_calc!$E$102))=0,"",INDEX('Assets'!$B$4:$B$503,_calc!$E$102)))=0,"","Asset ID: "&amp;IF(LEN(INDEX('Assets'!$B$4:$B$503,_calc!$E$102))=0,"",INDEX('Assets'!$B$4:$B$503,_calc!$E$102))&amp;". ")&amp;IF(LEN(IF(LEN(INDEX('Assets'!$C$4:$C$503,_calc!$E$102))=0,"",INDEX('Assets'!$C$4:$C$503,_calc!$E$102)))=0,"","Location: "&amp;IF(LEN(INDEX('Assets'!$C$4:$C$503,_calc!$E$102))=0,"",INDEX('Assets'!$C$4:$C$503,_calc!$E$102))&amp;". ")&amp;IF(LEN(IF(LEN(INDEX('Assets'!$E$4:$E$503,_calc!$E$102))=0,"",INDEX('Assets'!$E$4:$E$503,_calc!$E$102)))=0,"","Every (months): "&amp;IF(LEN(INDEX('Assets'!$E$4:$E$503,_calc!$E$102))=0,"",INDEX('Assets'!$E$4:$E$503,_calc!$E$102))&amp;". ")&amp;IF(LEN(IF(LEN(INDEX('Assets'!$M$4:$M$503,_calc!$E$102))=0,"",INDEX('Assets'!$M$4:$M$503,_calc!$E$102)))=0,"","Last result: "&amp;IF(LEN(INDEX('Assets'!$M$4:$M$503,_calc!$E$102))=0,"",INDEX('Assets'!$M$4:$M$503,_calc!$E$102))&amp;". ")&amp;IF(LEN(IF(LEN(INDEX('Assets'!$Q$4:$Q$503,_calc!$E$102))=0,"",INDEX('Assets'!$Q$4:$Q$503,_calc!$E$102)))=0,"",IF(LEN(INDEX('Assets'!$Q$4:$Q$503,_calc!$E$102))=0,"",INDEX('Assets'!$Q$4:$Q$503,_calc!$E$102)))))</f>
        <v/>
      </c>
      <c r="G100" s="44">
        <f>IF(_calc!$E$102="","",IF(LEN(INDEX('Assets'!$P$4:$P$503,_calc!$E$102))=0,"",INDEX('Assets'!$P$4:$P$503,_calc!$E$102)))</f>
        <v/>
      </c>
      <c r="K100" s="44">
        <f>IF(_calc!$E$102="","",IF(LEN(INDEX('Assets'!$N$4:$N$503,_calc!$E$102))=0,"",INDEX('Assets'!$N$4:$N$503,_calc!$E$102)))</f>
        <v/>
      </c>
    </row>
    <row r="101">
      <c r="A101" s="44">
        <f>IF(_calc!$E$103="","",IF(LEN(INDEX('Assets'!$D$4:$D$503,_calc!$E$103))=0,"",INDEX('Assets'!$D$4:$D$503,_calc!$E$103))&amp;" – "&amp;IF(LEN(INDEX('Assets'!$A$4:$A$503,_calc!$E$103))=0,"",INDEX('Assets'!$A$4:$A$503,_calc!$E$103)))</f>
        <v/>
      </c>
      <c r="B101" s="44">
        <f>IF(_calc!$E$103="","",IF(ISNUMBER(INDEX('Assets'!$G$4:$G$503,_calc!$E$103)),TEXT(INDEX('Assets'!$G$4:$G$503,_calc!$E$103),"yyyy-mm-dd"),""))</f>
        <v/>
      </c>
      <c r="C101" s="44">
        <f>IF(_calc!$E$103="","","Inspection")</f>
        <v/>
      </c>
      <c r="D101" s="44">
        <f>IF(_calc!$E$103="","",IF(ISNUMBER(INDEX('Assets'!$F$4:$F$503,_calc!$E$103)),TEXT(INDEX('Assets'!$F$4:$F$503,_calc!$E$103),"yyyy-mm-dd"),""))</f>
        <v/>
      </c>
      <c r="E101" s="44">
        <f>IF(_calc!$E$103="","",IF(LEN(INDEX('Assets'!$O$4:$O$503,_calc!$E$103))=0,"",INDEX('Assets'!$O$4:$O$503,_calc!$E$103)))</f>
        <v/>
      </c>
      <c r="F101" s="44">
        <f>IF(_calc!$E$103="","",TRIM(IF(LEN(IF(LEN(INDEX('Assets'!$B$4:$B$503,_calc!$E$103))=0,"",INDEX('Assets'!$B$4:$B$503,_calc!$E$103)))=0,"","Asset ID: "&amp;IF(LEN(INDEX('Assets'!$B$4:$B$503,_calc!$E$103))=0,"",INDEX('Assets'!$B$4:$B$503,_calc!$E$103))&amp;". ")&amp;IF(LEN(IF(LEN(INDEX('Assets'!$C$4:$C$503,_calc!$E$103))=0,"",INDEX('Assets'!$C$4:$C$503,_calc!$E$103)))=0,"","Location: "&amp;IF(LEN(INDEX('Assets'!$C$4:$C$503,_calc!$E$103))=0,"",INDEX('Assets'!$C$4:$C$503,_calc!$E$103))&amp;". ")&amp;IF(LEN(IF(LEN(INDEX('Assets'!$E$4:$E$503,_calc!$E$103))=0,"",INDEX('Assets'!$E$4:$E$503,_calc!$E$103)))=0,"","Every (months): "&amp;IF(LEN(INDEX('Assets'!$E$4:$E$503,_calc!$E$103))=0,"",INDEX('Assets'!$E$4:$E$503,_calc!$E$103))&amp;". ")&amp;IF(LEN(IF(LEN(INDEX('Assets'!$M$4:$M$503,_calc!$E$103))=0,"",INDEX('Assets'!$M$4:$M$503,_calc!$E$103)))=0,"","Last result: "&amp;IF(LEN(INDEX('Assets'!$M$4:$M$503,_calc!$E$103))=0,"",INDEX('Assets'!$M$4:$M$503,_calc!$E$103))&amp;". ")&amp;IF(LEN(IF(LEN(INDEX('Assets'!$Q$4:$Q$503,_calc!$E$103))=0,"",INDEX('Assets'!$Q$4:$Q$503,_calc!$E$103)))=0,"",IF(LEN(INDEX('Assets'!$Q$4:$Q$503,_calc!$E$103))=0,"",INDEX('Assets'!$Q$4:$Q$503,_calc!$E$103)))))</f>
        <v/>
      </c>
      <c r="G101" s="44">
        <f>IF(_calc!$E$103="","",IF(LEN(INDEX('Assets'!$P$4:$P$503,_calc!$E$103))=0,"",INDEX('Assets'!$P$4:$P$503,_calc!$E$103)))</f>
        <v/>
      </c>
      <c r="K101" s="44">
        <f>IF(_calc!$E$103="","",IF(LEN(INDEX('Assets'!$N$4:$N$503,_calc!$E$103))=0,"",INDEX('Assets'!$N$4:$N$503,_calc!$E$103)))</f>
        <v/>
      </c>
    </row>
    <row r="102">
      <c r="A102" s="44">
        <f>IF(_calc!$E$104="","",IF(LEN(INDEX('Assets'!$D$4:$D$503,_calc!$E$104))=0,"",INDEX('Assets'!$D$4:$D$503,_calc!$E$104))&amp;" – "&amp;IF(LEN(INDEX('Assets'!$A$4:$A$503,_calc!$E$104))=0,"",INDEX('Assets'!$A$4:$A$503,_calc!$E$104)))</f>
        <v/>
      </c>
      <c r="B102" s="44">
        <f>IF(_calc!$E$104="","",IF(ISNUMBER(INDEX('Assets'!$G$4:$G$503,_calc!$E$104)),TEXT(INDEX('Assets'!$G$4:$G$503,_calc!$E$104),"yyyy-mm-dd"),""))</f>
        <v/>
      </c>
      <c r="C102" s="44">
        <f>IF(_calc!$E$104="","","Inspection")</f>
        <v/>
      </c>
      <c r="D102" s="44">
        <f>IF(_calc!$E$104="","",IF(ISNUMBER(INDEX('Assets'!$F$4:$F$503,_calc!$E$104)),TEXT(INDEX('Assets'!$F$4:$F$503,_calc!$E$104),"yyyy-mm-dd"),""))</f>
        <v/>
      </c>
      <c r="E102" s="44">
        <f>IF(_calc!$E$104="","",IF(LEN(INDEX('Assets'!$O$4:$O$503,_calc!$E$104))=0,"",INDEX('Assets'!$O$4:$O$503,_calc!$E$104)))</f>
        <v/>
      </c>
      <c r="F102" s="44">
        <f>IF(_calc!$E$104="","",TRIM(IF(LEN(IF(LEN(INDEX('Assets'!$B$4:$B$503,_calc!$E$104))=0,"",INDEX('Assets'!$B$4:$B$503,_calc!$E$104)))=0,"","Asset ID: "&amp;IF(LEN(INDEX('Assets'!$B$4:$B$503,_calc!$E$104))=0,"",INDEX('Assets'!$B$4:$B$503,_calc!$E$104))&amp;". ")&amp;IF(LEN(IF(LEN(INDEX('Assets'!$C$4:$C$503,_calc!$E$104))=0,"",INDEX('Assets'!$C$4:$C$503,_calc!$E$104)))=0,"","Location: "&amp;IF(LEN(INDEX('Assets'!$C$4:$C$503,_calc!$E$104))=0,"",INDEX('Assets'!$C$4:$C$503,_calc!$E$104))&amp;". ")&amp;IF(LEN(IF(LEN(INDEX('Assets'!$E$4:$E$503,_calc!$E$104))=0,"",INDEX('Assets'!$E$4:$E$503,_calc!$E$104)))=0,"","Every (months): "&amp;IF(LEN(INDEX('Assets'!$E$4:$E$503,_calc!$E$104))=0,"",INDEX('Assets'!$E$4:$E$503,_calc!$E$104))&amp;". ")&amp;IF(LEN(IF(LEN(INDEX('Assets'!$M$4:$M$503,_calc!$E$104))=0,"",INDEX('Assets'!$M$4:$M$503,_calc!$E$104)))=0,"","Last result: "&amp;IF(LEN(INDEX('Assets'!$M$4:$M$503,_calc!$E$104))=0,"",INDEX('Assets'!$M$4:$M$503,_calc!$E$104))&amp;". ")&amp;IF(LEN(IF(LEN(INDEX('Assets'!$Q$4:$Q$503,_calc!$E$104))=0,"",INDEX('Assets'!$Q$4:$Q$503,_calc!$E$104)))=0,"",IF(LEN(INDEX('Assets'!$Q$4:$Q$503,_calc!$E$104))=0,"",INDEX('Assets'!$Q$4:$Q$503,_calc!$E$104)))))</f>
        <v/>
      </c>
      <c r="G102" s="44">
        <f>IF(_calc!$E$104="","",IF(LEN(INDEX('Assets'!$P$4:$P$503,_calc!$E$104))=0,"",INDEX('Assets'!$P$4:$P$503,_calc!$E$104)))</f>
        <v/>
      </c>
      <c r="K102" s="44">
        <f>IF(_calc!$E$104="","",IF(LEN(INDEX('Assets'!$N$4:$N$503,_calc!$E$104))=0,"",INDEX('Assets'!$N$4:$N$503,_calc!$E$104)))</f>
        <v/>
      </c>
    </row>
    <row r="103">
      <c r="A103" s="44">
        <f>IF(_calc!$E$105="","",IF(LEN(INDEX('Assets'!$D$4:$D$503,_calc!$E$105))=0,"",INDEX('Assets'!$D$4:$D$503,_calc!$E$105))&amp;" – "&amp;IF(LEN(INDEX('Assets'!$A$4:$A$503,_calc!$E$105))=0,"",INDEX('Assets'!$A$4:$A$503,_calc!$E$105)))</f>
        <v/>
      </c>
      <c r="B103" s="44">
        <f>IF(_calc!$E$105="","",IF(ISNUMBER(INDEX('Assets'!$G$4:$G$503,_calc!$E$105)),TEXT(INDEX('Assets'!$G$4:$G$503,_calc!$E$105),"yyyy-mm-dd"),""))</f>
        <v/>
      </c>
      <c r="C103" s="44">
        <f>IF(_calc!$E$105="","","Inspection")</f>
        <v/>
      </c>
      <c r="D103" s="44">
        <f>IF(_calc!$E$105="","",IF(ISNUMBER(INDEX('Assets'!$F$4:$F$503,_calc!$E$105)),TEXT(INDEX('Assets'!$F$4:$F$503,_calc!$E$105),"yyyy-mm-dd"),""))</f>
        <v/>
      </c>
      <c r="E103" s="44">
        <f>IF(_calc!$E$105="","",IF(LEN(INDEX('Assets'!$O$4:$O$503,_calc!$E$105))=0,"",INDEX('Assets'!$O$4:$O$503,_calc!$E$105)))</f>
        <v/>
      </c>
      <c r="F103" s="44">
        <f>IF(_calc!$E$105="","",TRIM(IF(LEN(IF(LEN(INDEX('Assets'!$B$4:$B$503,_calc!$E$105))=0,"",INDEX('Assets'!$B$4:$B$503,_calc!$E$105)))=0,"","Asset ID: "&amp;IF(LEN(INDEX('Assets'!$B$4:$B$503,_calc!$E$105))=0,"",INDEX('Assets'!$B$4:$B$503,_calc!$E$105))&amp;". ")&amp;IF(LEN(IF(LEN(INDEX('Assets'!$C$4:$C$503,_calc!$E$105))=0,"",INDEX('Assets'!$C$4:$C$503,_calc!$E$105)))=0,"","Location: "&amp;IF(LEN(INDEX('Assets'!$C$4:$C$503,_calc!$E$105))=0,"",INDEX('Assets'!$C$4:$C$503,_calc!$E$105))&amp;". ")&amp;IF(LEN(IF(LEN(INDEX('Assets'!$E$4:$E$503,_calc!$E$105))=0,"",INDEX('Assets'!$E$4:$E$503,_calc!$E$105)))=0,"","Every (months): "&amp;IF(LEN(INDEX('Assets'!$E$4:$E$503,_calc!$E$105))=0,"",INDEX('Assets'!$E$4:$E$503,_calc!$E$105))&amp;". ")&amp;IF(LEN(IF(LEN(INDEX('Assets'!$M$4:$M$503,_calc!$E$105))=0,"",INDEX('Assets'!$M$4:$M$503,_calc!$E$105)))=0,"","Last result: "&amp;IF(LEN(INDEX('Assets'!$M$4:$M$503,_calc!$E$105))=0,"",INDEX('Assets'!$M$4:$M$503,_calc!$E$105))&amp;". ")&amp;IF(LEN(IF(LEN(INDEX('Assets'!$Q$4:$Q$503,_calc!$E$105))=0,"",INDEX('Assets'!$Q$4:$Q$503,_calc!$E$105)))=0,"",IF(LEN(INDEX('Assets'!$Q$4:$Q$503,_calc!$E$105))=0,"",INDEX('Assets'!$Q$4:$Q$503,_calc!$E$105)))))</f>
        <v/>
      </c>
      <c r="G103" s="44">
        <f>IF(_calc!$E$105="","",IF(LEN(INDEX('Assets'!$P$4:$P$503,_calc!$E$105))=0,"",INDEX('Assets'!$P$4:$P$503,_calc!$E$105)))</f>
        <v/>
      </c>
      <c r="K103" s="44">
        <f>IF(_calc!$E$105="","",IF(LEN(INDEX('Assets'!$N$4:$N$503,_calc!$E$105))=0,"",INDEX('Assets'!$N$4:$N$503,_calc!$E$105)))</f>
        <v/>
      </c>
    </row>
    <row r="104">
      <c r="A104" s="44">
        <f>IF(_calc!$E$106="","",IF(LEN(INDEX('Assets'!$D$4:$D$503,_calc!$E$106))=0,"",INDEX('Assets'!$D$4:$D$503,_calc!$E$106))&amp;" – "&amp;IF(LEN(INDEX('Assets'!$A$4:$A$503,_calc!$E$106))=0,"",INDEX('Assets'!$A$4:$A$503,_calc!$E$106)))</f>
        <v/>
      </c>
      <c r="B104" s="44">
        <f>IF(_calc!$E$106="","",IF(ISNUMBER(INDEX('Assets'!$G$4:$G$503,_calc!$E$106)),TEXT(INDEX('Assets'!$G$4:$G$503,_calc!$E$106),"yyyy-mm-dd"),""))</f>
        <v/>
      </c>
      <c r="C104" s="44">
        <f>IF(_calc!$E$106="","","Inspection")</f>
        <v/>
      </c>
      <c r="D104" s="44">
        <f>IF(_calc!$E$106="","",IF(ISNUMBER(INDEX('Assets'!$F$4:$F$503,_calc!$E$106)),TEXT(INDEX('Assets'!$F$4:$F$503,_calc!$E$106),"yyyy-mm-dd"),""))</f>
        <v/>
      </c>
      <c r="E104" s="44">
        <f>IF(_calc!$E$106="","",IF(LEN(INDEX('Assets'!$O$4:$O$503,_calc!$E$106))=0,"",INDEX('Assets'!$O$4:$O$503,_calc!$E$106)))</f>
        <v/>
      </c>
      <c r="F104" s="44">
        <f>IF(_calc!$E$106="","",TRIM(IF(LEN(IF(LEN(INDEX('Assets'!$B$4:$B$503,_calc!$E$106))=0,"",INDEX('Assets'!$B$4:$B$503,_calc!$E$106)))=0,"","Asset ID: "&amp;IF(LEN(INDEX('Assets'!$B$4:$B$503,_calc!$E$106))=0,"",INDEX('Assets'!$B$4:$B$503,_calc!$E$106))&amp;". ")&amp;IF(LEN(IF(LEN(INDEX('Assets'!$C$4:$C$503,_calc!$E$106))=0,"",INDEX('Assets'!$C$4:$C$503,_calc!$E$106)))=0,"","Location: "&amp;IF(LEN(INDEX('Assets'!$C$4:$C$503,_calc!$E$106))=0,"",INDEX('Assets'!$C$4:$C$503,_calc!$E$106))&amp;". ")&amp;IF(LEN(IF(LEN(INDEX('Assets'!$E$4:$E$503,_calc!$E$106))=0,"",INDEX('Assets'!$E$4:$E$503,_calc!$E$106)))=0,"","Every (months): "&amp;IF(LEN(INDEX('Assets'!$E$4:$E$503,_calc!$E$106))=0,"",INDEX('Assets'!$E$4:$E$503,_calc!$E$106))&amp;". ")&amp;IF(LEN(IF(LEN(INDEX('Assets'!$M$4:$M$503,_calc!$E$106))=0,"",INDEX('Assets'!$M$4:$M$503,_calc!$E$106)))=0,"","Last result: "&amp;IF(LEN(INDEX('Assets'!$M$4:$M$503,_calc!$E$106))=0,"",INDEX('Assets'!$M$4:$M$503,_calc!$E$106))&amp;". ")&amp;IF(LEN(IF(LEN(INDEX('Assets'!$Q$4:$Q$503,_calc!$E$106))=0,"",INDEX('Assets'!$Q$4:$Q$503,_calc!$E$106)))=0,"",IF(LEN(INDEX('Assets'!$Q$4:$Q$503,_calc!$E$106))=0,"",INDEX('Assets'!$Q$4:$Q$503,_calc!$E$106)))))</f>
        <v/>
      </c>
      <c r="G104" s="44">
        <f>IF(_calc!$E$106="","",IF(LEN(INDEX('Assets'!$P$4:$P$503,_calc!$E$106))=0,"",INDEX('Assets'!$P$4:$P$503,_calc!$E$106)))</f>
        <v/>
      </c>
      <c r="K104" s="44">
        <f>IF(_calc!$E$106="","",IF(LEN(INDEX('Assets'!$N$4:$N$503,_calc!$E$106))=0,"",INDEX('Assets'!$N$4:$N$503,_calc!$E$106)))</f>
        <v/>
      </c>
    </row>
    <row r="105">
      <c r="A105" s="44">
        <f>IF(_calc!$E$107="","",IF(LEN(INDEX('Assets'!$D$4:$D$503,_calc!$E$107))=0,"",INDEX('Assets'!$D$4:$D$503,_calc!$E$107))&amp;" – "&amp;IF(LEN(INDEX('Assets'!$A$4:$A$503,_calc!$E$107))=0,"",INDEX('Assets'!$A$4:$A$503,_calc!$E$107)))</f>
        <v/>
      </c>
      <c r="B105" s="44">
        <f>IF(_calc!$E$107="","",IF(ISNUMBER(INDEX('Assets'!$G$4:$G$503,_calc!$E$107)),TEXT(INDEX('Assets'!$G$4:$G$503,_calc!$E$107),"yyyy-mm-dd"),""))</f>
        <v/>
      </c>
      <c r="C105" s="44">
        <f>IF(_calc!$E$107="","","Inspection")</f>
        <v/>
      </c>
      <c r="D105" s="44">
        <f>IF(_calc!$E$107="","",IF(ISNUMBER(INDEX('Assets'!$F$4:$F$503,_calc!$E$107)),TEXT(INDEX('Assets'!$F$4:$F$503,_calc!$E$107),"yyyy-mm-dd"),""))</f>
        <v/>
      </c>
      <c r="E105" s="44">
        <f>IF(_calc!$E$107="","",IF(LEN(INDEX('Assets'!$O$4:$O$503,_calc!$E$107))=0,"",INDEX('Assets'!$O$4:$O$503,_calc!$E$107)))</f>
        <v/>
      </c>
      <c r="F105" s="44">
        <f>IF(_calc!$E$107="","",TRIM(IF(LEN(IF(LEN(INDEX('Assets'!$B$4:$B$503,_calc!$E$107))=0,"",INDEX('Assets'!$B$4:$B$503,_calc!$E$107)))=0,"","Asset ID: "&amp;IF(LEN(INDEX('Assets'!$B$4:$B$503,_calc!$E$107))=0,"",INDEX('Assets'!$B$4:$B$503,_calc!$E$107))&amp;". ")&amp;IF(LEN(IF(LEN(INDEX('Assets'!$C$4:$C$503,_calc!$E$107))=0,"",INDEX('Assets'!$C$4:$C$503,_calc!$E$107)))=0,"","Location: "&amp;IF(LEN(INDEX('Assets'!$C$4:$C$503,_calc!$E$107))=0,"",INDEX('Assets'!$C$4:$C$503,_calc!$E$107))&amp;". ")&amp;IF(LEN(IF(LEN(INDEX('Assets'!$E$4:$E$503,_calc!$E$107))=0,"",INDEX('Assets'!$E$4:$E$503,_calc!$E$107)))=0,"","Every (months): "&amp;IF(LEN(INDEX('Assets'!$E$4:$E$503,_calc!$E$107))=0,"",INDEX('Assets'!$E$4:$E$503,_calc!$E$107))&amp;". ")&amp;IF(LEN(IF(LEN(INDEX('Assets'!$M$4:$M$503,_calc!$E$107))=0,"",INDEX('Assets'!$M$4:$M$503,_calc!$E$107)))=0,"","Last result: "&amp;IF(LEN(INDEX('Assets'!$M$4:$M$503,_calc!$E$107))=0,"",INDEX('Assets'!$M$4:$M$503,_calc!$E$107))&amp;". ")&amp;IF(LEN(IF(LEN(INDEX('Assets'!$Q$4:$Q$503,_calc!$E$107))=0,"",INDEX('Assets'!$Q$4:$Q$503,_calc!$E$107)))=0,"",IF(LEN(INDEX('Assets'!$Q$4:$Q$503,_calc!$E$107))=0,"",INDEX('Assets'!$Q$4:$Q$503,_calc!$E$107)))))</f>
        <v/>
      </c>
      <c r="G105" s="44">
        <f>IF(_calc!$E$107="","",IF(LEN(INDEX('Assets'!$P$4:$P$503,_calc!$E$107))=0,"",INDEX('Assets'!$P$4:$P$503,_calc!$E$107)))</f>
        <v/>
      </c>
      <c r="K105" s="44">
        <f>IF(_calc!$E$107="","",IF(LEN(INDEX('Assets'!$N$4:$N$503,_calc!$E$107))=0,"",INDEX('Assets'!$N$4:$N$503,_calc!$E$107)))</f>
        <v/>
      </c>
    </row>
    <row r="106">
      <c r="A106" s="44">
        <f>IF(_calc!$E$108="","",IF(LEN(INDEX('Assets'!$D$4:$D$503,_calc!$E$108))=0,"",INDEX('Assets'!$D$4:$D$503,_calc!$E$108))&amp;" – "&amp;IF(LEN(INDEX('Assets'!$A$4:$A$503,_calc!$E$108))=0,"",INDEX('Assets'!$A$4:$A$503,_calc!$E$108)))</f>
        <v/>
      </c>
      <c r="B106" s="44">
        <f>IF(_calc!$E$108="","",IF(ISNUMBER(INDEX('Assets'!$G$4:$G$503,_calc!$E$108)),TEXT(INDEX('Assets'!$G$4:$G$503,_calc!$E$108),"yyyy-mm-dd"),""))</f>
        <v/>
      </c>
      <c r="C106" s="44">
        <f>IF(_calc!$E$108="","","Inspection")</f>
        <v/>
      </c>
      <c r="D106" s="44">
        <f>IF(_calc!$E$108="","",IF(ISNUMBER(INDEX('Assets'!$F$4:$F$503,_calc!$E$108)),TEXT(INDEX('Assets'!$F$4:$F$503,_calc!$E$108),"yyyy-mm-dd"),""))</f>
        <v/>
      </c>
      <c r="E106" s="44">
        <f>IF(_calc!$E$108="","",IF(LEN(INDEX('Assets'!$O$4:$O$503,_calc!$E$108))=0,"",INDEX('Assets'!$O$4:$O$503,_calc!$E$108)))</f>
        <v/>
      </c>
      <c r="F106" s="44">
        <f>IF(_calc!$E$108="","",TRIM(IF(LEN(IF(LEN(INDEX('Assets'!$B$4:$B$503,_calc!$E$108))=0,"",INDEX('Assets'!$B$4:$B$503,_calc!$E$108)))=0,"","Asset ID: "&amp;IF(LEN(INDEX('Assets'!$B$4:$B$503,_calc!$E$108))=0,"",INDEX('Assets'!$B$4:$B$503,_calc!$E$108))&amp;". ")&amp;IF(LEN(IF(LEN(INDEX('Assets'!$C$4:$C$503,_calc!$E$108))=0,"",INDEX('Assets'!$C$4:$C$503,_calc!$E$108)))=0,"","Location: "&amp;IF(LEN(INDEX('Assets'!$C$4:$C$503,_calc!$E$108))=0,"",INDEX('Assets'!$C$4:$C$503,_calc!$E$108))&amp;". ")&amp;IF(LEN(IF(LEN(INDEX('Assets'!$E$4:$E$503,_calc!$E$108))=0,"",INDEX('Assets'!$E$4:$E$503,_calc!$E$108)))=0,"","Every (months): "&amp;IF(LEN(INDEX('Assets'!$E$4:$E$503,_calc!$E$108))=0,"",INDEX('Assets'!$E$4:$E$503,_calc!$E$108))&amp;". ")&amp;IF(LEN(IF(LEN(INDEX('Assets'!$M$4:$M$503,_calc!$E$108))=0,"",INDEX('Assets'!$M$4:$M$503,_calc!$E$108)))=0,"","Last result: "&amp;IF(LEN(INDEX('Assets'!$M$4:$M$503,_calc!$E$108))=0,"",INDEX('Assets'!$M$4:$M$503,_calc!$E$108))&amp;". ")&amp;IF(LEN(IF(LEN(INDEX('Assets'!$Q$4:$Q$503,_calc!$E$108))=0,"",INDEX('Assets'!$Q$4:$Q$503,_calc!$E$108)))=0,"",IF(LEN(INDEX('Assets'!$Q$4:$Q$503,_calc!$E$108))=0,"",INDEX('Assets'!$Q$4:$Q$503,_calc!$E$108)))))</f>
        <v/>
      </c>
      <c r="G106" s="44">
        <f>IF(_calc!$E$108="","",IF(LEN(INDEX('Assets'!$P$4:$P$503,_calc!$E$108))=0,"",INDEX('Assets'!$P$4:$P$503,_calc!$E$108)))</f>
        <v/>
      </c>
      <c r="K106" s="44">
        <f>IF(_calc!$E$108="","",IF(LEN(INDEX('Assets'!$N$4:$N$503,_calc!$E$108))=0,"",INDEX('Assets'!$N$4:$N$503,_calc!$E$108)))</f>
        <v/>
      </c>
    </row>
    <row r="107">
      <c r="A107" s="44">
        <f>IF(_calc!$E$109="","",IF(LEN(INDEX('Assets'!$D$4:$D$503,_calc!$E$109))=0,"",INDEX('Assets'!$D$4:$D$503,_calc!$E$109))&amp;" – "&amp;IF(LEN(INDEX('Assets'!$A$4:$A$503,_calc!$E$109))=0,"",INDEX('Assets'!$A$4:$A$503,_calc!$E$109)))</f>
        <v/>
      </c>
      <c r="B107" s="44">
        <f>IF(_calc!$E$109="","",IF(ISNUMBER(INDEX('Assets'!$G$4:$G$503,_calc!$E$109)),TEXT(INDEX('Assets'!$G$4:$G$503,_calc!$E$109),"yyyy-mm-dd"),""))</f>
        <v/>
      </c>
      <c r="C107" s="44">
        <f>IF(_calc!$E$109="","","Inspection")</f>
        <v/>
      </c>
      <c r="D107" s="44">
        <f>IF(_calc!$E$109="","",IF(ISNUMBER(INDEX('Assets'!$F$4:$F$503,_calc!$E$109)),TEXT(INDEX('Assets'!$F$4:$F$503,_calc!$E$109),"yyyy-mm-dd"),""))</f>
        <v/>
      </c>
      <c r="E107" s="44">
        <f>IF(_calc!$E$109="","",IF(LEN(INDEX('Assets'!$O$4:$O$503,_calc!$E$109))=0,"",INDEX('Assets'!$O$4:$O$503,_calc!$E$109)))</f>
        <v/>
      </c>
      <c r="F107" s="44">
        <f>IF(_calc!$E$109="","",TRIM(IF(LEN(IF(LEN(INDEX('Assets'!$B$4:$B$503,_calc!$E$109))=0,"",INDEX('Assets'!$B$4:$B$503,_calc!$E$109)))=0,"","Asset ID: "&amp;IF(LEN(INDEX('Assets'!$B$4:$B$503,_calc!$E$109))=0,"",INDEX('Assets'!$B$4:$B$503,_calc!$E$109))&amp;". ")&amp;IF(LEN(IF(LEN(INDEX('Assets'!$C$4:$C$503,_calc!$E$109))=0,"",INDEX('Assets'!$C$4:$C$503,_calc!$E$109)))=0,"","Location: "&amp;IF(LEN(INDEX('Assets'!$C$4:$C$503,_calc!$E$109))=0,"",INDEX('Assets'!$C$4:$C$503,_calc!$E$109))&amp;". ")&amp;IF(LEN(IF(LEN(INDEX('Assets'!$E$4:$E$503,_calc!$E$109))=0,"",INDEX('Assets'!$E$4:$E$503,_calc!$E$109)))=0,"","Every (months): "&amp;IF(LEN(INDEX('Assets'!$E$4:$E$503,_calc!$E$109))=0,"",INDEX('Assets'!$E$4:$E$503,_calc!$E$109))&amp;". ")&amp;IF(LEN(IF(LEN(INDEX('Assets'!$M$4:$M$503,_calc!$E$109))=0,"",INDEX('Assets'!$M$4:$M$503,_calc!$E$109)))=0,"","Last result: "&amp;IF(LEN(INDEX('Assets'!$M$4:$M$503,_calc!$E$109))=0,"",INDEX('Assets'!$M$4:$M$503,_calc!$E$109))&amp;". ")&amp;IF(LEN(IF(LEN(INDEX('Assets'!$Q$4:$Q$503,_calc!$E$109))=0,"",INDEX('Assets'!$Q$4:$Q$503,_calc!$E$109)))=0,"",IF(LEN(INDEX('Assets'!$Q$4:$Q$503,_calc!$E$109))=0,"",INDEX('Assets'!$Q$4:$Q$503,_calc!$E$109)))))</f>
        <v/>
      </c>
      <c r="G107" s="44">
        <f>IF(_calc!$E$109="","",IF(LEN(INDEX('Assets'!$P$4:$P$503,_calc!$E$109))=0,"",INDEX('Assets'!$P$4:$P$503,_calc!$E$109)))</f>
        <v/>
      </c>
      <c r="K107" s="44">
        <f>IF(_calc!$E$109="","",IF(LEN(INDEX('Assets'!$N$4:$N$503,_calc!$E$109))=0,"",INDEX('Assets'!$N$4:$N$503,_calc!$E$109)))</f>
        <v/>
      </c>
    </row>
    <row r="108">
      <c r="A108" s="44">
        <f>IF(_calc!$E$110="","",IF(LEN(INDEX('Assets'!$D$4:$D$503,_calc!$E$110))=0,"",INDEX('Assets'!$D$4:$D$503,_calc!$E$110))&amp;" – "&amp;IF(LEN(INDEX('Assets'!$A$4:$A$503,_calc!$E$110))=0,"",INDEX('Assets'!$A$4:$A$503,_calc!$E$110)))</f>
        <v/>
      </c>
      <c r="B108" s="44">
        <f>IF(_calc!$E$110="","",IF(ISNUMBER(INDEX('Assets'!$G$4:$G$503,_calc!$E$110)),TEXT(INDEX('Assets'!$G$4:$G$503,_calc!$E$110),"yyyy-mm-dd"),""))</f>
        <v/>
      </c>
      <c r="C108" s="44">
        <f>IF(_calc!$E$110="","","Inspection")</f>
        <v/>
      </c>
      <c r="D108" s="44">
        <f>IF(_calc!$E$110="","",IF(ISNUMBER(INDEX('Assets'!$F$4:$F$503,_calc!$E$110)),TEXT(INDEX('Assets'!$F$4:$F$503,_calc!$E$110),"yyyy-mm-dd"),""))</f>
        <v/>
      </c>
      <c r="E108" s="44">
        <f>IF(_calc!$E$110="","",IF(LEN(INDEX('Assets'!$O$4:$O$503,_calc!$E$110))=0,"",INDEX('Assets'!$O$4:$O$503,_calc!$E$110)))</f>
        <v/>
      </c>
      <c r="F108" s="44">
        <f>IF(_calc!$E$110="","",TRIM(IF(LEN(IF(LEN(INDEX('Assets'!$B$4:$B$503,_calc!$E$110))=0,"",INDEX('Assets'!$B$4:$B$503,_calc!$E$110)))=0,"","Asset ID: "&amp;IF(LEN(INDEX('Assets'!$B$4:$B$503,_calc!$E$110))=0,"",INDEX('Assets'!$B$4:$B$503,_calc!$E$110))&amp;". ")&amp;IF(LEN(IF(LEN(INDEX('Assets'!$C$4:$C$503,_calc!$E$110))=0,"",INDEX('Assets'!$C$4:$C$503,_calc!$E$110)))=0,"","Location: "&amp;IF(LEN(INDEX('Assets'!$C$4:$C$503,_calc!$E$110))=0,"",INDEX('Assets'!$C$4:$C$503,_calc!$E$110))&amp;". ")&amp;IF(LEN(IF(LEN(INDEX('Assets'!$E$4:$E$503,_calc!$E$110))=0,"",INDEX('Assets'!$E$4:$E$503,_calc!$E$110)))=0,"","Every (months): "&amp;IF(LEN(INDEX('Assets'!$E$4:$E$503,_calc!$E$110))=0,"",INDEX('Assets'!$E$4:$E$503,_calc!$E$110))&amp;". ")&amp;IF(LEN(IF(LEN(INDEX('Assets'!$M$4:$M$503,_calc!$E$110))=0,"",INDEX('Assets'!$M$4:$M$503,_calc!$E$110)))=0,"","Last result: "&amp;IF(LEN(INDEX('Assets'!$M$4:$M$503,_calc!$E$110))=0,"",INDEX('Assets'!$M$4:$M$503,_calc!$E$110))&amp;". ")&amp;IF(LEN(IF(LEN(INDEX('Assets'!$Q$4:$Q$503,_calc!$E$110))=0,"",INDEX('Assets'!$Q$4:$Q$503,_calc!$E$110)))=0,"",IF(LEN(INDEX('Assets'!$Q$4:$Q$503,_calc!$E$110))=0,"",INDEX('Assets'!$Q$4:$Q$503,_calc!$E$110)))))</f>
        <v/>
      </c>
      <c r="G108" s="44">
        <f>IF(_calc!$E$110="","",IF(LEN(INDEX('Assets'!$P$4:$P$503,_calc!$E$110))=0,"",INDEX('Assets'!$P$4:$P$503,_calc!$E$110)))</f>
        <v/>
      </c>
      <c r="K108" s="44">
        <f>IF(_calc!$E$110="","",IF(LEN(INDEX('Assets'!$N$4:$N$503,_calc!$E$110))=0,"",INDEX('Assets'!$N$4:$N$503,_calc!$E$110)))</f>
        <v/>
      </c>
    </row>
    <row r="109">
      <c r="A109" s="44">
        <f>IF(_calc!$E$111="","",IF(LEN(INDEX('Assets'!$D$4:$D$503,_calc!$E$111))=0,"",INDEX('Assets'!$D$4:$D$503,_calc!$E$111))&amp;" – "&amp;IF(LEN(INDEX('Assets'!$A$4:$A$503,_calc!$E$111))=0,"",INDEX('Assets'!$A$4:$A$503,_calc!$E$111)))</f>
        <v/>
      </c>
      <c r="B109" s="44">
        <f>IF(_calc!$E$111="","",IF(ISNUMBER(INDEX('Assets'!$G$4:$G$503,_calc!$E$111)),TEXT(INDEX('Assets'!$G$4:$G$503,_calc!$E$111),"yyyy-mm-dd"),""))</f>
        <v/>
      </c>
      <c r="C109" s="44">
        <f>IF(_calc!$E$111="","","Inspection")</f>
        <v/>
      </c>
      <c r="D109" s="44">
        <f>IF(_calc!$E$111="","",IF(ISNUMBER(INDEX('Assets'!$F$4:$F$503,_calc!$E$111)),TEXT(INDEX('Assets'!$F$4:$F$503,_calc!$E$111),"yyyy-mm-dd"),""))</f>
        <v/>
      </c>
      <c r="E109" s="44">
        <f>IF(_calc!$E$111="","",IF(LEN(INDEX('Assets'!$O$4:$O$503,_calc!$E$111))=0,"",INDEX('Assets'!$O$4:$O$503,_calc!$E$111)))</f>
        <v/>
      </c>
      <c r="F109" s="44">
        <f>IF(_calc!$E$111="","",TRIM(IF(LEN(IF(LEN(INDEX('Assets'!$B$4:$B$503,_calc!$E$111))=0,"",INDEX('Assets'!$B$4:$B$503,_calc!$E$111)))=0,"","Asset ID: "&amp;IF(LEN(INDEX('Assets'!$B$4:$B$503,_calc!$E$111))=0,"",INDEX('Assets'!$B$4:$B$503,_calc!$E$111))&amp;". ")&amp;IF(LEN(IF(LEN(INDEX('Assets'!$C$4:$C$503,_calc!$E$111))=0,"",INDEX('Assets'!$C$4:$C$503,_calc!$E$111)))=0,"","Location: "&amp;IF(LEN(INDEX('Assets'!$C$4:$C$503,_calc!$E$111))=0,"",INDEX('Assets'!$C$4:$C$503,_calc!$E$111))&amp;". ")&amp;IF(LEN(IF(LEN(INDEX('Assets'!$E$4:$E$503,_calc!$E$111))=0,"",INDEX('Assets'!$E$4:$E$503,_calc!$E$111)))=0,"","Every (months): "&amp;IF(LEN(INDEX('Assets'!$E$4:$E$503,_calc!$E$111))=0,"",INDEX('Assets'!$E$4:$E$503,_calc!$E$111))&amp;". ")&amp;IF(LEN(IF(LEN(INDEX('Assets'!$M$4:$M$503,_calc!$E$111))=0,"",INDEX('Assets'!$M$4:$M$503,_calc!$E$111)))=0,"","Last result: "&amp;IF(LEN(INDEX('Assets'!$M$4:$M$503,_calc!$E$111))=0,"",INDEX('Assets'!$M$4:$M$503,_calc!$E$111))&amp;". ")&amp;IF(LEN(IF(LEN(INDEX('Assets'!$Q$4:$Q$503,_calc!$E$111))=0,"",INDEX('Assets'!$Q$4:$Q$503,_calc!$E$111)))=0,"",IF(LEN(INDEX('Assets'!$Q$4:$Q$503,_calc!$E$111))=0,"",INDEX('Assets'!$Q$4:$Q$503,_calc!$E$111)))))</f>
        <v/>
      </c>
      <c r="G109" s="44">
        <f>IF(_calc!$E$111="","",IF(LEN(INDEX('Assets'!$P$4:$P$503,_calc!$E$111))=0,"",INDEX('Assets'!$P$4:$P$503,_calc!$E$111)))</f>
        <v/>
      </c>
      <c r="K109" s="44">
        <f>IF(_calc!$E$111="","",IF(LEN(INDEX('Assets'!$N$4:$N$503,_calc!$E$111))=0,"",INDEX('Assets'!$N$4:$N$503,_calc!$E$111)))</f>
        <v/>
      </c>
    </row>
    <row r="110">
      <c r="A110" s="44">
        <f>IF(_calc!$E$112="","",IF(LEN(INDEX('Assets'!$D$4:$D$503,_calc!$E$112))=0,"",INDEX('Assets'!$D$4:$D$503,_calc!$E$112))&amp;" – "&amp;IF(LEN(INDEX('Assets'!$A$4:$A$503,_calc!$E$112))=0,"",INDEX('Assets'!$A$4:$A$503,_calc!$E$112)))</f>
        <v/>
      </c>
      <c r="B110" s="44">
        <f>IF(_calc!$E$112="","",IF(ISNUMBER(INDEX('Assets'!$G$4:$G$503,_calc!$E$112)),TEXT(INDEX('Assets'!$G$4:$G$503,_calc!$E$112),"yyyy-mm-dd"),""))</f>
        <v/>
      </c>
      <c r="C110" s="44">
        <f>IF(_calc!$E$112="","","Inspection")</f>
        <v/>
      </c>
      <c r="D110" s="44">
        <f>IF(_calc!$E$112="","",IF(ISNUMBER(INDEX('Assets'!$F$4:$F$503,_calc!$E$112)),TEXT(INDEX('Assets'!$F$4:$F$503,_calc!$E$112),"yyyy-mm-dd"),""))</f>
        <v/>
      </c>
      <c r="E110" s="44">
        <f>IF(_calc!$E$112="","",IF(LEN(INDEX('Assets'!$O$4:$O$503,_calc!$E$112))=0,"",INDEX('Assets'!$O$4:$O$503,_calc!$E$112)))</f>
        <v/>
      </c>
      <c r="F110" s="44">
        <f>IF(_calc!$E$112="","",TRIM(IF(LEN(IF(LEN(INDEX('Assets'!$B$4:$B$503,_calc!$E$112))=0,"",INDEX('Assets'!$B$4:$B$503,_calc!$E$112)))=0,"","Asset ID: "&amp;IF(LEN(INDEX('Assets'!$B$4:$B$503,_calc!$E$112))=0,"",INDEX('Assets'!$B$4:$B$503,_calc!$E$112))&amp;". ")&amp;IF(LEN(IF(LEN(INDEX('Assets'!$C$4:$C$503,_calc!$E$112))=0,"",INDEX('Assets'!$C$4:$C$503,_calc!$E$112)))=0,"","Location: "&amp;IF(LEN(INDEX('Assets'!$C$4:$C$503,_calc!$E$112))=0,"",INDEX('Assets'!$C$4:$C$503,_calc!$E$112))&amp;". ")&amp;IF(LEN(IF(LEN(INDEX('Assets'!$E$4:$E$503,_calc!$E$112))=0,"",INDEX('Assets'!$E$4:$E$503,_calc!$E$112)))=0,"","Every (months): "&amp;IF(LEN(INDEX('Assets'!$E$4:$E$503,_calc!$E$112))=0,"",INDEX('Assets'!$E$4:$E$503,_calc!$E$112))&amp;". ")&amp;IF(LEN(IF(LEN(INDEX('Assets'!$M$4:$M$503,_calc!$E$112))=0,"",INDEX('Assets'!$M$4:$M$503,_calc!$E$112)))=0,"","Last result: "&amp;IF(LEN(INDEX('Assets'!$M$4:$M$503,_calc!$E$112))=0,"",INDEX('Assets'!$M$4:$M$503,_calc!$E$112))&amp;". ")&amp;IF(LEN(IF(LEN(INDEX('Assets'!$Q$4:$Q$503,_calc!$E$112))=0,"",INDEX('Assets'!$Q$4:$Q$503,_calc!$E$112)))=0,"",IF(LEN(INDEX('Assets'!$Q$4:$Q$503,_calc!$E$112))=0,"",INDEX('Assets'!$Q$4:$Q$503,_calc!$E$112)))))</f>
        <v/>
      </c>
      <c r="G110" s="44">
        <f>IF(_calc!$E$112="","",IF(LEN(INDEX('Assets'!$P$4:$P$503,_calc!$E$112))=0,"",INDEX('Assets'!$P$4:$P$503,_calc!$E$112)))</f>
        <v/>
      </c>
      <c r="K110" s="44">
        <f>IF(_calc!$E$112="","",IF(LEN(INDEX('Assets'!$N$4:$N$503,_calc!$E$112))=0,"",INDEX('Assets'!$N$4:$N$503,_calc!$E$112)))</f>
        <v/>
      </c>
    </row>
    <row r="111">
      <c r="A111" s="44">
        <f>IF(_calc!$E$113="","",IF(LEN(INDEX('Assets'!$D$4:$D$503,_calc!$E$113))=0,"",INDEX('Assets'!$D$4:$D$503,_calc!$E$113))&amp;" – "&amp;IF(LEN(INDEX('Assets'!$A$4:$A$503,_calc!$E$113))=0,"",INDEX('Assets'!$A$4:$A$503,_calc!$E$113)))</f>
        <v/>
      </c>
      <c r="B111" s="44">
        <f>IF(_calc!$E$113="","",IF(ISNUMBER(INDEX('Assets'!$G$4:$G$503,_calc!$E$113)),TEXT(INDEX('Assets'!$G$4:$G$503,_calc!$E$113),"yyyy-mm-dd"),""))</f>
        <v/>
      </c>
      <c r="C111" s="44">
        <f>IF(_calc!$E$113="","","Inspection")</f>
        <v/>
      </c>
      <c r="D111" s="44">
        <f>IF(_calc!$E$113="","",IF(ISNUMBER(INDEX('Assets'!$F$4:$F$503,_calc!$E$113)),TEXT(INDEX('Assets'!$F$4:$F$503,_calc!$E$113),"yyyy-mm-dd"),""))</f>
        <v/>
      </c>
      <c r="E111" s="44">
        <f>IF(_calc!$E$113="","",IF(LEN(INDEX('Assets'!$O$4:$O$503,_calc!$E$113))=0,"",INDEX('Assets'!$O$4:$O$503,_calc!$E$113)))</f>
        <v/>
      </c>
      <c r="F111" s="44">
        <f>IF(_calc!$E$113="","",TRIM(IF(LEN(IF(LEN(INDEX('Assets'!$B$4:$B$503,_calc!$E$113))=0,"",INDEX('Assets'!$B$4:$B$503,_calc!$E$113)))=0,"","Asset ID: "&amp;IF(LEN(INDEX('Assets'!$B$4:$B$503,_calc!$E$113))=0,"",INDEX('Assets'!$B$4:$B$503,_calc!$E$113))&amp;". ")&amp;IF(LEN(IF(LEN(INDEX('Assets'!$C$4:$C$503,_calc!$E$113))=0,"",INDEX('Assets'!$C$4:$C$503,_calc!$E$113)))=0,"","Location: "&amp;IF(LEN(INDEX('Assets'!$C$4:$C$503,_calc!$E$113))=0,"",INDEX('Assets'!$C$4:$C$503,_calc!$E$113))&amp;". ")&amp;IF(LEN(IF(LEN(INDEX('Assets'!$E$4:$E$503,_calc!$E$113))=0,"",INDEX('Assets'!$E$4:$E$503,_calc!$E$113)))=0,"","Every (months): "&amp;IF(LEN(INDEX('Assets'!$E$4:$E$503,_calc!$E$113))=0,"",INDEX('Assets'!$E$4:$E$503,_calc!$E$113))&amp;". ")&amp;IF(LEN(IF(LEN(INDEX('Assets'!$M$4:$M$503,_calc!$E$113))=0,"",INDEX('Assets'!$M$4:$M$503,_calc!$E$113)))=0,"","Last result: "&amp;IF(LEN(INDEX('Assets'!$M$4:$M$503,_calc!$E$113))=0,"",INDEX('Assets'!$M$4:$M$503,_calc!$E$113))&amp;". ")&amp;IF(LEN(IF(LEN(INDEX('Assets'!$Q$4:$Q$503,_calc!$E$113))=0,"",INDEX('Assets'!$Q$4:$Q$503,_calc!$E$113)))=0,"",IF(LEN(INDEX('Assets'!$Q$4:$Q$503,_calc!$E$113))=0,"",INDEX('Assets'!$Q$4:$Q$503,_calc!$E$113)))))</f>
        <v/>
      </c>
      <c r="G111" s="44">
        <f>IF(_calc!$E$113="","",IF(LEN(INDEX('Assets'!$P$4:$P$503,_calc!$E$113))=0,"",INDEX('Assets'!$P$4:$P$503,_calc!$E$113)))</f>
        <v/>
      </c>
      <c r="K111" s="44">
        <f>IF(_calc!$E$113="","",IF(LEN(INDEX('Assets'!$N$4:$N$503,_calc!$E$113))=0,"",INDEX('Assets'!$N$4:$N$503,_calc!$E$113)))</f>
        <v/>
      </c>
    </row>
    <row r="112">
      <c r="A112" s="44">
        <f>IF(_calc!$E$114="","",IF(LEN(INDEX('Assets'!$D$4:$D$503,_calc!$E$114))=0,"",INDEX('Assets'!$D$4:$D$503,_calc!$E$114))&amp;" – "&amp;IF(LEN(INDEX('Assets'!$A$4:$A$503,_calc!$E$114))=0,"",INDEX('Assets'!$A$4:$A$503,_calc!$E$114)))</f>
        <v/>
      </c>
      <c r="B112" s="44">
        <f>IF(_calc!$E$114="","",IF(ISNUMBER(INDEX('Assets'!$G$4:$G$503,_calc!$E$114)),TEXT(INDEX('Assets'!$G$4:$G$503,_calc!$E$114),"yyyy-mm-dd"),""))</f>
        <v/>
      </c>
      <c r="C112" s="44">
        <f>IF(_calc!$E$114="","","Inspection")</f>
        <v/>
      </c>
      <c r="D112" s="44">
        <f>IF(_calc!$E$114="","",IF(ISNUMBER(INDEX('Assets'!$F$4:$F$503,_calc!$E$114)),TEXT(INDEX('Assets'!$F$4:$F$503,_calc!$E$114),"yyyy-mm-dd"),""))</f>
        <v/>
      </c>
      <c r="E112" s="44">
        <f>IF(_calc!$E$114="","",IF(LEN(INDEX('Assets'!$O$4:$O$503,_calc!$E$114))=0,"",INDEX('Assets'!$O$4:$O$503,_calc!$E$114)))</f>
        <v/>
      </c>
      <c r="F112" s="44">
        <f>IF(_calc!$E$114="","",TRIM(IF(LEN(IF(LEN(INDEX('Assets'!$B$4:$B$503,_calc!$E$114))=0,"",INDEX('Assets'!$B$4:$B$503,_calc!$E$114)))=0,"","Asset ID: "&amp;IF(LEN(INDEX('Assets'!$B$4:$B$503,_calc!$E$114))=0,"",INDEX('Assets'!$B$4:$B$503,_calc!$E$114))&amp;". ")&amp;IF(LEN(IF(LEN(INDEX('Assets'!$C$4:$C$503,_calc!$E$114))=0,"",INDEX('Assets'!$C$4:$C$503,_calc!$E$114)))=0,"","Location: "&amp;IF(LEN(INDEX('Assets'!$C$4:$C$503,_calc!$E$114))=0,"",INDEX('Assets'!$C$4:$C$503,_calc!$E$114))&amp;". ")&amp;IF(LEN(IF(LEN(INDEX('Assets'!$E$4:$E$503,_calc!$E$114))=0,"",INDEX('Assets'!$E$4:$E$503,_calc!$E$114)))=0,"","Every (months): "&amp;IF(LEN(INDEX('Assets'!$E$4:$E$503,_calc!$E$114))=0,"",INDEX('Assets'!$E$4:$E$503,_calc!$E$114))&amp;". ")&amp;IF(LEN(IF(LEN(INDEX('Assets'!$M$4:$M$503,_calc!$E$114))=0,"",INDEX('Assets'!$M$4:$M$503,_calc!$E$114)))=0,"","Last result: "&amp;IF(LEN(INDEX('Assets'!$M$4:$M$503,_calc!$E$114))=0,"",INDEX('Assets'!$M$4:$M$503,_calc!$E$114))&amp;". ")&amp;IF(LEN(IF(LEN(INDEX('Assets'!$Q$4:$Q$503,_calc!$E$114))=0,"",INDEX('Assets'!$Q$4:$Q$503,_calc!$E$114)))=0,"",IF(LEN(INDEX('Assets'!$Q$4:$Q$503,_calc!$E$114))=0,"",INDEX('Assets'!$Q$4:$Q$503,_calc!$E$114)))))</f>
        <v/>
      </c>
      <c r="G112" s="44">
        <f>IF(_calc!$E$114="","",IF(LEN(INDEX('Assets'!$P$4:$P$503,_calc!$E$114))=0,"",INDEX('Assets'!$P$4:$P$503,_calc!$E$114)))</f>
        <v/>
      </c>
      <c r="K112" s="44">
        <f>IF(_calc!$E$114="","",IF(LEN(INDEX('Assets'!$N$4:$N$503,_calc!$E$114))=0,"",INDEX('Assets'!$N$4:$N$503,_calc!$E$114)))</f>
        <v/>
      </c>
    </row>
    <row r="113">
      <c r="A113" s="44">
        <f>IF(_calc!$E$115="","",IF(LEN(INDEX('Assets'!$D$4:$D$503,_calc!$E$115))=0,"",INDEX('Assets'!$D$4:$D$503,_calc!$E$115))&amp;" – "&amp;IF(LEN(INDEX('Assets'!$A$4:$A$503,_calc!$E$115))=0,"",INDEX('Assets'!$A$4:$A$503,_calc!$E$115)))</f>
        <v/>
      </c>
      <c r="B113" s="44">
        <f>IF(_calc!$E$115="","",IF(ISNUMBER(INDEX('Assets'!$G$4:$G$503,_calc!$E$115)),TEXT(INDEX('Assets'!$G$4:$G$503,_calc!$E$115),"yyyy-mm-dd"),""))</f>
        <v/>
      </c>
      <c r="C113" s="44">
        <f>IF(_calc!$E$115="","","Inspection")</f>
        <v/>
      </c>
      <c r="D113" s="44">
        <f>IF(_calc!$E$115="","",IF(ISNUMBER(INDEX('Assets'!$F$4:$F$503,_calc!$E$115)),TEXT(INDEX('Assets'!$F$4:$F$503,_calc!$E$115),"yyyy-mm-dd"),""))</f>
        <v/>
      </c>
      <c r="E113" s="44">
        <f>IF(_calc!$E$115="","",IF(LEN(INDEX('Assets'!$O$4:$O$503,_calc!$E$115))=0,"",INDEX('Assets'!$O$4:$O$503,_calc!$E$115)))</f>
        <v/>
      </c>
      <c r="F113" s="44">
        <f>IF(_calc!$E$115="","",TRIM(IF(LEN(IF(LEN(INDEX('Assets'!$B$4:$B$503,_calc!$E$115))=0,"",INDEX('Assets'!$B$4:$B$503,_calc!$E$115)))=0,"","Asset ID: "&amp;IF(LEN(INDEX('Assets'!$B$4:$B$503,_calc!$E$115))=0,"",INDEX('Assets'!$B$4:$B$503,_calc!$E$115))&amp;". ")&amp;IF(LEN(IF(LEN(INDEX('Assets'!$C$4:$C$503,_calc!$E$115))=0,"",INDEX('Assets'!$C$4:$C$503,_calc!$E$115)))=0,"","Location: "&amp;IF(LEN(INDEX('Assets'!$C$4:$C$503,_calc!$E$115))=0,"",INDEX('Assets'!$C$4:$C$503,_calc!$E$115))&amp;". ")&amp;IF(LEN(IF(LEN(INDEX('Assets'!$E$4:$E$503,_calc!$E$115))=0,"",INDEX('Assets'!$E$4:$E$503,_calc!$E$115)))=0,"","Every (months): "&amp;IF(LEN(INDEX('Assets'!$E$4:$E$503,_calc!$E$115))=0,"",INDEX('Assets'!$E$4:$E$503,_calc!$E$115))&amp;". ")&amp;IF(LEN(IF(LEN(INDEX('Assets'!$M$4:$M$503,_calc!$E$115))=0,"",INDEX('Assets'!$M$4:$M$503,_calc!$E$115)))=0,"","Last result: "&amp;IF(LEN(INDEX('Assets'!$M$4:$M$503,_calc!$E$115))=0,"",INDEX('Assets'!$M$4:$M$503,_calc!$E$115))&amp;". ")&amp;IF(LEN(IF(LEN(INDEX('Assets'!$Q$4:$Q$503,_calc!$E$115))=0,"",INDEX('Assets'!$Q$4:$Q$503,_calc!$E$115)))=0,"",IF(LEN(INDEX('Assets'!$Q$4:$Q$503,_calc!$E$115))=0,"",INDEX('Assets'!$Q$4:$Q$503,_calc!$E$115)))))</f>
        <v/>
      </c>
      <c r="G113" s="44">
        <f>IF(_calc!$E$115="","",IF(LEN(INDEX('Assets'!$P$4:$P$503,_calc!$E$115))=0,"",INDEX('Assets'!$P$4:$P$503,_calc!$E$115)))</f>
        <v/>
      </c>
      <c r="K113" s="44">
        <f>IF(_calc!$E$115="","",IF(LEN(INDEX('Assets'!$N$4:$N$503,_calc!$E$115))=0,"",INDEX('Assets'!$N$4:$N$503,_calc!$E$115)))</f>
        <v/>
      </c>
    </row>
    <row r="114">
      <c r="A114" s="44">
        <f>IF(_calc!$E$116="","",IF(LEN(INDEX('Assets'!$D$4:$D$503,_calc!$E$116))=0,"",INDEX('Assets'!$D$4:$D$503,_calc!$E$116))&amp;" – "&amp;IF(LEN(INDEX('Assets'!$A$4:$A$503,_calc!$E$116))=0,"",INDEX('Assets'!$A$4:$A$503,_calc!$E$116)))</f>
        <v/>
      </c>
      <c r="B114" s="44">
        <f>IF(_calc!$E$116="","",IF(ISNUMBER(INDEX('Assets'!$G$4:$G$503,_calc!$E$116)),TEXT(INDEX('Assets'!$G$4:$G$503,_calc!$E$116),"yyyy-mm-dd"),""))</f>
        <v/>
      </c>
      <c r="C114" s="44">
        <f>IF(_calc!$E$116="","","Inspection")</f>
        <v/>
      </c>
      <c r="D114" s="44">
        <f>IF(_calc!$E$116="","",IF(ISNUMBER(INDEX('Assets'!$F$4:$F$503,_calc!$E$116)),TEXT(INDEX('Assets'!$F$4:$F$503,_calc!$E$116),"yyyy-mm-dd"),""))</f>
        <v/>
      </c>
      <c r="E114" s="44">
        <f>IF(_calc!$E$116="","",IF(LEN(INDEX('Assets'!$O$4:$O$503,_calc!$E$116))=0,"",INDEX('Assets'!$O$4:$O$503,_calc!$E$116)))</f>
        <v/>
      </c>
      <c r="F114" s="44">
        <f>IF(_calc!$E$116="","",TRIM(IF(LEN(IF(LEN(INDEX('Assets'!$B$4:$B$503,_calc!$E$116))=0,"",INDEX('Assets'!$B$4:$B$503,_calc!$E$116)))=0,"","Asset ID: "&amp;IF(LEN(INDEX('Assets'!$B$4:$B$503,_calc!$E$116))=0,"",INDEX('Assets'!$B$4:$B$503,_calc!$E$116))&amp;". ")&amp;IF(LEN(IF(LEN(INDEX('Assets'!$C$4:$C$503,_calc!$E$116))=0,"",INDEX('Assets'!$C$4:$C$503,_calc!$E$116)))=0,"","Location: "&amp;IF(LEN(INDEX('Assets'!$C$4:$C$503,_calc!$E$116))=0,"",INDEX('Assets'!$C$4:$C$503,_calc!$E$116))&amp;". ")&amp;IF(LEN(IF(LEN(INDEX('Assets'!$E$4:$E$503,_calc!$E$116))=0,"",INDEX('Assets'!$E$4:$E$503,_calc!$E$116)))=0,"","Every (months): "&amp;IF(LEN(INDEX('Assets'!$E$4:$E$503,_calc!$E$116))=0,"",INDEX('Assets'!$E$4:$E$503,_calc!$E$116))&amp;". ")&amp;IF(LEN(IF(LEN(INDEX('Assets'!$M$4:$M$503,_calc!$E$116))=0,"",INDEX('Assets'!$M$4:$M$503,_calc!$E$116)))=0,"","Last result: "&amp;IF(LEN(INDEX('Assets'!$M$4:$M$503,_calc!$E$116))=0,"",INDEX('Assets'!$M$4:$M$503,_calc!$E$116))&amp;". ")&amp;IF(LEN(IF(LEN(INDEX('Assets'!$Q$4:$Q$503,_calc!$E$116))=0,"",INDEX('Assets'!$Q$4:$Q$503,_calc!$E$116)))=0,"",IF(LEN(INDEX('Assets'!$Q$4:$Q$503,_calc!$E$116))=0,"",INDEX('Assets'!$Q$4:$Q$503,_calc!$E$116)))))</f>
        <v/>
      </c>
      <c r="G114" s="44">
        <f>IF(_calc!$E$116="","",IF(LEN(INDEX('Assets'!$P$4:$P$503,_calc!$E$116))=0,"",INDEX('Assets'!$P$4:$P$503,_calc!$E$116)))</f>
        <v/>
      </c>
      <c r="K114" s="44">
        <f>IF(_calc!$E$116="","",IF(LEN(INDEX('Assets'!$N$4:$N$503,_calc!$E$116))=0,"",INDEX('Assets'!$N$4:$N$503,_calc!$E$116)))</f>
        <v/>
      </c>
    </row>
    <row r="115">
      <c r="A115" s="44">
        <f>IF(_calc!$E$117="","",IF(LEN(INDEX('Assets'!$D$4:$D$503,_calc!$E$117))=0,"",INDEX('Assets'!$D$4:$D$503,_calc!$E$117))&amp;" – "&amp;IF(LEN(INDEX('Assets'!$A$4:$A$503,_calc!$E$117))=0,"",INDEX('Assets'!$A$4:$A$503,_calc!$E$117)))</f>
        <v/>
      </c>
      <c r="B115" s="44">
        <f>IF(_calc!$E$117="","",IF(ISNUMBER(INDEX('Assets'!$G$4:$G$503,_calc!$E$117)),TEXT(INDEX('Assets'!$G$4:$G$503,_calc!$E$117),"yyyy-mm-dd"),""))</f>
        <v/>
      </c>
      <c r="C115" s="44">
        <f>IF(_calc!$E$117="","","Inspection")</f>
        <v/>
      </c>
      <c r="D115" s="44">
        <f>IF(_calc!$E$117="","",IF(ISNUMBER(INDEX('Assets'!$F$4:$F$503,_calc!$E$117)),TEXT(INDEX('Assets'!$F$4:$F$503,_calc!$E$117),"yyyy-mm-dd"),""))</f>
        <v/>
      </c>
      <c r="E115" s="44">
        <f>IF(_calc!$E$117="","",IF(LEN(INDEX('Assets'!$O$4:$O$503,_calc!$E$117))=0,"",INDEX('Assets'!$O$4:$O$503,_calc!$E$117)))</f>
        <v/>
      </c>
      <c r="F115" s="44">
        <f>IF(_calc!$E$117="","",TRIM(IF(LEN(IF(LEN(INDEX('Assets'!$B$4:$B$503,_calc!$E$117))=0,"",INDEX('Assets'!$B$4:$B$503,_calc!$E$117)))=0,"","Asset ID: "&amp;IF(LEN(INDEX('Assets'!$B$4:$B$503,_calc!$E$117))=0,"",INDEX('Assets'!$B$4:$B$503,_calc!$E$117))&amp;". ")&amp;IF(LEN(IF(LEN(INDEX('Assets'!$C$4:$C$503,_calc!$E$117))=0,"",INDEX('Assets'!$C$4:$C$503,_calc!$E$117)))=0,"","Location: "&amp;IF(LEN(INDEX('Assets'!$C$4:$C$503,_calc!$E$117))=0,"",INDEX('Assets'!$C$4:$C$503,_calc!$E$117))&amp;". ")&amp;IF(LEN(IF(LEN(INDEX('Assets'!$E$4:$E$503,_calc!$E$117))=0,"",INDEX('Assets'!$E$4:$E$503,_calc!$E$117)))=0,"","Every (months): "&amp;IF(LEN(INDEX('Assets'!$E$4:$E$503,_calc!$E$117))=0,"",INDEX('Assets'!$E$4:$E$503,_calc!$E$117))&amp;". ")&amp;IF(LEN(IF(LEN(INDEX('Assets'!$M$4:$M$503,_calc!$E$117))=0,"",INDEX('Assets'!$M$4:$M$503,_calc!$E$117)))=0,"","Last result: "&amp;IF(LEN(INDEX('Assets'!$M$4:$M$503,_calc!$E$117))=0,"",INDEX('Assets'!$M$4:$M$503,_calc!$E$117))&amp;". ")&amp;IF(LEN(IF(LEN(INDEX('Assets'!$Q$4:$Q$503,_calc!$E$117))=0,"",INDEX('Assets'!$Q$4:$Q$503,_calc!$E$117)))=0,"",IF(LEN(INDEX('Assets'!$Q$4:$Q$503,_calc!$E$117))=0,"",INDEX('Assets'!$Q$4:$Q$503,_calc!$E$117)))))</f>
        <v/>
      </c>
      <c r="G115" s="44">
        <f>IF(_calc!$E$117="","",IF(LEN(INDEX('Assets'!$P$4:$P$503,_calc!$E$117))=0,"",INDEX('Assets'!$P$4:$P$503,_calc!$E$117)))</f>
        <v/>
      </c>
      <c r="K115" s="44">
        <f>IF(_calc!$E$117="","",IF(LEN(INDEX('Assets'!$N$4:$N$503,_calc!$E$117))=0,"",INDEX('Assets'!$N$4:$N$503,_calc!$E$117)))</f>
        <v/>
      </c>
    </row>
    <row r="116">
      <c r="A116" s="44">
        <f>IF(_calc!$E$118="","",IF(LEN(INDEX('Assets'!$D$4:$D$503,_calc!$E$118))=0,"",INDEX('Assets'!$D$4:$D$503,_calc!$E$118))&amp;" – "&amp;IF(LEN(INDEX('Assets'!$A$4:$A$503,_calc!$E$118))=0,"",INDEX('Assets'!$A$4:$A$503,_calc!$E$118)))</f>
        <v/>
      </c>
      <c r="B116" s="44">
        <f>IF(_calc!$E$118="","",IF(ISNUMBER(INDEX('Assets'!$G$4:$G$503,_calc!$E$118)),TEXT(INDEX('Assets'!$G$4:$G$503,_calc!$E$118),"yyyy-mm-dd"),""))</f>
        <v/>
      </c>
      <c r="C116" s="44">
        <f>IF(_calc!$E$118="","","Inspection")</f>
        <v/>
      </c>
      <c r="D116" s="44">
        <f>IF(_calc!$E$118="","",IF(ISNUMBER(INDEX('Assets'!$F$4:$F$503,_calc!$E$118)),TEXT(INDEX('Assets'!$F$4:$F$503,_calc!$E$118),"yyyy-mm-dd"),""))</f>
        <v/>
      </c>
      <c r="E116" s="44">
        <f>IF(_calc!$E$118="","",IF(LEN(INDEX('Assets'!$O$4:$O$503,_calc!$E$118))=0,"",INDEX('Assets'!$O$4:$O$503,_calc!$E$118)))</f>
        <v/>
      </c>
      <c r="F116" s="44">
        <f>IF(_calc!$E$118="","",TRIM(IF(LEN(IF(LEN(INDEX('Assets'!$B$4:$B$503,_calc!$E$118))=0,"",INDEX('Assets'!$B$4:$B$503,_calc!$E$118)))=0,"","Asset ID: "&amp;IF(LEN(INDEX('Assets'!$B$4:$B$503,_calc!$E$118))=0,"",INDEX('Assets'!$B$4:$B$503,_calc!$E$118))&amp;". ")&amp;IF(LEN(IF(LEN(INDEX('Assets'!$C$4:$C$503,_calc!$E$118))=0,"",INDEX('Assets'!$C$4:$C$503,_calc!$E$118)))=0,"","Location: "&amp;IF(LEN(INDEX('Assets'!$C$4:$C$503,_calc!$E$118))=0,"",INDEX('Assets'!$C$4:$C$503,_calc!$E$118))&amp;". ")&amp;IF(LEN(IF(LEN(INDEX('Assets'!$E$4:$E$503,_calc!$E$118))=0,"",INDEX('Assets'!$E$4:$E$503,_calc!$E$118)))=0,"","Every (months): "&amp;IF(LEN(INDEX('Assets'!$E$4:$E$503,_calc!$E$118))=0,"",INDEX('Assets'!$E$4:$E$503,_calc!$E$118))&amp;". ")&amp;IF(LEN(IF(LEN(INDEX('Assets'!$M$4:$M$503,_calc!$E$118))=0,"",INDEX('Assets'!$M$4:$M$503,_calc!$E$118)))=0,"","Last result: "&amp;IF(LEN(INDEX('Assets'!$M$4:$M$503,_calc!$E$118))=0,"",INDEX('Assets'!$M$4:$M$503,_calc!$E$118))&amp;". ")&amp;IF(LEN(IF(LEN(INDEX('Assets'!$Q$4:$Q$503,_calc!$E$118))=0,"",INDEX('Assets'!$Q$4:$Q$503,_calc!$E$118)))=0,"",IF(LEN(INDEX('Assets'!$Q$4:$Q$503,_calc!$E$118))=0,"",INDEX('Assets'!$Q$4:$Q$503,_calc!$E$118)))))</f>
        <v/>
      </c>
      <c r="G116" s="44">
        <f>IF(_calc!$E$118="","",IF(LEN(INDEX('Assets'!$P$4:$P$503,_calc!$E$118))=0,"",INDEX('Assets'!$P$4:$P$503,_calc!$E$118)))</f>
        <v/>
      </c>
      <c r="K116" s="44">
        <f>IF(_calc!$E$118="","",IF(LEN(INDEX('Assets'!$N$4:$N$503,_calc!$E$118))=0,"",INDEX('Assets'!$N$4:$N$503,_calc!$E$118)))</f>
        <v/>
      </c>
    </row>
    <row r="117">
      <c r="A117" s="44">
        <f>IF(_calc!$E$119="","",IF(LEN(INDEX('Assets'!$D$4:$D$503,_calc!$E$119))=0,"",INDEX('Assets'!$D$4:$D$503,_calc!$E$119))&amp;" – "&amp;IF(LEN(INDEX('Assets'!$A$4:$A$503,_calc!$E$119))=0,"",INDEX('Assets'!$A$4:$A$503,_calc!$E$119)))</f>
        <v/>
      </c>
      <c r="B117" s="44">
        <f>IF(_calc!$E$119="","",IF(ISNUMBER(INDEX('Assets'!$G$4:$G$503,_calc!$E$119)),TEXT(INDEX('Assets'!$G$4:$G$503,_calc!$E$119),"yyyy-mm-dd"),""))</f>
        <v/>
      </c>
      <c r="C117" s="44">
        <f>IF(_calc!$E$119="","","Inspection")</f>
        <v/>
      </c>
      <c r="D117" s="44">
        <f>IF(_calc!$E$119="","",IF(ISNUMBER(INDEX('Assets'!$F$4:$F$503,_calc!$E$119)),TEXT(INDEX('Assets'!$F$4:$F$503,_calc!$E$119),"yyyy-mm-dd"),""))</f>
        <v/>
      </c>
      <c r="E117" s="44">
        <f>IF(_calc!$E$119="","",IF(LEN(INDEX('Assets'!$O$4:$O$503,_calc!$E$119))=0,"",INDEX('Assets'!$O$4:$O$503,_calc!$E$119)))</f>
        <v/>
      </c>
      <c r="F117" s="44">
        <f>IF(_calc!$E$119="","",TRIM(IF(LEN(IF(LEN(INDEX('Assets'!$B$4:$B$503,_calc!$E$119))=0,"",INDEX('Assets'!$B$4:$B$503,_calc!$E$119)))=0,"","Asset ID: "&amp;IF(LEN(INDEX('Assets'!$B$4:$B$503,_calc!$E$119))=0,"",INDEX('Assets'!$B$4:$B$503,_calc!$E$119))&amp;". ")&amp;IF(LEN(IF(LEN(INDEX('Assets'!$C$4:$C$503,_calc!$E$119))=0,"",INDEX('Assets'!$C$4:$C$503,_calc!$E$119)))=0,"","Location: "&amp;IF(LEN(INDEX('Assets'!$C$4:$C$503,_calc!$E$119))=0,"",INDEX('Assets'!$C$4:$C$503,_calc!$E$119))&amp;". ")&amp;IF(LEN(IF(LEN(INDEX('Assets'!$E$4:$E$503,_calc!$E$119))=0,"",INDEX('Assets'!$E$4:$E$503,_calc!$E$119)))=0,"","Every (months): "&amp;IF(LEN(INDEX('Assets'!$E$4:$E$503,_calc!$E$119))=0,"",INDEX('Assets'!$E$4:$E$503,_calc!$E$119))&amp;". ")&amp;IF(LEN(IF(LEN(INDEX('Assets'!$M$4:$M$503,_calc!$E$119))=0,"",INDEX('Assets'!$M$4:$M$503,_calc!$E$119)))=0,"","Last result: "&amp;IF(LEN(INDEX('Assets'!$M$4:$M$503,_calc!$E$119))=0,"",INDEX('Assets'!$M$4:$M$503,_calc!$E$119))&amp;". ")&amp;IF(LEN(IF(LEN(INDEX('Assets'!$Q$4:$Q$503,_calc!$E$119))=0,"",INDEX('Assets'!$Q$4:$Q$503,_calc!$E$119)))=0,"",IF(LEN(INDEX('Assets'!$Q$4:$Q$503,_calc!$E$119))=0,"",INDEX('Assets'!$Q$4:$Q$503,_calc!$E$119)))))</f>
        <v/>
      </c>
      <c r="G117" s="44">
        <f>IF(_calc!$E$119="","",IF(LEN(INDEX('Assets'!$P$4:$P$503,_calc!$E$119))=0,"",INDEX('Assets'!$P$4:$P$503,_calc!$E$119)))</f>
        <v/>
      </c>
      <c r="K117" s="44">
        <f>IF(_calc!$E$119="","",IF(LEN(INDEX('Assets'!$N$4:$N$503,_calc!$E$119))=0,"",INDEX('Assets'!$N$4:$N$503,_calc!$E$119)))</f>
        <v/>
      </c>
    </row>
    <row r="118">
      <c r="A118" s="44">
        <f>IF(_calc!$E$120="","",IF(LEN(INDEX('Assets'!$D$4:$D$503,_calc!$E$120))=0,"",INDEX('Assets'!$D$4:$D$503,_calc!$E$120))&amp;" – "&amp;IF(LEN(INDEX('Assets'!$A$4:$A$503,_calc!$E$120))=0,"",INDEX('Assets'!$A$4:$A$503,_calc!$E$120)))</f>
        <v/>
      </c>
      <c r="B118" s="44">
        <f>IF(_calc!$E$120="","",IF(ISNUMBER(INDEX('Assets'!$G$4:$G$503,_calc!$E$120)),TEXT(INDEX('Assets'!$G$4:$G$503,_calc!$E$120),"yyyy-mm-dd"),""))</f>
        <v/>
      </c>
      <c r="C118" s="44">
        <f>IF(_calc!$E$120="","","Inspection")</f>
        <v/>
      </c>
      <c r="D118" s="44">
        <f>IF(_calc!$E$120="","",IF(ISNUMBER(INDEX('Assets'!$F$4:$F$503,_calc!$E$120)),TEXT(INDEX('Assets'!$F$4:$F$503,_calc!$E$120),"yyyy-mm-dd"),""))</f>
        <v/>
      </c>
      <c r="E118" s="44">
        <f>IF(_calc!$E$120="","",IF(LEN(INDEX('Assets'!$O$4:$O$503,_calc!$E$120))=0,"",INDEX('Assets'!$O$4:$O$503,_calc!$E$120)))</f>
        <v/>
      </c>
      <c r="F118" s="44">
        <f>IF(_calc!$E$120="","",TRIM(IF(LEN(IF(LEN(INDEX('Assets'!$B$4:$B$503,_calc!$E$120))=0,"",INDEX('Assets'!$B$4:$B$503,_calc!$E$120)))=0,"","Asset ID: "&amp;IF(LEN(INDEX('Assets'!$B$4:$B$503,_calc!$E$120))=0,"",INDEX('Assets'!$B$4:$B$503,_calc!$E$120))&amp;". ")&amp;IF(LEN(IF(LEN(INDEX('Assets'!$C$4:$C$503,_calc!$E$120))=0,"",INDEX('Assets'!$C$4:$C$503,_calc!$E$120)))=0,"","Location: "&amp;IF(LEN(INDEX('Assets'!$C$4:$C$503,_calc!$E$120))=0,"",INDEX('Assets'!$C$4:$C$503,_calc!$E$120))&amp;". ")&amp;IF(LEN(IF(LEN(INDEX('Assets'!$E$4:$E$503,_calc!$E$120))=0,"",INDEX('Assets'!$E$4:$E$503,_calc!$E$120)))=0,"","Every (months): "&amp;IF(LEN(INDEX('Assets'!$E$4:$E$503,_calc!$E$120))=0,"",INDEX('Assets'!$E$4:$E$503,_calc!$E$120))&amp;". ")&amp;IF(LEN(IF(LEN(INDEX('Assets'!$M$4:$M$503,_calc!$E$120))=0,"",INDEX('Assets'!$M$4:$M$503,_calc!$E$120)))=0,"","Last result: "&amp;IF(LEN(INDEX('Assets'!$M$4:$M$503,_calc!$E$120))=0,"",INDEX('Assets'!$M$4:$M$503,_calc!$E$120))&amp;". ")&amp;IF(LEN(IF(LEN(INDEX('Assets'!$Q$4:$Q$503,_calc!$E$120))=0,"",INDEX('Assets'!$Q$4:$Q$503,_calc!$E$120)))=0,"",IF(LEN(INDEX('Assets'!$Q$4:$Q$503,_calc!$E$120))=0,"",INDEX('Assets'!$Q$4:$Q$503,_calc!$E$120)))))</f>
        <v/>
      </c>
      <c r="G118" s="44">
        <f>IF(_calc!$E$120="","",IF(LEN(INDEX('Assets'!$P$4:$P$503,_calc!$E$120))=0,"",INDEX('Assets'!$P$4:$P$503,_calc!$E$120)))</f>
        <v/>
      </c>
      <c r="K118" s="44">
        <f>IF(_calc!$E$120="","",IF(LEN(INDEX('Assets'!$N$4:$N$503,_calc!$E$120))=0,"",INDEX('Assets'!$N$4:$N$503,_calc!$E$120)))</f>
        <v/>
      </c>
    </row>
    <row r="119">
      <c r="A119" s="44">
        <f>IF(_calc!$E$121="","",IF(LEN(INDEX('Assets'!$D$4:$D$503,_calc!$E$121))=0,"",INDEX('Assets'!$D$4:$D$503,_calc!$E$121))&amp;" – "&amp;IF(LEN(INDEX('Assets'!$A$4:$A$503,_calc!$E$121))=0,"",INDEX('Assets'!$A$4:$A$503,_calc!$E$121)))</f>
        <v/>
      </c>
      <c r="B119" s="44">
        <f>IF(_calc!$E$121="","",IF(ISNUMBER(INDEX('Assets'!$G$4:$G$503,_calc!$E$121)),TEXT(INDEX('Assets'!$G$4:$G$503,_calc!$E$121),"yyyy-mm-dd"),""))</f>
        <v/>
      </c>
      <c r="C119" s="44">
        <f>IF(_calc!$E$121="","","Inspection")</f>
        <v/>
      </c>
      <c r="D119" s="44">
        <f>IF(_calc!$E$121="","",IF(ISNUMBER(INDEX('Assets'!$F$4:$F$503,_calc!$E$121)),TEXT(INDEX('Assets'!$F$4:$F$503,_calc!$E$121),"yyyy-mm-dd"),""))</f>
        <v/>
      </c>
      <c r="E119" s="44">
        <f>IF(_calc!$E$121="","",IF(LEN(INDEX('Assets'!$O$4:$O$503,_calc!$E$121))=0,"",INDEX('Assets'!$O$4:$O$503,_calc!$E$121)))</f>
        <v/>
      </c>
      <c r="F119" s="44">
        <f>IF(_calc!$E$121="","",TRIM(IF(LEN(IF(LEN(INDEX('Assets'!$B$4:$B$503,_calc!$E$121))=0,"",INDEX('Assets'!$B$4:$B$503,_calc!$E$121)))=0,"","Asset ID: "&amp;IF(LEN(INDEX('Assets'!$B$4:$B$503,_calc!$E$121))=0,"",INDEX('Assets'!$B$4:$B$503,_calc!$E$121))&amp;". ")&amp;IF(LEN(IF(LEN(INDEX('Assets'!$C$4:$C$503,_calc!$E$121))=0,"",INDEX('Assets'!$C$4:$C$503,_calc!$E$121)))=0,"","Location: "&amp;IF(LEN(INDEX('Assets'!$C$4:$C$503,_calc!$E$121))=0,"",INDEX('Assets'!$C$4:$C$503,_calc!$E$121))&amp;". ")&amp;IF(LEN(IF(LEN(INDEX('Assets'!$E$4:$E$503,_calc!$E$121))=0,"",INDEX('Assets'!$E$4:$E$503,_calc!$E$121)))=0,"","Every (months): "&amp;IF(LEN(INDEX('Assets'!$E$4:$E$503,_calc!$E$121))=0,"",INDEX('Assets'!$E$4:$E$503,_calc!$E$121))&amp;". ")&amp;IF(LEN(IF(LEN(INDEX('Assets'!$M$4:$M$503,_calc!$E$121))=0,"",INDEX('Assets'!$M$4:$M$503,_calc!$E$121)))=0,"","Last result: "&amp;IF(LEN(INDEX('Assets'!$M$4:$M$503,_calc!$E$121))=0,"",INDEX('Assets'!$M$4:$M$503,_calc!$E$121))&amp;". ")&amp;IF(LEN(IF(LEN(INDEX('Assets'!$Q$4:$Q$503,_calc!$E$121))=0,"",INDEX('Assets'!$Q$4:$Q$503,_calc!$E$121)))=0,"",IF(LEN(INDEX('Assets'!$Q$4:$Q$503,_calc!$E$121))=0,"",INDEX('Assets'!$Q$4:$Q$503,_calc!$E$121)))))</f>
        <v/>
      </c>
      <c r="G119" s="44">
        <f>IF(_calc!$E$121="","",IF(LEN(INDEX('Assets'!$P$4:$P$503,_calc!$E$121))=0,"",INDEX('Assets'!$P$4:$P$503,_calc!$E$121)))</f>
        <v/>
      </c>
      <c r="K119" s="44">
        <f>IF(_calc!$E$121="","",IF(LEN(INDEX('Assets'!$N$4:$N$503,_calc!$E$121))=0,"",INDEX('Assets'!$N$4:$N$503,_calc!$E$121)))</f>
        <v/>
      </c>
    </row>
    <row r="120">
      <c r="A120" s="44">
        <f>IF(_calc!$E$122="","",IF(LEN(INDEX('Assets'!$D$4:$D$503,_calc!$E$122))=0,"",INDEX('Assets'!$D$4:$D$503,_calc!$E$122))&amp;" – "&amp;IF(LEN(INDEX('Assets'!$A$4:$A$503,_calc!$E$122))=0,"",INDEX('Assets'!$A$4:$A$503,_calc!$E$122)))</f>
        <v/>
      </c>
      <c r="B120" s="44">
        <f>IF(_calc!$E$122="","",IF(ISNUMBER(INDEX('Assets'!$G$4:$G$503,_calc!$E$122)),TEXT(INDEX('Assets'!$G$4:$G$503,_calc!$E$122),"yyyy-mm-dd"),""))</f>
        <v/>
      </c>
      <c r="C120" s="44">
        <f>IF(_calc!$E$122="","","Inspection")</f>
        <v/>
      </c>
      <c r="D120" s="44">
        <f>IF(_calc!$E$122="","",IF(ISNUMBER(INDEX('Assets'!$F$4:$F$503,_calc!$E$122)),TEXT(INDEX('Assets'!$F$4:$F$503,_calc!$E$122),"yyyy-mm-dd"),""))</f>
        <v/>
      </c>
      <c r="E120" s="44">
        <f>IF(_calc!$E$122="","",IF(LEN(INDEX('Assets'!$O$4:$O$503,_calc!$E$122))=0,"",INDEX('Assets'!$O$4:$O$503,_calc!$E$122)))</f>
        <v/>
      </c>
      <c r="F120" s="44">
        <f>IF(_calc!$E$122="","",TRIM(IF(LEN(IF(LEN(INDEX('Assets'!$B$4:$B$503,_calc!$E$122))=0,"",INDEX('Assets'!$B$4:$B$503,_calc!$E$122)))=0,"","Asset ID: "&amp;IF(LEN(INDEX('Assets'!$B$4:$B$503,_calc!$E$122))=0,"",INDEX('Assets'!$B$4:$B$503,_calc!$E$122))&amp;". ")&amp;IF(LEN(IF(LEN(INDEX('Assets'!$C$4:$C$503,_calc!$E$122))=0,"",INDEX('Assets'!$C$4:$C$503,_calc!$E$122)))=0,"","Location: "&amp;IF(LEN(INDEX('Assets'!$C$4:$C$503,_calc!$E$122))=0,"",INDEX('Assets'!$C$4:$C$503,_calc!$E$122))&amp;". ")&amp;IF(LEN(IF(LEN(INDEX('Assets'!$E$4:$E$503,_calc!$E$122))=0,"",INDEX('Assets'!$E$4:$E$503,_calc!$E$122)))=0,"","Every (months): "&amp;IF(LEN(INDEX('Assets'!$E$4:$E$503,_calc!$E$122))=0,"",INDEX('Assets'!$E$4:$E$503,_calc!$E$122))&amp;". ")&amp;IF(LEN(IF(LEN(INDEX('Assets'!$M$4:$M$503,_calc!$E$122))=0,"",INDEX('Assets'!$M$4:$M$503,_calc!$E$122)))=0,"","Last result: "&amp;IF(LEN(INDEX('Assets'!$M$4:$M$503,_calc!$E$122))=0,"",INDEX('Assets'!$M$4:$M$503,_calc!$E$122))&amp;". ")&amp;IF(LEN(IF(LEN(INDEX('Assets'!$Q$4:$Q$503,_calc!$E$122))=0,"",INDEX('Assets'!$Q$4:$Q$503,_calc!$E$122)))=0,"",IF(LEN(INDEX('Assets'!$Q$4:$Q$503,_calc!$E$122))=0,"",INDEX('Assets'!$Q$4:$Q$503,_calc!$E$122)))))</f>
        <v/>
      </c>
      <c r="G120" s="44">
        <f>IF(_calc!$E$122="","",IF(LEN(INDEX('Assets'!$P$4:$P$503,_calc!$E$122))=0,"",INDEX('Assets'!$P$4:$P$503,_calc!$E$122)))</f>
        <v/>
      </c>
      <c r="K120" s="44">
        <f>IF(_calc!$E$122="","",IF(LEN(INDEX('Assets'!$N$4:$N$503,_calc!$E$122))=0,"",INDEX('Assets'!$N$4:$N$503,_calc!$E$122)))</f>
        <v/>
      </c>
    </row>
    <row r="121">
      <c r="A121" s="44">
        <f>IF(_calc!$E$123="","",IF(LEN(INDEX('Assets'!$D$4:$D$503,_calc!$E$123))=0,"",INDEX('Assets'!$D$4:$D$503,_calc!$E$123))&amp;" – "&amp;IF(LEN(INDEX('Assets'!$A$4:$A$503,_calc!$E$123))=0,"",INDEX('Assets'!$A$4:$A$503,_calc!$E$123)))</f>
        <v/>
      </c>
      <c r="B121" s="44">
        <f>IF(_calc!$E$123="","",IF(ISNUMBER(INDEX('Assets'!$G$4:$G$503,_calc!$E$123)),TEXT(INDEX('Assets'!$G$4:$G$503,_calc!$E$123),"yyyy-mm-dd"),""))</f>
        <v/>
      </c>
      <c r="C121" s="44">
        <f>IF(_calc!$E$123="","","Inspection")</f>
        <v/>
      </c>
      <c r="D121" s="44">
        <f>IF(_calc!$E$123="","",IF(ISNUMBER(INDEX('Assets'!$F$4:$F$503,_calc!$E$123)),TEXT(INDEX('Assets'!$F$4:$F$503,_calc!$E$123),"yyyy-mm-dd"),""))</f>
        <v/>
      </c>
      <c r="E121" s="44">
        <f>IF(_calc!$E$123="","",IF(LEN(INDEX('Assets'!$O$4:$O$503,_calc!$E$123))=0,"",INDEX('Assets'!$O$4:$O$503,_calc!$E$123)))</f>
        <v/>
      </c>
      <c r="F121" s="44">
        <f>IF(_calc!$E$123="","",TRIM(IF(LEN(IF(LEN(INDEX('Assets'!$B$4:$B$503,_calc!$E$123))=0,"",INDEX('Assets'!$B$4:$B$503,_calc!$E$123)))=0,"","Asset ID: "&amp;IF(LEN(INDEX('Assets'!$B$4:$B$503,_calc!$E$123))=0,"",INDEX('Assets'!$B$4:$B$503,_calc!$E$123))&amp;". ")&amp;IF(LEN(IF(LEN(INDEX('Assets'!$C$4:$C$503,_calc!$E$123))=0,"",INDEX('Assets'!$C$4:$C$503,_calc!$E$123)))=0,"","Location: "&amp;IF(LEN(INDEX('Assets'!$C$4:$C$503,_calc!$E$123))=0,"",INDEX('Assets'!$C$4:$C$503,_calc!$E$123))&amp;". ")&amp;IF(LEN(IF(LEN(INDEX('Assets'!$E$4:$E$503,_calc!$E$123))=0,"",INDEX('Assets'!$E$4:$E$503,_calc!$E$123)))=0,"","Every (months): "&amp;IF(LEN(INDEX('Assets'!$E$4:$E$503,_calc!$E$123))=0,"",INDEX('Assets'!$E$4:$E$503,_calc!$E$123))&amp;". ")&amp;IF(LEN(IF(LEN(INDEX('Assets'!$M$4:$M$503,_calc!$E$123))=0,"",INDEX('Assets'!$M$4:$M$503,_calc!$E$123)))=0,"","Last result: "&amp;IF(LEN(INDEX('Assets'!$M$4:$M$503,_calc!$E$123))=0,"",INDEX('Assets'!$M$4:$M$503,_calc!$E$123))&amp;". ")&amp;IF(LEN(IF(LEN(INDEX('Assets'!$Q$4:$Q$503,_calc!$E$123))=0,"",INDEX('Assets'!$Q$4:$Q$503,_calc!$E$123)))=0,"",IF(LEN(INDEX('Assets'!$Q$4:$Q$503,_calc!$E$123))=0,"",INDEX('Assets'!$Q$4:$Q$503,_calc!$E$123)))))</f>
        <v/>
      </c>
      <c r="G121" s="44">
        <f>IF(_calc!$E$123="","",IF(LEN(INDEX('Assets'!$P$4:$P$503,_calc!$E$123))=0,"",INDEX('Assets'!$P$4:$P$503,_calc!$E$123)))</f>
        <v/>
      </c>
      <c r="K121" s="44">
        <f>IF(_calc!$E$123="","",IF(LEN(INDEX('Assets'!$N$4:$N$503,_calc!$E$123))=0,"",INDEX('Assets'!$N$4:$N$503,_calc!$E$123)))</f>
        <v/>
      </c>
    </row>
    <row r="122">
      <c r="A122" s="44">
        <f>IF(_calc!$E$124="","",IF(LEN(INDEX('Assets'!$D$4:$D$503,_calc!$E$124))=0,"",INDEX('Assets'!$D$4:$D$503,_calc!$E$124))&amp;" – "&amp;IF(LEN(INDEX('Assets'!$A$4:$A$503,_calc!$E$124))=0,"",INDEX('Assets'!$A$4:$A$503,_calc!$E$124)))</f>
        <v/>
      </c>
      <c r="B122" s="44">
        <f>IF(_calc!$E$124="","",IF(ISNUMBER(INDEX('Assets'!$G$4:$G$503,_calc!$E$124)),TEXT(INDEX('Assets'!$G$4:$G$503,_calc!$E$124),"yyyy-mm-dd"),""))</f>
        <v/>
      </c>
      <c r="C122" s="44">
        <f>IF(_calc!$E$124="","","Inspection")</f>
        <v/>
      </c>
      <c r="D122" s="44">
        <f>IF(_calc!$E$124="","",IF(ISNUMBER(INDEX('Assets'!$F$4:$F$503,_calc!$E$124)),TEXT(INDEX('Assets'!$F$4:$F$503,_calc!$E$124),"yyyy-mm-dd"),""))</f>
        <v/>
      </c>
      <c r="E122" s="44">
        <f>IF(_calc!$E$124="","",IF(LEN(INDEX('Assets'!$O$4:$O$503,_calc!$E$124))=0,"",INDEX('Assets'!$O$4:$O$503,_calc!$E$124)))</f>
        <v/>
      </c>
      <c r="F122" s="44">
        <f>IF(_calc!$E$124="","",TRIM(IF(LEN(IF(LEN(INDEX('Assets'!$B$4:$B$503,_calc!$E$124))=0,"",INDEX('Assets'!$B$4:$B$503,_calc!$E$124)))=0,"","Asset ID: "&amp;IF(LEN(INDEX('Assets'!$B$4:$B$503,_calc!$E$124))=0,"",INDEX('Assets'!$B$4:$B$503,_calc!$E$124))&amp;". ")&amp;IF(LEN(IF(LEN(INDEX('Assets'!$C$4:$C$503,_calc!$E$124))=0,"",INDEX('Assets'!$C$4:$C$503,_calc!$E$124)))=0,"","Location: "&amp;IF(LEN(INDEX('Assets'!$C$4:$C$503,_calc!$E$124))=0,"",INDEX('Assets'!$C$4:$C$503,_calc!$E$124))&amp;". ")&amp;IF(LEN(IF(LEN(INDEX('Assets'!$E$4:$E$503,_calc!$E$124))=0,"",INDEX('Assets'!$E$4:$E$503,_calc!$E$124)))=0,"","Every (months): "&amp;IF(LEN(INDEX('Assets'!$E$4:$E$503,_calc!$E$124))=0,"",INDEX('Assets'!$E$4:$E$503,_calc!$E$124))&amp;". ")&amp;IF(LEN(IF(LEN(INDEX('Assets'!$M$4:$M$503,_calc!$E$124))=0,"",INDEX('Assets'!$M$4:$M$503,_calc!$E$124)))=0,"","Last result: "&amp;IF(LEN(INDEX('Assets'!$M$4:$M$503,_calc!$E$124))=0,"",INDEX('Assets'!$M$4:$M$503,_calc!$E$124))&amp;". ")&amp;IF(LEN(IF(LEN(INDEX('Assets'!$Q$4:$Q$503,_calc!$E$124))=0,"",INDEX('Assets'!$Q$4:$Q$503,_calc!$E$124)))=0,"",IF(LEN(INDEX('Assets'!$Q$4:$Q$503,_calc!$E$124))=0,"",INDEX('Assets'!$Q$4:$Q$503,_calc!$E$124)))))</f>
        <v/>
      </c>
      <c r="G122" s="44">
        <f>IF(_calc!$E$124="","",IF(LEN(INDEX('Assets'!$P$4:$P$503,_calc!$E$124))=0,"",INDEX('Assets'!$P$4:$P$503,_calc!$E$124)))</f>
        <v/>
      </c>
      <c r="K122" s="44">
        <f>IF(_calc!$E$124="","",IF(LEN(INDEX('Assets'!$N$4:$N$503,_calc!$E$124))=0,"",INDEX('Assets'!$N$4:$N$503,_calc!$E$124)))</f>
        <v/>
      </c>
    </row>
    <row r="123">
      <c r="A123" s="44">
        <f>IF(_calc!$E$125="","",IF(LEN(INDEX('Assets'!$D$4:$D$503,_calc!$E$125))=0,"",INDEX('Assets'!$D$4:$D$503,_calc!$E$125))&amp;" – "&amp;IF(LEN(INDEX('Assets'!$A$4:$A$503,_calc!$E$125))=0,"",INDEX('Assets'!$A$4:$A$503,_calc!$E$125)))</f>
        <v/>
      </c>
      <c r="B123" s="44">
        <f>IF(_calc!$E$125="","",IF(ISNUMBER(INDEX('Assets'!$G$4:$G$503,_calc!$E$125)),TEXT(INDEX('Assets'!$G$4:$G$503,_calc!$E$125),"yyyy-mm-dd"),""))</f>
        <v/>
      </c>
      <c r="C123" s="44">
        <f>IF(_calc!$E$125="","","Inspection")</f>
        <v/>
      </c>
      <c r="D123" s="44">
        <f>IF(_calc!$E$125="","",IF(ISNUMBER(INDEX('Assets'!$F$4:$F$503,_calc!$E$125)),TEXT(INDEX('Assets'!$F$4:$F$503,_calc!$E$125),"yyyy-mm-dd"),""))</f>
        <v/>
      </c>
      <c r="E123" s="44">
        <f>IF(_calc!$E$125="","",IF(LEN(INDEX('Assets'!$O$4:$O$503,_calc!$E$125))=0,"",INDEX('Assets'!$O$4:$O$503,_calc!$E$125)))</f>
        <v/>
      </c>
      <c r="F123" s="44">
        <f>IF(_calc!$E$125="","",TRIM(IF(LEN(IF(LEN(INDEX('Assets'!$B$4:$B$503,_calc!$E$125))=0,"",INDEX('Assets'!$B$4:$B$503,_calc!$E$125)))=0,"","Asset ID: "&amp;IF(LEN(INDEX('Assets'!$B$4:$B$503,_calc!$E$125))=0,"",INDEX('Assets'!$B$4:$B$503,_calc!$E$125))&amp;". ")&amp;IF(LEN(IF(LEN(INDEX('Assets'!$C$4:$C$503,_calc!$E$125))=0,"",INDEX('Assets'!$C$4:$C$503,_calc!$E$125)))=0,"","Location: "&amp;IF(LEN(INDEX('Assets'!$C$4:$C$503,_calc!$E$125))=0,"",INDEX('Assets'!$C$4:$C$503,_calc!$E$125))&amp;". ")&amp;IF(LEN(IF(LEN(INDEX('Assets'!$E$4:$E$503,_calc!$E$125))=0,"",INDEX('Assets'!$E$4:$E$503,_calc!$E$125)))=0,"","Every (months): "&amp;IF(LEN(INDEX('Assets'!$E$4:$E$503,_calc!$E$125))=0,"",INDEX('Assets'!$E$4:$E$503,_calc!$E$125))&amp;". ")&amp;IF(LEN(IF(LEN(INDEX('Assets'!$M$4:$M$503,_calc!$E$125))=0,"",INDEX('Assets'!$M$4:$M$503,_calc!$E$125)))=0,"","Last result: "&amp;IF(LEN(INDEX('Assets'!$M$4:$M$503,_calc!$E$125))=0,"",INDEX('Assets'!$M$4:$M$503,_calc!$E$125))&amp;". ")&amp;IF(LEN(IF(LEN(INDEX('Assets'!$Q$4:$Q$503,_calc!$E$125))=0,"",INDEX('Assets'!$Q$4:$Q$503,_calc!$E$125)))=0,"",IF(LEN(INDEX('Assets'!$Q$4:$Q$503,_calc!$E$125))=0,"",INDEX('Assets'!$Q$4:$Q$503,_calc!$E$125)))))</f>
        <v/>
      </c>
      <c r="G123" s="44">
        <f>IF(_calc!$E$125="","",IF(LEN(INDEX('Assets'!$P$4:$P$503,_calc!$E$125))=0,"",INDEX('Assets'!$P$4:$P$503,_calc!$E$125)))</f>
        <v/>
      </c>
      <c r="K123" s="44">
        <f>IF(_calc!$E$125="","",IF(LEN(INDEX('Assets'!$N$4:$N$503,_calc!$E$125))=0,"",INDEX('Assets'!$N$4:$N$503,_calc!$E$125)))</f>
        <v/>
      </c>
    </row>
    <row r="124">
      <c r="A124" s="44">
        <f>IF(_calc!$E$126="","",IF(LEN(INDEX('Assets'!$D$4:$D$503,_calc!$E$126))=0,"",INDEX('Assets'!$D$4:$D$503,_calc!$E$126))&amp;" – "&amp;IF(LEN(INDEX('Assets'!$A$4:$A$503,_calc!$E$126))=0,"",INDEX('Assets'!$A$4:$A$503,_calc!$E$126)))</f>
        <v/>
      </c>
      <c r="B124" s="44">
        <f>IF(_calc!$E$126="","",IF(ISNUMBER(INDEX('Assets'!$G$4:$G$503,_calc!$E$126)),TEXT(INDEX('Assets'!$G$4:$G$503,_calc!$E$126),"yyyy-mm-dd"),""))</f>
        <v/>
      </c>
      <c r="C124" s="44">
        <f>IF(_calc!$E$126="","","Inspection")</f>
        <v/>
      </c>
      <c r="D124" s="44">
        <f>IF(_calc!$E$126="","",IF(ISNUMBER(INDEX('Assets'!$F$4:$F$503,_calc!$E$126)),TEXT(INDEX('Assets'!$F$4:$F$503,_calc!$E$126),"yyyy-mm-dd"),""))</f>
        <v/>
      </c>
      <c r="E124" s="44">
        <f>IF(_calc!$E$126="","",IF(LEN(INDEX('Assets'!$O$4:$O$503,_calc!$E$126))=0,"",INDEX('Assets'!$O$4:$O$503,_calc!$E$126)))</f>
        <v/>
      </c>
      <c r="F124" s="44">
        <f>IF(_calc!$E$126="","",TRIM(IF(LEN(IF(LEN(INDEX('Assets'!$B$4:$B$503,_calc!$E$126))=0,"",INDEX('Assets'!$B$4:$B$503,_calc!$E$126)))=0,"","Asset ID: "&amp;IF(LEN(INDEX('Assets'!$B$4:$B$503,_calc!$E$126))=0,"",INDEX('Assets'!$B$4:$B$503,_calc!$E$126))&amp;". ")&amp;IF(LEN(IF(LEN(INDEX('Assets'!$C$4:$C$503,_calc!$E$126))=0,"",INDEX('Assets'!$C$4:$C$503,_calc!$E$126)))=0,"","Location: "&amp;IF(LEN(INDEX('Assets'!$C$4:$C$503,_calc!$E$126))=0,"",INDEX('Assets'!$C$4:$C$503,_calc!$E$126))&amp;". ")&amp;IF(LEN(IF(LEN(INDEX('Assets'!$E$4:$E$503,_calc!$E$126))=0,"",INDEX('Assets'!$E$4:$E$503,_calc!$E$126)))=0,"","Every (months): "&amp;IF(LEN(INDEX('Assets'!$E$4:$E$503,_calc!$E$126))=0,"",INDEX('Assets'!$E$4:$E$503,_calc!$E$126))&amp;". ")&amp;IF(LEN(IF(LEN(INDEX('Assets'!$M$4:$M$503,_calc!$E$126))=0,"",INDEX('Assets'!$M$4:$M$503,_calc!$E$126)))=0,"","Last result: "&amp;IF(LEN(INDEX('Assets'!$M$4:$M$503,_calc!$E$126))=0,"",INDEX('Assets'!$M$4:$M$503,_calc!$E$126))&amp;". ")&amp;IF(LEN(IF(LEN(INDEX('Assets'!$Q$4:$Q$503,_calc!$E$126))=0,"",INDEX('Assets'!$Q$4:$Q$503,_calc!$E$126)))=0,"",IF(LEN(INDEX('Assets'!$Q$4:$Q$503,_calc!$E$126))=0,"",INDEX('Assets'!$Q$4:$Q$503,_calc!$E$126)))))</f>
        <v/>
      </c>
      <c r="G124" s="44">
        <f>IF(_calc!$E$126="","",IF(LEN(INDEX('Assets'!$P$4:$P$503,_calc!$E$126))=0,"",INDEX('Assets'!$P$4:$P$503,_calc!$E$126)))</f>
        <v/>
      </c>
      <c r="K124" s="44">
        <f>IF(_calc!$E$126="","",IF(LEN(INDEX('Assets'!$N$4:$N$503,_calc!$E$126))=0,"",INDEX('Assets'!$N$4:$N$503,_calc!$E$126)))</f>
        <v/>
      </c>
    </row>
    <row r="125">
      <c r="A125" s="44">
        <f>IF(_calc!$E$127="","",IF(LEN(INDEX('Assets'!$D$4:$D$503,_calc!$E$127))=0,"",INDEX('Assets'!$D$4:$D$503,_calc!$E$127))&amp;" – "&amp;IF(LEN(INDEX('Assets'!$A$4:$A$503,_calc!$E$127))=0,"",INDEX('Assets'!$A$4:$A$503,_calc!$E$127)))</f>
        <v/>
      </c>
      <c r="B125" s="44">
        <f>IF(_calc!$E$127="","",IF(ISNUMBER(INDEX('Assets'!$G$4:$G$503,_calc!$E$127)),TEXT(INDEX('Assets'!$G$4:$G$503,_calc!$E$127),"yyyy-mm-dd"),""))</f>
        <v/>
      </c>
      <c r="C125" s="44">
        <f>IF(_calc!$E$127="","","Inspection")</f>
        <v/>
      </c>
      <c r="D125" s="44">
        <f>IF(_calc!$E$127="","",IF(ISNUMBER(INDEX('Assets'!$F$4:$F$503,_calc!$E$127)),TEXT(INDEX('Assets'!$F$4:$F$503,_calc!$E$127),"yyyy-mm-dd"),""))</f>
        <v/>
      </c>
      <c r="E125" s="44">
        <f>IF(_calc!$E$127="","",IF(LEN(INDEX('Assets'!$O$4:$O$503,_calc!$E$127))=0,"",INDEX('Assets'!$O$4:$O$503,_calc!$E$127)))</f>
        <v/>
      </c>
      <c r="F125" s="44">
        <f>IF(_calc!$E$127="","",TRIM(IF(LEN(IF(LEN(INDEX('Assets'!$B$4:$B$503,_calc!$E$127))=0,"",INDEX('Assets'!$B$4:$B$503,_calc!$E$127)))=0,"","Asset ID: "&amp;IF(LEN(INDEX('Assets'!$B$4:$B$503,_calc!$E$127))=0,"",INDEX('Assets'!$B$4:$B$503,_calc!$E$127))&amp;". ")&amp;IF(LEN(IF(LEN(INDEX('Assets'!$C$4:$C$503,_calc!$E$127))=0,"",INDEX('Assets'!$C$4:$C$503,_calc!$E$127)))=0,"","Location: "&amp;IF(LEN(INDEX('Assets'!$C$4:$C$503,_calc!$E$127))=0,"",INDEX('Assets'!$C$4:$C$503,_calc!$E$127))&amp;". ")&amp;IF(LEN(IF(LEN(INDEX('Assets'!$E$4:$E$503,_calc!$E$127))=0,"",INDEX('Assets'!$E$4:$E$503,_calc!$E$127)))=0,"","Every (months): "&amp;IF(LEN(INDEX('Assets'!$E$4:$E$503,_calc!$E$127))=0,"",INDEX('Assets'!$E$4:$E$503,_calc!$E$127))&amp;". ")&amp;IF(LEN(IF(LEN(INDEX('Assets'!$M$4:$M$503,_calc!$E$127))=0,"",INDEX('Assets'!$M$4:$M$503,_calc!$E$127)))=0,"","Last result: "&amp;IF(LEN(INDEX('Assets'!$M$4:$M$503,_calc!$E$127))=0,"",INDEX('Assets'!$M$4:$M$503,_calc!$E$127))&amp;". ")&amp;IF(LEN(IF(LEN(INDEX('Assets'!$Q$4:$Q$503,_calc!$E$127))=0,"",INDEX('Assets'!$Q$4:$Q$503,_calc!$E$127)))=0,"",IF(LEN(INDEX('Assets'!$Q$4:$Q$503,_calc!$E$127))=0,"",INDEX('Assets'!$Q$4:$Q$503,_calc!$E$127)))))</f>
        <v/>
      </c>
      <c r="G125" s="44">
        <f>IF(_calc!$E$127="","",IF(LEN(INDEX('Assets'!$P$4:$P$503,_calc!$E$127))=0,"",INDEX('Assets'!$P$4:$P$503,_calc!$E$127)))</f>
        <v/>
      </c>
      <c r="K125" s="44">
        <f>IF(_calc!$E$127="","",IF(LEN(INDEX('Assets'!$N$4:$N$503,_calc!$E$127))=0,"",INDEX('Assets'!$N$4:$N$503,_calc!$E$127)))</f>
        <v/>
      </c>
    </row>
    <row r="126">
      <c r="A126" s="44">
        <f>IF(_calc!$E$128="","",IF(LEN(INDEX('Assets'!$D$4:$D$503,_calc!$E$128))=0,"",INDEX('Assets'!$D$4:$D$503,_calc!$E$128))&amp;" – "&amp;IF(LEN(INDEX('Assets'!$A$4:$A$503,_calc!$E$128))=0,"",INDEX('Assets'!$A$4:$A$503,_calc!$E$128)))</f>
        <v/>
      </c>
      <c r="B126" s="44">
        <f>IF(_calc!$E$128="","",IF(ISNUMBER(INDEX('Assets'!$G$4:$G$503,_calc!$E$128)),TEXT(INDEX('Assets'!$G$4:$G$503,_calc!$E$128),"yyyy-mm-dd"),""))</f>
        <v/>
      </c>
      <c r="C126" s="44">
        <f>IF(_calc!$E$128="","","Inspection")</f>
        <v/>
      </c>
      <c r="D126" s="44">
        <f>IF(_calc!$E$128="","",IF(ISNUMBER(INDEX('Assets'!$F$4:$F$503,_calc!$E$128)),TEXT(INDEX('Assets'!$F$4:$F$503,_calc!$E$128),"yyyy-mm-dd"),""))</f>
        <v/>
      </c>
      <c r="E126" s="44">
        <f>IF(_calc!$E$128="","",IF(LEN(INDEX('Assets'!$O$4:$O$503,_calc!$E$128))=0,"",INDEX('Assets'!$O$4:$O$503,_calc!$E$128)))</f>
        <v/>
      </c>
      <c r="F126" s="44">
        <f>IF(_calc!$E$128="","",TRIM(IF(LEN(IF(LEN(INDEX('Assets'!$B$4:$B$503,_calc!$E$128))=0,"",INDEX('Assets'!$B$4:$B$503,_calc!$E$128)))=0,"","Asset ID: "&amp;IF(LEN(INDEX('Assets'!$B$4:$B$503,_calc!$E$128))=0,"",INDEX('Assets'!$B$4:$B$503,_calc!$E$128))&amp;". ")&amp;IF(LEN(IF(LEN(INDEX('Assets'!$C$4:$C$503,_calc!$E$128))=0,"",INDEX('Assets'!$C$4:$C$503,_calc!$E$128)))=0,"","Location: "&amp;IF(LEN(INDEX('Assets'!$C$4:$C$503,_calc!$E$128))=0,"",INDEX('Assets'!$C$4:$C$503,_calc!$E$128))&amp;". ")&amp;IF(LEN(IF(LEN(INDEX('Assets'!$E$4:$E$503,_calc!$E$128))=0,"",INDEX('Assets'!$E$4:$E$503,_calc!$E$128)))=0,"","Every (months): "&amp;IF(LEN(INDEX('Assets'!$E$4:$E$503,_calc!$E$128))=0,"",INDEX('Assets'!$E$4:$E$503,_calc!$E$128))&amp;". ")&amp;IF(LEN(IF(LEN(INDEX('Assets'!$M$4:$M$503,_calc!$E$128))=0,"",INDEX('Assets'!$M$4:$M$503,_calc!$E$128)))=0,"","Last result: "&amp;IF(LEN(INDEX('Assets'!$M$4:$M$503,_calc!$E$128))=0,"",INDEX('Assets'!$M$4:$M$503,_calc!$E$128))&amp;". ")&amp;IF(LEN(IF(LEN(INDEX('Assets'!$Q$4:$Q$503,_calc!$E$128))=0,"",INDEX('Assets'!$Q$4:$Q$503,_calc!$E$128)))=0,"",IF(LEN(INDEX('Assets'!$Q$4:$Q$503,_calc!$E$128))=0,"",INDEX('Assets'!$Q$4:$Q$503,_calc!$E$128)))))</f>
        <v/>
      </c>
      <c r="G126" s="44">
        <f>IF(_calc!$E$128="","",IF(LEN(INDEX('Assets'!$P$4:$P$503,_calc!$E$128))=0,"",INDEX('Assets'!$P$4:$P$503,_calc!$E$128)))</f>
        <v/>
      </c>
      <c r="K126" s="44">
        <f>IF(_calc!$E$128="","",IF(LEN(INDEX('Assets'!$N$4:$N$503,_calc!$E$128))=0,"",INDEX('Assets'!$N$4:$N$503,_calc!$E$128)))</f>
        <v/>
      </c>
    </row>
    <row r="127">
      <c r="A127" s="44">
        <f>IF(_calc!$E$129="","",IF(LEN(INDEX('Assets'!$D$4:$D$503,_calc!$E$129))=0,"",INDEX('Assets'!$D$4:$D$503,_calc!$E$129))&amp;" – "&amp;IF(LEN(INDEX('Assets'!$A$4:$A$503,_calc!$E$129))=0,"",INDEX('Assets'!$A$4:$A$503,_calc!$E$129)))</f>
        <v/>
      </c>
      <c r="B127" s="44">
        <f>IF(_calc!$E$129="","",IF(ISNUMBER(INDEX('Assets'!$G$4:$G$503,_calc!$E$129)),TEXT(INDEX('Assets'!$G$4:$G$503,_calc!$E$129),"yyyy-mm-dd"),""))</f>
        <v/>
      </c>
      <c r="C127" s="44">
        <f>IF(_calc!$E$129="","","Inspection")</f>
        <v/>
      </c>
      <c r="D127" s="44">
        <f>IF(_calc!$E$129="","",IF(ISNUMBER(INDEX('Assets'!$F$4:$F$503,_calc!$E$129)),TEXT(INDEX('Assets'!$F$4:$F$503,_calc!$E$129),"yyyy-mm-dd"),""))</f>
        <v/>
      </c>
      <c r="E127" s="44">
        <f>IF(_calc!$E$129="","",IF(LEN(INDEX('Assets'!$O$4:$O$503,_calc!$E$129))=0,"",INDEX('Assets'!$O$4:$O$503,_calc!$E$129)))</f>
        <v/>
      </c>
      <c r="F127" s="44">
        <f>IF(_calc!$E$129="","",TRIM(IF(LEN(IF(LEN(INDEX('Assets'!$B$4:$B$503,_calc!$E$129))=0,"",INDEX('Assets'!$B$4:$B$503,_calc!$E$129)))=0,"","Asset ID: "&amp;IF(LEN(INDEX('Assets'!$B$4:$B$503,_calc!$E$129))=0,"",INDEX('Assets'!$B$4:$B$503,_calc!$E$129))&amp;". ")&amp;IF(LEN(IF(LEN(INDEX('Assets'!$C$4:$C$503,_calc!$E$129))=0,"",INDEX('Assets'!$C$4:$C$503,_calc!$E$129)))=0,"","Location: "&amp;IF(LEN(INDEX('Assets'!$C$4:$C$503,_calc!$E$129))=0,"",INDEX('Assets'!$C$4:$C$503,_calc!$E$129))&amp;". ")&amp;IF(LEN(IF(LEN(INDEX('Assets'!$E$4:$E$503,_calc!$E$129))=0,"",INDEX('Assets'!$E$4:$E$503,_calc!$E$129)))=0,"","Every (months): "&amp;IF(LEN(INDEX('Assets'!$E$4:$E$503,_calc!$E$129))=0,"",INDEX('Assets'!$E$4:$E$503,_calc!$E$129))&amp;". ")&amp;IF(LEN(IF(LEN(INDEX('Assets'!$M$4:$M$503,_calc!$E$129))=0,"",INDEX('Assets'!$M$4:$M$503,_calc!$E$129)))=0,"","Last result: "&amp;IF(LEN(INDEX('Assets'!$M$4:$M$503,_calc!$E$129))=0,"",INDEX('Assets'!$M$4:$M$503,_calc!$E$129))&amp;". ")&amp;IF(LEN(IF(LEN(INDEX('Assets'!$Q$4:$Q$503,_calc!$E$129))=0,"",INDEX('Assets'!$Q$4:$Q$503,_calc!$E$129)))=0,"",IF(LEN(INDEX('Assets'!$Q$4:$Q$503,_calc!$E$129))=0,"",INDEX('Assets'!$Q$4:$Q$503,_calc!$E$129)))))</f>
        <v/>
      </c>
      <c r="G127" s="44">
        <f>IF(_calc!$E$129="","",IF(LEN(INDEX('Assets'!$P$4:$P$503,_calc!$E$129))=0,"",INDEX('Assets'!$P$4:$P$503,_calc!$E$129)))</f>
        <v/>
      </c>
      <c r="K127" s="44">
        <f>IF(_calc!$E$129="","",IF(LEN(INDEX('Assets'!$N$4:$N$503,_calc!$E$129))=0,"",INDEX('Assets'!$N$4:$N$503,_calc!$E$129)))</f>
        <v/>
      </c>
    </row>
    <row r="128">
      <c r="A128" s="44">
        <f>IF(_calc!$E$130="","",IF(LEN(INDEX('Assets'!$D$4:$D$503,_calc!$E$130))=0,"",INDEX('Assets'!$D$4:$D$503,_calc!$E$130))&amp;" – "&amp;IF(LEN(INDEX('Assets'!$A$4:$A$503,_calc!$E$130))=0,"",INDEX('Assets'!$A$4:$A$503,_calc!$E$130)))</f>
        <v/>
      </c>
      <c r="B128" s="44">
        <f>IF(_calc!$E$130="","",IF(ISNUMBER(INDEX('Assets'!$G$4:$G$503,_calc!$E$130)),TEXT(INDEX('Assets'!$G$4:$G$503,_calc!$E$130),"yyyy-mm-dd"),""))</f>
        <v/>
      </c>
      <c r="C128" s="44">
        <f>IF(_calc!$E$130="","","Inspection")</f>
        <v/>
      </c>
      <c r="D128" s="44">
        <f>IF(_calc!$E$130="","",IF(ISNUMBER(INDEX('Assets'!$F$4:$F$503,_calc!$E$130)),TEXT(INDEX('Assets'!$F$4:$F$503,_calc!$E$130),"yyyy-mm-dd"),""))</f>
        <v/>
      </c>
      <c r="E128" s="44">
        <f>IF(_calc!$E$130="","",IF(LEN(INDEX('Assets'!$O$4:$O$503,_calc!$E$130))=0,"",INDEX('Assets'!$O$4:$O$503,_calc!$E$130)))</f>
        <v/>
      </c>
      <c r="F128" s="44">
        <f>IF(_calc!$E$130="","",TRIM(IF(LEN(IF(LEN(INDEX('Assets'!$B$4:$B$503,_calc!$E$130))=0,"",INDEX('Assets'!$B$4:$B$503,_calc!$E$130)))=0,"","Asset ID: "&amp;IF(LEN(INDEX('Assets'!$B$4:$B$503,_calc!$E$130))=0,"",INDEX('Assets'!$B$4:$B$503,_calc!$E$130))&amp;". ")&amp;IF(LEN(IF(LEN(INDEX('Assets'!$C$4:$C$503,_calc!$E$130))=0,"",INDEX('Assets'!$C$4:$C$503,_calc!$E$130)))=0,"","Location: "&amp;IF(LEN(INDEX('Assets'!$C$4:$C$503,_calc!$E$130))=0,"",INDEX('Assets'!$C$4:$C$503,_calc!$E$130))&amp;". ")&amp;IF(LEN(IF(LEN(INDEX('Assets'!$E$4:$E$503,_calc!$E$130))=0,"",INDEX('Assets'!$E$4:$E$503,_calc!$E$130)))=0,"","Every (months): "&amp;IF(LEN(INDEX('Assets'!$E$4:$E$503,_calc!$E$130))=0,"",INDEX('Assets'!$E$4:$E$503,_calc!$E$130))&amp;". ")&amp;IF(LEN(IF(LEN(INDEX('Assets'!$M$4:$M$503,_calc!$E$130))=0,"",INDEX('Assets'!$M$4:$M$503,_calc!$E$130)))=0,"","Last result: "&amp;IF(LEN(INDEX('Assets'!$M$4:$M$503,_calc!$E$130))=0,"",INDEX('Assets'!$M$4:$M$503,_calc!$E$130))&amp;". ")&amp;IF(LEN(IF(LEN(INDEX('Assets'!$Q$4:$Q$503,_calc!$E$130))=0,"",INDEX('Assets'!$Q$4:$Q$503,_calc!$E$130)))=0,"",IF(LEN(INDEX('Assets'!$Q$4:$Q$503,_calc!$E$130))=0,"",INDEX('Assets'!$Q$4:$Q$503,_calc!$E$130)))))</f>
        <v/>
      </c>
      <c r="G128" s="44">
        <f>IF(_calc!$E$130="","",IF(LEN(INDEX('Assets'!$P$4:$P$503,_calc!$E$130))=0,"",INDEX('Assets'!$P$4:$P$503,_calc!$E$130)))</f>
        <v/>
      </c>
      <c r="K128" s="44">
        <f>IF(_calc!$E$130="","",IF(LEN(INDEX('Assets'!$N$4:$N$503,_calc!$E$130))=0,"",INDEX('Assets'!$N$4:$N$503,_calc!$E$130)))</f>
        <v/>
      </c>
    </row>
    <row r="129">
      <c r="A129" s="44">
        <f>IF(_calc!$E$131="","",IF(LEN(INDEX('Assets'!$D$4:$D$503,_calc!$E$131))=0,"",INDEX('Assets'!$D$4:$D$503,_calc!$E$131))&amp;" – "&amp;IF(LEN(INDEX('Assets'!$A$4:$A$503,_calc!$E$131))=0,"",INDEX('Assets'!$A$4:$A$503,_calc!$E$131)))</f>
        <v/>
      </c>
      <c r="B129" s="44">
        <f>IF(_calc!$E$131="","",IF(ISNUMBER(INDEX('Assets'!$G$4:$G$503,_calc!$E$131)),TEXT(INDEX('Assets'!$G$4:$G$503,_calc!$E$131),"yyyy-mm-dd"),""))</f>
        <v/>
      </c>
      <c r="C129" s="44">
        <f>IF(_calc!$E$131="","","Inspection")</f>
        <v/>
      </c>
      <c r="D129" s="44">
        <f>IF(_calc!$E$131="","",IF(ISNUMBER(INDEX('Assets'!$F$4:$F$503,_calc!$E$131)),TEXT(INDEX('Assets'!$F$4:$F$503,_calc!$E$131),"yyyy-mm-dd"),""))</f>
        <v/>
      </c>
      <c r="E129" s="44">
        <f>IF(_calc!$E$131="","",IF(LEN(INDEX('Assets'!$O$4:$O$503,_calc!$E$131))=0,"",INDEX('Assets'!$O$4:$O$503,_calc!$E$131)))</f>
        <v/>
      </c>
      <c r="F129" s="44">
        <f>IF(_calc!$E$131="","",TRIM(IF(LEN(IF(LEN(INDEX('Assets'!$B$4:$B$503,_calc!$E$131))=0,"",INDEX('Assets'!$B$4:$B$503,_calc!$E$131)))=0,"","Asset ID: "&amp;IF(LEN(INDEX('Assets'!$B$4:$B$503,_calc!$E$131))=0,"",INDEX('Assets'!$B$4:$B$503,_calc!$E$131))&amp;". ")&amp;IF(LEN(IF(LEN(INDEX('Assets'!$C$4:$C$503,_calc!$E$131))=0,"",INDEX('Assets'!$C$4:$C$503,_calc!$E$131)))=0,"","Location: "&amp;IF(LEN(INDEX('Assets'!$C$4:$C$503,_calc!$E$131))=0,"",INDEX('Assets'!$C$4:$C$503,_calc!$E$131))&amp;". ")&amp;IF(LEN(IF(LEN(INDEX('Assets'!$E$4:$E$503,_calc!$E$131))=0,"",INDEX('Assets'!$E$4:$E$503,_calc!$E$131)))=0,"","Every (months): "&amp;IF(LEN(INDEX('Assets'!$E$4:$E$503,_calc!$E$131))=0,"",INDEX('Assets'!$E$4:$E$503,_calc!$E$131))&amp;". ")&amp;IF(LEN(IF(LEN(INDEX('Assets'!$M$4:$M$503,_calc!$E$131))=0,"",INDEX('Assets'!$M$4:$M$503,_calc!$E$131)))=0,"","Last result: "&amp;IF(LEN(INDEX('Assets'!$M$4:$M$503,_calc!$E$131))=0,"",INDEX('Assets'!$M$4:$M$503,_calc!$E$131))&amp;". ")&amp;IF(LEN(IF(LEN(INDEX('Assets'!$Q$4:$Q$503,_calc!$E$131))=0,"",INDEX('Assets'!$Q$4:$Q$503,_calc!$E$131)))=0,"",IF(LEN(INDEX('Assets'!$Q$4:$Q$503,_calc!$E$131))=0,"",INDEX('Assets'!$Q$4:$Q$503,_calc!$E$131)))))</f>
        <v/>
      </c>
      <c r="G129" s="44">
        <f>IF(_calc!$E$131="","",IF(LEN(INDEX('Assets'!$P$4:$P$503,_calc!$E$131))=0,"",INDEX('Assets'!$P$4:$P$503,_calc!$E$131)))</f>
        <v/>
      </c>
      <c r="K129" s="44">
        <f>IF(_calc!$E$131="","",IF(LEN(INDEX('Assets'!$N$4:$N$503,_calc!$E$131))=0,"",INDEX('Assets'!$N$4:$N$503,_calc!$E$131)))</f>
        <v/>
      </c>
    </row>
    <row r="130">
      <c r="A130" s="44">
        <f>IF(_calc!$E$132="","",IF(LEN(INDEX('Assets'!$D$4:$D$503,_calc!$E$132))=0,"",INDEX('Assets'!$D$4:$D$503,_calc!$E$132))&amp;" – "&amp;IF(LEN(INDEX('Assets'!$A$4:$A$503,_calc!$E$132))=0,"",INDEX('Assets'!$A$4:$A$503,_calc!$E$132)))</f>
        <v/>
      </c>
      <c r="B130" s="44">
        <f>IF(_calc!$E$132="","",IF(ISNUMBER(INDEX('Assets'!$G$4:$G$503,_calc!$E$132)),TEXT(INDEX('Assets'!$G$4:$G$503,_calc!$E$132),"yyyy-mm-dd"),""))</f>
        <v/>
      </c>
      <c r="C130" s="44">
        <f>IF(_calc!$E$132="","","Inspection")</f>
        <v/>
      </c>
      <c r="D130" s="44">
        <f>IF(_calc!$E$132="","",IF(ISNUMBER(INDEX('Assets'!$F$4:$F$503,_calc!$E$132)),TEXT(INDEX('Assets'!$F$4:$F$503,_calc!$E$132),"yyyy-mm-dd"),""))</f>
        <v/>
      </c>
      <c r="E130" s="44">
        <f>IF(_calc!$E$132="","",IF(LEN(INDEX('Assets'!$O$4:$O$503,_calc!$E$132))=0,"",INDEX('Assets'!$O$4:$O$503,_calc!$E$132)))</f>
        <v/>
      </c>
      <c r="F130" s="44">
        <f>IF(_calc!$E$132="","",TRIM(IF(LEN(IF(LEN(INDEX('Assets'!$B$4:$B$503,_calc!$E$132))=0,"",INDEX('Assets'!$B$4:$B$503,_calc!$E$132)))=0,"","Asset ID: "&amp;IF(LEN(INDEX('Assets'!$B$4:$B$503,_calc!$E$132))=0,"",INDEX('Assets'!$B$4:$B$503,_calc!$E$132))&amp;". ")&amp;IF(LEN(IF(LEN(INDEX('Assets'!$C$4:$C$503,_calc!$E$132))=0,"",INDEX('Assets'!$C$4:$C$503,_calc!$E$132)))=0,"","Location: "&amp;IF(LEN(INDEX('Assets'!$C$4:$C$503,_calc!$E$132))=0,"",INDEX('Assets'!$C$4:$C$503,_calc!$E$132))&amp;". ")&amp;IF(LEN(IF(LEN(INDEX('Assets'!$E$4:$E$503,_calc!$E$132))=0,"",INDEX('Assets'!$E$4:$E$503,_calc!$E$132)))=0,"","Every (months): "&amp;IF(LEN(INDEX('Assets'!$E$4:$E$503,_calc!$E$132))=0,"",INDEX('Assets'!$E$4:$E$503,_calc!$E$132))&amp;". ")&amp;IF(LEN(IF(LEN(INDEX('Assets'!$M$4:$M$503,_calc!$E$132))=0,"",INDEX('Assets'!$M$4:$M$503,_calc!$E$132)))=0,"","Last result: "&amp;IF(LEN(INDEX('Assets'!$M$4:$M$503,_calc!$E$132))=0,"",INDEX('Assets'!$M$4:$M$503,_calc!$E$132))&amp;". ")&amp;IF(LEN(IF(LEN(INDEX('Assets'!$Q$4:$Q$503,_calc!$E$132))=0,"",INDEX('Assets'!$Q$4:$Q$503,_calc!$E$132)))=0,"",IF(LEN(INDEX('Assets'!$Q$4:$Q$503,_calc!$E$132))=0,"",INDEX('Assets'!$Q$4:$Q$503,_calc!$E$132)))))</f>
        <v/>
      </c>
      <c r="G130" s="44">
        <f>IF(_calc!$E$132="","",IF(LEN(INDEX('Assets'!$P$4:$P$503,_calc!$E$132))=0,"",INDEX('Assets'!$P$4:$P$503,_calc!$E$132)))</f>
        <v/>
      </c>
      <c r="K130" s="44">
        <f>IF(_calc!$E$132="","",IF(LEN(INDEX('Assets'!$N$4:$N$503,_calc!$E$132))=0,"",INDEX('Assets'!$N$4:$N$503,_calc!$E$132)))</f>
        <v/>
      </c>
    </row>
    <row r="131">
      <c r="A131" s="44">
        <f>IF(_calc!$E$133="","",IF(LEN(INDEX('Assets'!$D$4:$D$503,_calc!$E$133))=0,"",INDEX('Assets'!$D$4:$D$503,_calc!$E$133))&amp;" – "&amp;IF(LEN(INDEX('Assets'!$A$4:$A$503,_calc!$E$133))=0,"",INDEX('Assets'!$A$4:$A$503,_calc!$E$133)))</f>
        <v/>
      </c>
      <c r="B131" s="44">
        <f>IF(_calc!$E$133="","",IF(ISNUMBER(INDEX('Assets'!$G$4:$G$503,_calc!$E$133)),TEXT(INDEX('Assets'!$G$4:$G$503,_calc!$E$133),"yyyy-mm-dd"),""))</f>
        <v/>
      </c>
      <c r="C131" s="44">
        <f>IF(_calc!$E$133="","","Inspection")</f>
        <v/>
      </c>
      <c r="D131" s="44">
        <f>IF(_calc!$E$133="","",IF(ISNUMBER(INDEX('Assets'!$F$4:$F$503,_calc!$E$133)),TEXT(INDEX('Assets'!$F$4:$F$503,_calc!$E$133),"yyyy-mm-dd"),""))</f>
        <v/>
      </c>
      <c r="E131" s="44">
        <f>IF(_calc!$E$133="","",IF(LEN(INDEX('Assets'!$O$4:$O$503,_calc!$E$133))=0,"",INDEX('Assets'!$O$4:$O$503,_calc!$E$133)))</f>
        <v/>
      </c>
      <c r="F131" s="44">
        <f>IF(_calc!$E$133="","",TRIM(IF(LEN(IF(LEN(INDEX('Assets'!$B$4:$B$503,_calc!$E$133))=0,"",INDEX('Assets'!$B$4:$B$503,_calc!$E$133)))=0,"","Asset ID: "&amp;IF(LEN(INDEX('Assets'!$B$4:$B$503,_calc!$E$133))=0,"",INDEX('Assets'!$B$4:$B$503,_calc!$E$133))&amp;". ")&amp;IF(LEN(IF(LEN(INDEX('Assets'!$C$4:$C$503,_calc!$E$133))=0,"",INDEX('Assets'!$C$4:$C$503,_calc!$E$133)))=0,"","Location: "&amp;IF(LEN(INDEX('Assets'!$C$4:$C$503,_calc!$E$133))=0,"",INDEX('Assets'!$C$4:$C$503,_calc!$E$133))&amp;". ")&amp;IF(LEN(IF(LEN(INDEX('Assets'!$E$4:$E$503,_calc!$E$133))=0,"",INDEX('Assets'!$E$4:$E$503,_calc!$E$133)))=0,"","Every (months): "&amp;IF(LEN(INDEX('Assets'!$E$4:$E$503,_calc!$E$133))=0,"",INDEX('Assets'!$E$4:$E$503,_calc!$E$133))&amp;". ")&amp;IF(LEN(IF(LEN(INDEX('Assets'!$M$4:$M$503,_calc!$E$133))=0,"",INDEX('Assets'!$M$4:$M$503,_calc!$E$133)))=0,"","Last result: "&amp;IF(LEN(INDEX('Assets'!$M$4:$M$503,_calc!$E$133))=0,"",INDEX('Assets'!$M$4:$M$503,_calc!$E$133))&amp;". ")&amp;IF(LEN(IF(LEN(INDEX('Assets'!$Q$4:$Q$503,_calc!$E$133))=0,"",INDEX('Assets'!$Q$4:$Q$503,_calc!$E$133)))=0,"",IF(LEN(INDEX('Assets'!$Q$4:$Q$503,_calc!$E$133))=0,"",INDEX('Assets'!$Q$4:$Q$503,_calc!$E$133)))))</f>
        <v/>
      </c>
      <c r="G131" s="44">
        <f>IF(_calc!$E$133="","",IF(LEN(INDEX('Assets'!$P$4:$P$503,_calc!$E$133))=0,"",INDEX('Assets'!$P$4:$P$503,_calc!$E$133)))</f>
        <v/>
      </c>
      <c r="K131" s="44">
        <f>IF(_calc!$E$133="","",IF(LEN(INDEX('Assets'!$N$4:$N$503,_calc!$E$133))=0,"",INDEX('Assets'!$N$4:$N$503,_calc!$E$133)))</f>
        <v/>
      </c>
    </row>
    <row r="132">
      <c r="A132" s="44">
        <f>IF(_calc!$E$134="","",IF(LEN(INDEX('Assets'!$D$4:$D$503,_calc!$E$134))=0,"",INDEX('Assets'!$D$4:$D$503,_calc!$E$134))&amp;" – "&amp;IF(LEN(INDEX('Assets'!$A$4:$A$503,_calc!$E$134))=0,"",INDEX('Assets'!$A$4:$A$503,_calc!$E$134)))</f>
        <v/>
      </c>
      <c r="B132" s="44">
        <f>IF(_calc!$E$134="","",IF(ISNUMBER(INDEX('Assets'!$G$4:$G$503,_calc!$E$134)),TEXT(INDEX('Assets'!$G$4:$G$503,_calc!$E$134),"yyyy-mm-dd"),""))</f>
        <v/>
      </c>
      <c r="C132" s="44">
        <f>IF(_calc!$E$134="","","Inspection")</f>
        <v/>
      </c>
      <c r="D132" s="44">
        <f>IF(_calc!$E$134="","",IF(ISNUMBER(INDEX('Assets'!$F$4:$F$503,_calc!$E$134)),TEXT(INDEX('Assets'!$F$4:$F$503,_calc!$E$134),"yyyy-mm-dd"),""))</f>
        <v/>
      </c>
      <c r="E132" s="44">
        <f>IF(_calc!$E$134="","",IF(LEN(INDEX('Assets'!$O$4:$O$503,_calc!$E$134))=0,"",INDEX('Assets'!$O$4:$O$503,_calc!$E$134)))</f>
        <v/>
      </c>
      <c r="F132" s="44">
        <f>IF(_calc!$E$134="","",TRIM(IF(LEN(IF(LEN(INDEX('Assets'!$B$4:$B$503,_calc!$E$134))=0,"",INDEX('Assets'!$B$4:$B$503,_calc!$E$134)))=0,"","Asset ID: "&amp;IF(LEN(INDEX('Assets'!$B$4:$B$503,_calc!$E$134))=0,"",INDEX('Assets'!$B$4:$B$503,_calc!$E$134))&amp;". ")&amp;IF(LEN(IF(LEN(INDEX('Assets'!$C$4:$C$503,_calc!$E$134))=0,"",INDEX('Assets'!$C$4:$C$503,_calc!$E$134)))=0,"","Location: "&amp;IF(LEN(INDEX('Assets'!$C$4:$C$503,_calc!$E$134))=0,"",INDEX('Assets'!$C$4:$C$503,_calc!$E$134))&amp;". ")&amp;IF(LEN(IF(LEN(INDEX('Assets'!$E$4:$E$503,_calc!$E$134))=0,"",INDEX('Assets'!$E$4:$E$503,_calc!$E$134)))=0,"","Every (months): "&amp;IF(LEN(INDEX('Assets'!$E$4:$E$503,_calc!$E$134))=0,"",INDEX('Assets'!$E$4:$E$503,_calc!$E$134))&amp;". ")&amp;IF(LEN(IF(LEN(INDEX('Assets'!$M$4:$M$503,_calc!$E$134))=0,"",INDEX('Assets'!$M$4:$M$503,_calc!$E$134)))=0,"","Last result: "&amp;IF(LEN(INDEX('Assets'!$M$4:$M$503,_calc!$E$134))=0,"",INDEX('Assets'!$M$4:$M$503,_calc!$E$134))&amp;". ")&amp;IF(LEN(IF(LEN(INDEX('Assets'!$Q$4:$Q$503,_calc!$E$134))=0,"",INDEX('Assets'!$Q$4:$Q$503,_calc!$E$134)))=0,"",IF(LEN(INDEX('Assets'!$Q$4:$Q$503,_calc!$E$134))=0,"",INDEX('Assets'!$Q$4:$Q$503,_calc!$E$134)))))</f>
        <v/>
      </c>
      <c r="G132" s="44">
        <f>IF(_calc!$E$134="","",IF(LEN(INDEX('Assets'!$P$4:$P$503,_calc!$E$134))=0,"",INDEX('Assets'!$P$4:$P$503,_calc!$E$134)))</f>
        <v/>
      </c>
      <c r="K132" s="44">
        <f>IF(_calc!$E$134="","",IF(LEN(INDEX('Assets'!$N$4:$N$503,_calc!$E$134))=0,"",INDEX('Assets'!$N$4:$N$503,_calc!$E$134)))</f>
        <v/>
      </c>
    </row>
    <row r="133">
      <c r="A133" s="44">
        <f>IF(_calc!$E$135="","",IF(LEN(INDEX('Assets'!$D$4:$D$503,_calc!$E$135))=0,"",INDEX('Assets'!$D$4:$D$503,_calc!$E$135))&amp;" – "&amp;IF(LEN(INDEX('Assets'!$A$4:$A$503,_calc!$E$135))=0,"",INDEX('Assets'!$A$4:$A$503,_calc!$E$135)))</f>
        <v/>
      </c>
      <c r="B133" s="44">
        <f>IF(_calc!$E$135="","",IF(ISNUMBER(INDEX('Assets'!$G$4:$G$503,_calc!$E$135)),TEXT(INDEX('Assets'!$G$4:$G$503,_calc!$E$135),"yyyy-mm-dd"),""))</f>
        <v/>
      </c>
      <c r="C133" s="44">
        <f>IF(_calc!$E$135="","","Inspection")</f>
        <v/>
      </c>
      <c r="D133" s="44">
        <f>IF(_calc!$E$135="","",IF(ISNUMBER(INDEX('Assets'!$F$4:$F$503,_calc!$E$135)),TEXT(INDEX('Assets'!$F$4:$F$503,_calc!$E$135),"yyyy-mm-dd"),""))</f>
        <v/>
      </c>
      <c r="E133" s="44">
        <f>IF(_calc!$E$135="","",IF(LEN(INDEX('Assets'!$O$4:$O$503,_calc!$E$135))=0,"",INDEX('Assets'!$O$4:$O$503,_calc!$E$135)))</f>
        <v/>
      </c>
      <c r="F133" s="44">
        <f>IF(_calc!$E$135="","",TRIM(IF(LEN(IF(LEN(INDEX('Assets'!$B$4:$B$503,_calc!$E$135))=0,"",INDEX('Assets'!$B$4:$B$503,_calc!$E$135)))=0,"","Asset ID: "&amp;IF(LEN(INDEX('Assets'!$B$4:$B$503,_calc!$E$135))=0,"",INDEX('Assets'!$B$4:$B$503,_calc!$E$135))&amp;". ")&amp;IF(LEN(IF(LEN(INDEX('Assets'!$C$4:$C$503,_calc!$E$135))=0,"",INDEX('Assets'!$C$4:$C$503,_calc!$E$135)))=0,"","Location: "&amp;IF(LEN(INDEX('Assets'!$C$4:$C$503,_calc!$E$135))=0,"",INDEX('Assets'!$C$4:$C$503,_calc!$E$135))&amp;". ")&amp;IF(LEN(IF(LEN(INDEX('Assets'!$E$4:$E$503,_calc!$E$135))=0,"",INDEX('Assets'!$E$4:$E$503,_calc!$E$135)))=0,"","Every (months): "&amp;IF(LEN(INDEX('Assets'!$E$4:$E$503,_calc!$E$135))=0,"",INDEX('Assets'!$E$4:$E$503,_calc!$E$135))&amp;". ")&amp;IF(LEN(IF(LEN(INDEX('Assets'!$M$4:$M$503,_calc!$E$135))=0,"",INDEX('Assets'!$M$4:$M$503,_calc!$E$135)))=0,"","Last result: "&amp;IF(LEN(INDEX('Assets'!$M$4:$M$503,_calc!$E$135))=0,"",INDEX('Assets'!$M$4:$M$503,_calc!$E$135))&amp;". ")&amp;IF(LEN(IF(LEN(INDEX('Assets'!$Q$4:$Q$503,_calc!$E$135))=0,"",INDEX('Assets'!$Q$4:$Q$503,_calc!$E$135)))=0,"",IF(LEN(INDEX('Assets'!$Q$4:$Q$503,_calc!$E$135))=0,"",INDEX('Assets'!$Q$4:$Q$503,_calc!$E$135)))))</f>
        <v/>
      </c>
      <c r="G133" s="44">
        <f>IF(_calc!$E$135="","",IF(LEN(INDEX('Assets'!$P$4:$P$503,_calc!$E$135))=0,"",INDEX('Assets'!$P$4:$P$503,_calc!$E$135)))</f>
        <v/>
      </c>
      <c r="K133" s="44">
        <f>IF(_calc!$E$135="","",IF(LEN(INDEX('Assets'!$N$4:$N$503,_calc!$E$135))=0,"",INDEX('Assets'!$N$4:$N$503,_calc!$E$135)))</f>
        <v/>
      </c>
    </row>
    <row r="134">
      <c r="A134" s="44">
        <f>IF(_calc!$E$136="","",IF(LEN(INDEX('Assets'!$D$4:$D$503,_calc!$E$136))=0,"",INDEX('Assets'!$D$4:$D$503,_calc!$E$136))&amp;" – "&amp;IF(LEN(INDEX('Assets'!$A$4:$A$503,_calc!$E$136))=0,"",INDEX('Assets'!$A$4:$A$503,_calc!$E$136)))</f>
        <v/>
      </c>
      <c r="B134" s="44">
        <f>IF(_calc!$E$136="","",IF(ISNUMBER(INDEX('Assets'!$G$4:$G$503,_calc!$E$136)),TEXT(INDEX('Assets'!$G$4:$G$503,_calc!$E$136),"yyyy-mm-dd"),""))</f>
        <v/>
      </c>
      <c r="C134" s="44">
        <f>IF(_calc!$E$136="","","Inspection")</f>
        <v/>
      </c>
      <c r="D134" s="44">
        <f>IF(_calc!$E$136="","",IF(ISNUMBER(INDEX('Assets'!$F$4:$F$503,_calc!$E$136)),TEXT(INDEX('Assets'!$F$4:$F$503,_calc!$E$136),"yyyy-mm-dd"),""))</f>
        <v/>
      </c>
      <c r="E134" s="44">
        <f>IF(_calc!$E$136="","",IF(LEN(INDEX('Assets'!$O$4:$O$503,_calc!$E$136))=0,"",INDEX('Assets'!$O$4:$O$503,_calc!$E$136)))</f>
        <v/>
      </c>
      <c r="F134" s="44">
        <f>IF(_calc!$E$136="","",TRIM(IF(LEN(IF(LEN(INDEX('Assets'!$B$4:$B$503,_calc!$E$136))=0,"",INDEX('Assets'!$B$4:$B$503,_calc!$E$136)))=0,"","Asset ID: "&amp;IF(LEN(INDEX('Assets'!$B$4:$B$503,_calc!$E$136))=0,"",INDEX('Assets'!$B$4:$B$503,_calc!$E$136))&amp;". ")&amp;IF(LEN(IF(LEN(INDEX('Assets'!$C$4:$C$503,_calc!$E$136))=0,"",INDEX('Assets'!$C$4:$C$503,_calc!$E$136)))=0,"","Location: "&amp;IF(LEN(INDEX('Assets'!$C$4:$C$503,_calc!$E$136))=0,"",INDEX('Assets'!$C$4:$C$503,_calc!$E$136))&amp;". ")&amp;IF(LEN(IF(LEN(INDEX('Assets'!$E$4:$E$503,_calc!$E$136))=0,"",INDEX('Assets'!$E$4:$E$503,_calc!$E$136)))=0,"","Every (months): "&amp;IF(LEN(INDEX('Assets'!$E$4:$E$503,_calc!$E$136))=0,"",INDEX('Assets'!$E$4:$E$503,_calc!$E$136))&amp;". ")&amp;IF(LEN(IF(LEN(INDEX('Assets'!$M$4:$M$503,_calc!$E$136))=0,"",INDEX('Assets'!$M$4:$M$503,_calc!$E$136)))=0,"","Last result: "&amp;IF(LEN(INDEX('Assets'!$M$4:$M$503,_calc!$E$136))=0,"",INDEX('Assets'!$M$4:$M$503,_calc!$E$136))&amp;". ")&amp;IF(LEN(IF(LEN(INDEX('Assets'!$Q$4:$Q$503,_calc!$E$136))=0,"",INDEX('Assets'!$Q$4:$Q$503,_calc!$E$136)))=0,"",IF(LEN(INDEX('Assets'!$Q$4:$Q$503,_calc!$E$136))=0,"",INDEX('Assets'!$Q$4:$Q$503,_calc!$E$136)))))</f>
        <v/>
      </c>
      <c r="G134" s="44">
        <f>IF(_calc!$E$136="","",IF(LEN(INDEX('Assets'!$P$4:$P$503,_calc!$E$136))=0,"",INDEX('Assets'!$P$4:$P$503,_calc!$E$136)))</f>
        <v/>
      </c>
      <c r="K134" s="44">
        <f>IF(_calc!$E$136="","",IF(LEN(INDEX('Assets'!$N$4:$N$503,_calc!$E$136))=0,"",INDEX('Assets'!$N$4:$N$503,_calc!$E$136)))</f>
        <v/>
      </c>
    </row>
    <row r="135">
      <c r="A135" s="44">
        <f>IF(_calc!$E$137="","",IF(LEN(INDEX('Assets'!$D$4:$D$503,_calc!$E$137))=0,"",INDEX('Assets'!$D$4:$D$503,_calc!$E$137))&amp;" – "&amp;IF(LEN(INDEX('Assets'!$A$4:$A$503,_calc!$E$137))=0,"",INDEX('Assets'!$A$4:$A$503,_calc!$E$137)))</f>
        <v/>
      </c>
      <c r="B135" s="44">
        <f>IF(_calc!$E$137="","",IF(ISNUMBER(INDEX('Assets'!$G$4:$G$503,_calc!$E$137)),TEXT(INDEX('Assets'!$G$4:$G$503,_calc!$E$137),"yyyy-mm-dd"),""))</f>
        <v/>
      </c>
      <c r="C135" s="44">
        <f>IF(_calc!$E$137="","","Inspection")</f>
        <v/>
      </c>
      <c r="D135" s="44">
        <f>IF(_calc!$E$137="","",IF(ISNUMBER(INDEX('Assets'!$F$4:$F$503,_calc!$E$137)),TEXT(INDEX('Assets'!$F$4:$F$503,_calc!$E$137),"yyyy-mm-dd"),""))</f>
        <v/>
      </c>
      <c r="E135" s="44">
        <f>IF(_calc!$E$137="","",IF(LEN(INDEX('Assets'!$O$4:$O$503,_calc!$E$137))=0,"",INDEX('Assets'!$O$4:$O$503,_calc!$E$137)))</f>
        <v/>
      </c>
      <c r="F135" s="44">
        <f>IF(_calc!$E$137="","",TRIM(IF(LEN(IF(LEN(INDEX('Assets'!$B$4:$B$503,_calc!$E$137))=0,"",INDEX('Assets'!$B$4:$B$503,_calc!$E$137)))=0,"","Asset ID: "&amp;IF(LEN(INDEX('Assets'!$B$4:$B$503,_calc!$E$137))=0,"",INDEX('Assets'!$B$4:$B$503,_calc!$E$137))&amp;". ")&amp;IF(LEN(IF(LEN(INDEX('Assets'!$C$4:$C$503,_calc!$E$137))=0,"",INDEX('Assets'!$C$4:$C$503,_calc!$E$137)))=0,"","Location: "&amp;IF(LEN(INDEX('Assets'!$C$4:$C$503,_calc!$E$137))=0,"",INDEX('Assets'!$C$4:$C$503,_calc!$E$137))&amp;". ")&amp;IF(LEN(IF(LEN(INDEX('Assets'!$E$4:$E$503,_calc!$E$137))=0,"",INDEX('Assets'!$E$4:$E$503,_calc!$E$137)))=0,"","Every (months): "&amp;IF(LEN(INDEX('Assets'!$E$4:$E$503,_calc!$E$137))=0,"",INDEX('Assets'!$E$4:$E$503,_calc!$E$137))&amp;". ")&amp;IF(LEN(IF(LEN(INDEX('Assets'!$M$4:$M$503,_calc!$E$137))=0,"",INDEX('Assets'!$M$4:$M$503,_calc!$E$137)))=0,"","Last result: "&amp;IF(LEN(INDEX('Assets'!$M$4:$M$503,_calc!$E$137))=0,"",INDEX('Assets'!$M$4:$M$503,_calc!$E$137))&amp;". ")&amp;IF(LEN(IF(LEN(INDEX('Assets'!$Q$4:$Q$503,_calc!$E$137))=0,"",INDEX('Assets'!$Q$4:$Q$503,_calc!$E$137)))=0,"",IF(LEN(INDEX('Assets'!$Q$4:$Q$503,_calc!$E$137))=0,"",INDEX('Assets'!$Q$4:$Q$503,_calc!$E$137)))))</f>
        <v/>
      </c>
      <c r="G135" s="44">
        <f>IF(_calc!$E$137="","",IF(LEN(INDEX('Assets'!$P$4:$P$503,_calc!$E$137))=0,"",INDEX('Assets'!$P$4:$P$503,_calc!$E$137)))</f>
        <v/>
      </c>
      <c r="K135" s="44">
        <f>IF(_calc!$E$137="","",IF(LEN(INDEX('Assets'!$N$4:$N$503,_calc!$E$137))=0,"",INDEX('Assets'!$N$4:$N$503,_calc!$E$137)))</f>
        <v/>
      </c>
    </row>
    <row r="136">
      <c r="A136" s="44">
        <f>IF(_calc!$E$138="","",IF(LEN(INDEX('Assets'!$D$4:$D$503,_calc!$E$138))=0,"",INDEX('Assets'!$D$4:$D$503,_calc!$E$138))&amp;" – "&amp;IF(LEN(INDEX('Assets'!$A$4:$A$503,_calc!$E$138))=0,"",INDEX('Assets'!$A$4:$A$503,_calc!$E$138)))</f>
        <v/>
      </c>
      <c r="B136" s="44">
        <f>IF(_calc!$E$138="","",IF(ISNUMBER(INDEX('Assets'!$G$4:$G$503,_calc!$E$138)),TEXT(INDEX('Assets'!$G$4:$G$503,_calc!$E$138),"yyyy-mm-dd"),""))</f>
        <v/>
      </c>
      <c r="C136" s="44">
        <f>IF(_calc!$E$138="","","Inspection")</f>
        <v/>
      </c>
      <c r="D136" s="44">
        <f>IF(_calc!$E$138="","",IF(ISNUMBER(INDEX('Assets'!$F$4:$F$503,_calc!$E$138)),TEXT(INDEX('Assets'!$F$4:$F$503,_calc!$E$138),"yyyy-mm-dd"),""))</f>
        <v/>
      </c>
      <c r="E136" s="44">
        <f>IF(_calc!$E$138="","",IF(LEN(INDEX('Assets'!$O$4:$O$503,_calc!$E$138))=0,"",INDEX('Assets'!$O$4:$O$503,_calc!$E$138)))</f>
        <v/>
      </c>
      <c r="F136" s="44">
        <f>IF(_calc!$E$138="","",TRIM(IF(LEN(IF(LEN(INDEX('Assets'!$B$4:$B$503,_calc!$E$138))=0,"",INDEX('Assets'!$B$4:$B$503,_calc!$E$138)))=0,"","Asset ID: "&amp;IF(LEN(INDEX('Assets'!$B$4:$B$503,_calc!$E$138))=0,"",INDEX('Assets'!$B$4:$B$503,_calc!$E$138))&amp;". ")&amp;IF(LEN(IF(LEN(INDEX('Assets'!$C$4:$C$503,_calc!$E$138))=0,"",INDEX('Assets'!$C$4:$C$503,_calc!$E$138)))=0,"","Location: "&amp;IF(LEN(INDEX('Assets'!$C$4:$C$503,_calc!$E$138))=0,"",INDEX('Assets'!$C$4:$C$503,_calc!$E$138))&amp;". ")&amp;IF(LEN(IF(LEN(INDEX('Assets'!$E$4:$E$503,_calc!$E$138))=0,"",INDEX('Assets'!$E$4:$E$503,_calc!$E$138)))=0,"","Every (months): "&amp;IF(LEN(INDEX('Assets'!$E$4:$E$503,_calc!$E$138))=0,"",INDEX('Assets'!$E$4:$E$503,_calc!$E$138))&amp;". ")&amp;IF(LEN(IF(LEN(INDEX('Assets'!$M$4:$M$503,_calc!$E$138))=0,"",INDEX('Assets'!$M$4:$M$503,_calc!$E$138)))=0,"","Last result: "&amp;IF(LEN(INDEX('Assets'!$M$4:$M$503,_calc!$E$138))=0,"",INDEX('Assets'!$M$4:$M$503,_calc!$E$138))&amp;". ")&amp;IF(LEN(IF(LEN(INDEX('Assets'!$Q$4:$Q$503,_calc!$E$138))=0,"",INDEX('Assets'!$Q$4:$Q$503,_calc!$E$138)))=0,"",IF(LEN(INDEX('Assets'!$Q$4:$Q$503,_calc!$E$138))=0,"",INDEX('Assets'!$Q$4:$Q$503,_calc!$E$138)))))</f>
        <v/>
      </c>
      <c r="G136" s="44">
        <f>IF(_calc!$E$138="","",IF(LEN(INDEX('Assets'!$P$4:$P$503,_calc!$E$138))=0,"",INDEX('Assets'!$P$4:$P$503,_calc!$E$138)))</f>
        <v/>
      </c>
      <c r="K136" s="44">
        <f>IF(_calc!$E$138="","",IF(LEN(INDEX('Assets'!$N$4:$N$503,_calc!$E$138))=0,"",INDEX('Assets'!$N$4:$N$503,_calc!$E$138)))</f>
        <v/>
      </c>
    </row>
    <row r="137">
      <c r="A137" s="44">
        <f>IF(_calc!$E$139="","",IF(LEN(INDEX('Assets'!$D$4:$D$503,_calc!$E$139))=0,"",INDEX('Assets'!$D$4:$D$503,_calc!$E$139))&amp;" – "&amp;IF(LEN(INDEX('Assets'!$A$4:$A$503,_calc!$E$139))=0,"",INDEX('Assets'!$A$4:$A$503,_calc!$E$139)))</f>
        <v/>
      </c>
      <c r="B137" s="44">
        <f>IF(_calc!$E$139="","",IF(ISNUMBER(INDEX('Assets'!$G$4:$G$503,_calc!$E$139)),TEXT(INDEX('Assets'!$G$4:$G$503,_calc!$E$139),"yyyy-mm-dd"),""))</f>
        <v/>
      </c>
      <c r="C137" s="44">
        <f>IF(_calc!$E$139="","","Inspection")</f>
        <v/>
      </c>
      <c r="D137" s="44">
        <f>IF(_calc!$E$139="","",IF(ISNUMBER(INDEX('Assets'!$F$4:$F$503,_calc!$E$139)),TEXT(INDEX('Assets'!$F$4:$F$503,_calc!$E$139),"yyyy-mm-dd"),""))</f>
        <v/>
      </c>
      <c r="E137" s="44">
        <f>IF(_calc!$E$139="","",IF(LEN(INDEX('Assets'!$O$4:$O$503,_calc!$E$139))=0,"",INDEX('Assets'!$O$4:$O$503,_calc!$E$139)))</f>
        <v/>
      </c>
      <c r="F137" s="44">
        <f>IF(_calc!$E$139="","",TRIM(IF(LEN(IF(LEN(INDEX('Assets'!$B$4:$B$503,_calc!$E$139))=0,"",INDEX('Assets'!$B$4:$B$503,_calc!$E$139)))=0,"","Asset ID: "&amp;IF(LEN(INDEX('Assets'!$B$4:$B$503,_calc!$E$139))=0,"",INDEX('Assets'!$B$4:$B$503,_calc!$E$139))&amp;". ")&amp;IF(LEN(IF(LEN(INDEX('Assets'!$C$4:$C$503,_calc!$E$139))=0,"",INDEX('Assets'!$C$4:$C$503,_calc!$E$139)))=0,"","Location: "&amp;IF(LEN(INDEX('Assets'!$C$4:$C$503,_calc!$E$139))=0,"",INDEX('Assets'!$C$4:$C$503,_calc!$E$139))&amp;". ")&amp;IF(LEN(IF(LEN(INDEX('Assets'!$E$4:$E$503,_calc!$E$139))=0,"",INDEX('Assets'!$E$4:$E$503,_calc!$E$139)))=0,"","Every (months): "&amp;IF(LEN(INDEX('Assets'!$E$4:$E$503,_calc!$E$139))=0,"",INDEX('Assets'!$E$4:$E$503,_calc!$E$139))&amp;". ")&amp;IF(LEN(IF(LEN(INDEX('Assets'!$M$4:$M$503,_calc!$E$139))=0,"",INDEX('Assets'!$M$4:$M$503,_calc!$E$139)))=0,"","Last result: "&amp;IF(LEN(INDEX('Assets'!$M$4:$M$503,_calc!$E$139))=0,"",INDEX('Assets'!$M$4:$M$503,_calc!$E$139))&amp;". ")&amp;IF(LEN(IF(LEN(INDEX('Assets'!$Q$4:$Q$503,_calc!$E$139))=0,"",INDEX('Assets'!$Q$4:$Q$503,_calc!$E$139)))=0,"",IF(LEN(INDEX('Assets'!$Q$4:$Q$503,_calc!$E$139))=0,"",INDEX('Assets'!$Q$4:$Q$503,_calc!$E$139)))))</f>
        <v/>
      </c>
      <c r="G137" s="44">
        <f>IF(_calc!$E$139="","",IF(LEN(INDEX('Assets'!$P$4:$P$503,_calc!$E$139))=0,"",INDEX('Assets'!$P$4:$P$503,_calc!$E$139)))</f>
        <v/>
      </c>
      <c r="K137" s="44">
        <f>IF(_calc!$E$139="","",IF(LEN(INDEX('Assets'!$N$4:$N$503,_calc!$E$139))=0,"",INDEX('Assets'!$N$4:$N$503,_calc!$E$139)))</f>
        <v/>
      </c>
    </row>
    <row r="138">
      <c r="A138" s="44">
        <f>IF(_calc!$E$140="","",IF(LEN(INDEX('Assets'!$D$4:$D$503,_calc!$E$140))=0,"",INDEX('Assets'!$D$4:$D$503,_calc!$E$140))&amp;" – "&amp;IF(LEN(INDEX('Assets'!$A$4:$A$503,_calc!$E$140))=0,"",INDEX('Assets'!$A$4:$A$503,_calc!$E$140)))</f>
        <v/>
      </c>
      <c r="B138" s="44">
        <f>IF(_calc!$E$140="","",IF(ISNUMBER(INDEX('Assets'!$G$4:$G$503,_calc!$E$140)),TEXT(INDEX('Assets'!$G$4:$G$503,_calc!$E$140),"yyyy-mm-dd"),""))</f>
        <v/>
      </c>
      <c r="C138" s="44">
        <f>IF(_calc!$E$140="","","Inspection")</f>
        <v/>
      </c>
      <c r="D138" s="44">
        <f>IF(_calc!$E$140="","",IF(ISNUMBER(INDEX('Assets'!$F$4:$F$503,_calc!$E$140)),TEXT(INDEX('Assets'!$F$4:$F$503,_calc!$E$140),"yyyy-mm-dd"),""))</f>
        <v/>
      </c>
      <c r="E138" s="44">
        <f>IF(_calc!$E$140="","",IF(LEN(INDEX('Assets'!$O$4:$O$503,_calc!$E$140))=0,"",INDEX('Assets'!$O$4:$O$503,_calc!$E$140)))</f>
        <v/>
      </c>
      <c r="F138" s="44">
        <f>IF(_calc!$E$140="","",TRIM(IF(LEN(IF(LEN(INDEX('Assets'!$B$4:$B$503,_calc!$E$140))=0,"",INDEX('Assets'!$B$4:$B$503,_calc!$E$140)))=0,"","Asset ID: "&amp;IF(LEN(INDEX('Assets'!$B$4:$B$503,_calc!$E$140))=0,"",INDEX('Assets'!$B$4:$B$503,_calc!$E$140))&amp;". ")&amp;IF(LEN(IF(LEN(INDEX('Assets'!$C$4:$C$503,_calc!$E$140))=0,"",INDEX('Assets'!$C$4:$C$503,_calc!$E$140)))=0,"","Location: "&amp;IF(LEN(INDEX('Assets'!$C$4:$C$503,_calc!$E$140))=0,"",INDEX('Assets'!$C$4:$C$503,_calc!$E$140))&amp;". ")&amp;IF(LEN(IF(LEN(INDEX('Assets'!$E$4:$E$503,_calc!$E$140))=0,"",INDEX('Assets'!$E$4:$E$503,_calc!$E$140)))=0,"","Every (months): "&amp;IF(LEN(INDEX('Assets'!$E$4:$E$503,_calc!$E$140))=0,"",INDEX('Assets'!$E$4:$E$503,_calc!$E$140))&amp;". ")&amp;IF(LEN(IF(LEN(INDEX('Assets'!$M$4:$M$503,_calc!$E$140))=0,"",INDEX('Assets'!$M$4:$M$503,_calc!$E$140)))=0,"","Last result: "&amp;IF(LEN(INDEX('Assets'!$M$4:$M$503,_calc!$E$140))=0,"",INDEX('Assets'!$M$4:$M$503,_calc!$E$140))&amp;". ")&amp;IF(LEN(IF(LEN(INDEX('Assets'!$Q$4:$Q$503,_calc!$E$140))=0,"",INDEX('Assets'!$Q$4:$Q$503,_calc!$E$140)))=0,"",IF(LEN(INDEX('Assets'!$Q$4:$Q$503,_calc!$E$140))=0,"",INDEX('Assets'!$Q$4:$Q$503,_calc!$E$140)))))</f>
        <v/>
      </c>
      <c r="G138" s="44">
        <f>IF(_calc!$E$140="","",IF(LEN(INDEX('Assets'!$P$4:$P$503,_calc!$E$140))=0,"",INDEX('Assets'!$P$4:$P$503,_calc!$E$140)))</f>
        <v/>
      </c>
      <c r="K138" s="44">
        <f>IF(_calc!$E$140="","",IF(LEN(INDEX('Assets'!$N$4:$N$503,_calc!$E$140))=0,"",INDEX('Assets'!$N$4:$N$503,_calc!$E$140)))</f>
        <v/>
      </c>
    </row>
    <row r="139">
      <c r="A139" s="44">
        <f>IF(_calc!$E$141="","",IF(LEN(INDEX('Assets'!$D$4:$D$503,_calc!$E$141))=0,"",INDEX('Assets'!$D$4:$D$503,_calc!$E$141))&amp;" – "&amp;IF(LEN(INDEX('Assets'!$A$4:$A$503,_calc!$E$141))=0,"",INDEX('Assets'!$A$4:$A$503,_calc!$E$141)))</f>
        <v/>
      </c>
      <c r="B139" s="44">
        <f>IF(_calc!$E$141="","",IF(ISNUMBER(INDEX('Assets'!$G$4:$G$503,_calc!$E$141)),TEXT(INDEX('Assets'!$G$4:$G$503,_calc!$E$141),"yyyy-mm-dd"),""))</f>
        <v/>
      </c>
      <c r="C139" s="44">
        <f>IF(_calc!$E$141="","","Inspection")</f>
        <v/>
      </c>
      <c r="D139" s="44">
        <f>IF(_calc!$E$141="","",IF(ISNUMBER(INDEX('Assets'!$F$4:$F$503,_calc!$E$141)),TEXT(INDEX('Assets'!$F$4:$F$503,_calc!$E$141),"yyyy-mm-dd"),""))</f>
        <v/>
      </c>
      <c r="E139" s="44">
        <f>IF(_calc!$E$141="","",IF(LEN(INDEX('Assets'!$O$4:$O$503,_calc!$E$141))=0,"",INDEX('Assets'!$O$4:$O$503,_calc!$E$141)))</f>
        <v/>
      </c>
      <c r="F139" s="44">
        <f>IF(_calc!$E$141="","",TRIM(IF(LEN(IF(LEN(INDEX('Assets'!$B$4:$B$503,_calc!$E$141))=0,"",INDEX('Assets'!$B$4:$B$503,_calc!$E$141)))=0,"","Asset ID: "&amp;IF(LEN(INDEX('Assets'!$B$4:$B$503,_calc!$E$141))=0,"",INDEX('Assets'!$B$4:$B$503,_calc!$E$141))&amp;". ")&amp;IF(LEN(IF(LEN(INDEX('Assets'!$C$4:$C$503,_calc!$E$141))=0,"",INDEX('Assets'!$C$4:$C$503,_calc!$E$141)))=0,"","Location: "&amp;IF(LEN(INDEX('Assets'!$C$4:$C$503,_calc!$E$141))=0,"",INDEX('Assets'!$C$4:$C$503,_calc!$E$141))&amp;". ")&amp;IF(LEN(IF(LEN(INDEX('Assets'!$E$4:$E$503,_calc!$E$141))=0,"",INDEX('Assets'!$E$4:$E$503,_calc!$E$141)))=0,"","Every (months): "&amp;IF(LEN(INDEX('Assets'!$E$4:$E$503,_calc!$E$141))=0,"",INDEX('Assets'!$E$4:$E$503,_calc!$E$141))&amp;". ")&amp;IF(LEN(IF(LEN(INDEX('Assets'!$M$4:$M$503,_calc!$E$141))=0,"",INDEX('Assets'!$M$4:$M$503,_calc!$E$141)))=0,"","Last result: "&amp;IF(LEN(INDEX('Assets'!$M$4:$M$503,_calc!$E$141))=0,"",INDEX('Assets'!$M$4:$M$503,_calc!$E$141))&amp;". ")&amp;IF(LEN(IF(LEN(INDEX('Assets'!$Q$4:$Q$503,_calc!$E$141))=0,"",INDEX('Assets'!$Q$4:$Q$503,_calc!$E$141)))=0,"",IF(LEN(INDEX('Assets'!$Q$4:$Q$503,_calc!$E$141))=0,"",INDEX('Assets'!$Q$4:$Q$503,_calc!$E$141)))))</f>
        <v/>
      </c>
      <c r="G139" s="44">
        <f>IF(_calc!$E$141="","",IF(LEN(INDEX('Assets'!$P$4:$P$503,_calc!$E$141))=0,"",INDEX('Assets'!$P$4:$P$503,_calc!$E$141)))</f>
        <v/>
      </c>
      <c r="K139" s="44">
        <f>IF(_calc!$E$141="","",IF(LEN(INDEX('Assets'!$N$4:$N$503,_calc!$E$141))=0,"",INDEX('Assets'!$N$4:$N$503,_calc!$E$141)))</f>
        <v/>
      </c>
    </row>
    <row r="140">
      <c r="A140" s="44">
        <f>IF(_calc!$E$142="","",IF(LEN(INDEX('Assets'!$D$4:$D$503,_calc!$E$142))=0,"",INDEX('Assets'!$D$4:$D$503,_calc!$E$142))&amp;" – "&amp;IF(LEN(INDEX('Assets'!$A$4:$A$503,_calc!$E$142))=0,"",INDEX('Assets'!$A$4:$A$503,_calc!$E$142)))</f>
        <v/>
      </c>
      <c r="B140" s="44">
        <f>IF(_calc!$E$142="","",IF(ISNUMBER(INDEX('Assets'!$G$4:$G$503,_calc!$E$142)),TEXT(INDEX('Assets'!$G$4:$G$503,_calc!$E$142),"yyyy-mm-dd"),""))</f>
        <v/>
      </c>
      <c r="C140" s="44">
        <f>IF(_calc!$E$142="","","Inspection")</f>
        <v/>
      </c>
      <c r="D140" s="44">
        <f>IF(_calc!$E$142="","",IF(ISNUMBER(INDEX('Assets'!$F$4:$F$503,_calc!$E$142)),TEXT(INDEX('Assets'!$F$4:$F$503,_calc!$E$142),"yyyy-mm-dd"),""))</f>
        <v/>
      </c>
      <c r="E140" s="44">
        <f>IF(_calc!$E$142="","",IF(LEN(INDEX('Assets'!$O$4:$O$503,_calc!$E$142))=0,"",INDEX('Assets'!$O$4:$O$503,_calc!$E$142)))</f>
        <v/>
      </c>
      <c r="F140" s="44">
        <f>IF(_calc!$E$142="","",TRIM(IF(LEN(IF(LEN(INDEX('Assets'!$B$4:$B$503,_calc!$E$142))=0,"",INDEX('Assets'!$B$4:$B$503,_calc!$E$142)))=0,"","Asset ID: "&amp;IF(LEN(INDEX('Assets'!$B$4:$B$503,_calc!$E$142))=0,"",INDEX('Assets'!$B$4:$B$503,_calc!$E$142))&amp;". ")&amp;IF(LEN(IF(LEN(INDEX('Assets'!$C$4:$C$503,_calc!$E$142))=0,"",INDEX('Assets'!$C$4:$C$503,_calc!$E$142)))=0,"","Location: "&amp;IF(LEN(INDEX('Assets'!$C$4:$C$503,_calc!$E$142))=0,"",INDEX('Assets'!$C$4:$C$503,_calc!$E$142))&amp;". ")&amp;IF(LEN(IF(LEN(INDEX('Assets'!$E$4:$E$503,_calc!$E$142))=0,"",INDEX('Assets'!$E$4:$E$503,_calc!$E$142)))=0,"","Every (months): "&amp;IF(LEN(INDEX('Assets'!$E$4:$E$503,_calc!$E$142))=0,"",INDEX('Assets'!$E$4:$E$503,_calc!$E$142))&amp;". ")&amp;IF(LEN(IF(LEN(INDEX('Assets'!$M$4:$M$503,_calc!$E$142))=0,"",INDEX('Assets'!$M$4:$M$503,_calc!$E$142)))=0,"","Last result: "&amp;IF(LEN(INDEX('Assets'!$M$4:$M$503,_calc!$E$142))=0,"",INDEX('Assets'!$M$4:$M$503,_calc!$E$142))&amp;". ")&amp;IF(LEN(IF(LEN(INDEX('Assets'!$Q$4:$Q$503,_calc!$E$142))=0,"",INDEX('Assets'!$Q$4:$Q$503,_calc!$E$142)))=0,"",IF(LEN(INDEX('Assets'!$Q$4:$Q$503,_calc!$E$142))=0,"",INDEX('Assets'!$Q$4:$Q$503,_calc!$E$142)))))</f>
        <v/>
      </c>
      <c r="G140" s="44">
        <f>IF(_calc!$E$142="","",IF(LEN(INDEX('Assets'!$P$4:$P$503,_calc!$E$142))=0,"",INDEX('Assets'!$P$4:$P$503,_calc!$E$142)))</f>
        <v/>
      </c>
      <c r="K140" s="44">
        <f>IF(_calc!$E$142="","",IF(LEN(INDEX('Assets'!$N$4:$N$503,_calc!$E$142))=0,"",INDEX('Assets'!$N$4:$N$503,_calc!$E$142)))</f>
        <v/>
      </c>
    </row>
    <row r="141">
      <c r="A141" s="44">
        <f>IF(_calc!$E$143="","",IF(LEN(INDEX('Assets'!$D$4:$D$503,_calc!$E$143))=0,"",INDEX('Assets'!$D$4:$D$503,_calc!$E$143))&amp;" – "&amp;IF(LEN(INDEX('Assets'!$A$4:$A$503,_calc!$E$143))=0,"",INDEX('Assets'!$A$4:$A$503,_calc!$E$143)))</f>
        <v/>
      </c>
      <c r="B141" s="44">
        <f>IF(_calc!$E$143="","",IF(ISNUMBER(INDEX('Assets'!$G$4:$G$503,_calc!$E$143)),TEXT(INDEX('Assets'!$G$4:$G$503,_calc!$E$143),"yyyy-mm-dd"),""))</f>
        <v/>
      </c>
      <c r="C141" s="44">
        <f>IF(_calc!$E$143="","","Inspection")</f>
        <v/>
      </c>
      <c r="D141" s="44">
        <f>IF(_calc!$E$143="","",IF(ISNUMBER(INDEX('Assets'!$F$4:$F$503,_calc!$E$143)),TEXT(INDEX('Assets'!$F$4:$F$503,_calc!$E$143),"yyyy-mm-dd"),""))</f>
        <v/>
      </c>
      <c r="E141" s="44">
        <f>IF(_calc!$E$143="","",IF(LEN(INDEX('Assets'!$O$4:$O$503,_calc!$E$143))=0,"",INDEX('Assets'!$O$4:$O$503,_calc!$E$143)))</f>
        <v/>
      </c>
      <c r="F141" s="44">
        <f>IF(_calc!$E$143="","",TRIM(IF(LEN(IF(LEN(INDEX('Assets'!$B$4:$B$503,_calc!$E$143))=0,"",INDEX('Assets'!$B$4:$B$503,_calc!$E$143)))=0,"","Asset ID: "&amp;IF(LEN(INDEX('Assets'!$B$4:$B$503,_calc!$E$143))=0,"",INDEX('Assets'!$B$4:$B$503,_calc!$E$143))&amp;". ")&amp;IF(LEN(IF(LEN(INDEX('Assets'!$C$4:$C$503,_calc!$E$143))=0,"",INDEX('Assets'!$C$4:$C$503,_calc!$E$143)))=0,"","Location: "&amp;IF(LEN(INDEX('Assets'!$C$4:$C$503,_calc!$E$143))=0,"",INDEX('Assets'!$C$4:$C$503,_calc!$E$143))&amp;". ")&amp;IF(LEN(IF(LEN(INDEX('Assets'!$E$4:$E$503,_calc!$E$143))=0,"",INDEX('Assets'!$E$4:$E$503,_calc!$E$143)))=0,"","Every (months): "&amp;IF(LEN(INDEX('Assets'!$E$4:$E$503,_calc!$E$143))=0,"",INDEX('Assets'!$E$4:$E$503,_calc!$E$143))&amp;". ")&amp;IF(LEN(IF(LEN(INDEX('Assets'!$M$4:$M$503,_calc!$E$143))=0,"",INDEX('Assets'!$M$4:$M$503,_calc!$E$143)))=0,"","Last result: "&amp;IF(LEN(INDEX('Assets'!$M$4:$M$503,_calc!$E$143))=0,"",INDEX('Assets'!$M$4:$M$503,_calc!$E$143))&amp;". ")&amp;IF(LEN(IF(LEN(INDEX('Assets'!$Q$4:$Q$503,_calc!$E$143))=0,"",INDEX('Assets'!$Q$4:$Q$503,_calc!$E$143)))=0,"",IF(LEN(INDEX('Assets'!$Q$4:$Q$503,_calc!$E$143))=0,"",INDEX('Assets'!$Q$4:$Q$503,_calc!$E$143)))))</f>
        <v/>
      </c>
      <c r="G141" s="44">
        <f>IF(_calc!$E$143="","",IF(LEN(INDEX('Assets'!$P$4:$P$503,_calc!$E$143))=0,"",INDEX('Assets'!$P$4:$P$503,_calc!$E$143)))</f>
        <v/>
      </c>
      <c r="K141" s="44">
        <f>IF(_calc!$E$143="","",IF(LEN(INDEX('Assets'!$N$4:$N$503,_calc!$E$143))=0,"",INDEX('Assets'!$N$4:$N$503,_calc!$E$143)))</f>
        <v/>
      </c>
    </row>
    <row r="142">
      <c r="A142" s="44">
        <f>IF(_calc!$E$144="","",IF(LEN(INDEX('Assets'!$D$4:$D$503,_calc!$E$144))=0,"",INDEX('Assets'!$D$4:$D$503,_calc!$E$144))&amp;" – "&amp;IF(LEN(INDEX('Assets'!$A$4:$A$503,_calc!$E$144))=0,"",INDEX('Assets'!$A$4:$A$503,_calc!$E$144)))</f>
        <v/>
      </c>
      <c r="B142" s="44">
        <f>IF(_calc!$E$144="","",IF(ISNUMBER(INDEX('Assets'!$G$4:$G$503,_calc!$E$144)),TEXT(INDEX('Assets'!$G$4:$G$503,_calc!$E$144),"yyyy-mm-dd"),""))</f>
        <v/>
      </c>
      <c r="C142" s="44">
        <f>IF(_calc!$E$144="","","Inspection")</f>
        <v/>
      </c>
      <c r="D142" s="44">
        <f>IF(_calc!$E$144="","",IF(ISNUMBER(INDEX('Assets'!$F$4:$F$503,_calc!$E$144)),TEXT(INDEX('Assets'!$F$4:$F$503,_calc!$E$144),"yyyy-mm-dd"),""))</f>
        <v/>
      </c>
      <c r="E142" s="44">
        <f>IF(_calc!$E$144="","",IF(LEN(INDEX('Assets'!$O$4:$O$503,_calc!$E$144))=0,"",INDEX('Assets'!$O$4:$O$503,_calc!$E$144)))</f>
        <v/>
      </c>
      <c r="F142" s="44">
        <f>IF(_calc!$E$144="","",TRIM(IF(LEN(IF(LEN(INDEX('Assets'!$B$4:$B$503,_calc!$E$144))=0,"",INDEX('Assets'!$B$4:$B$503,_calc!$E$144)))=0,"","Asset ID: "&amp;IF(LEN(INDEX('Assets'!$B$4:$B$503,_calc!$E$144))=0,"",INDEX('Assets'!$B$4:$B$503,_calc!$E$144))&amp;". ")&amp;IF(LEN(IF(LEN(INDEX('Assets'!$C$4:$C$503,_calc!$E$144))=0,"",INDEX('Assets'!$C$4:$C$503,_calc!$E$144)))=0,"","Location: "&amp;IF(LEN(INDEX('Assets'!$C$4:$C$503,_calc!$E$144))=0,"",INDEX('Assets'!$C$4:$C$503,_calc!$E$144))&amp;". ")&amp;IF(LEN(IF(LEN(INDEX('Assets'!$E$4:$E$503,_calc!$E$144))=0,"",INDEX('Assets'!$E$4:$E$503,_calc!$E$144)))=0,"","Every (months): "&amp;IF(LEN(INDEX('Assets'!$E$4:$E$503,_calc!$E$144))=0,"",INDEX('Assets'!$E$4:$E$503,_calc!$E$144))&amp;". ")&amp;IF(LEN(IF(LEN(INDEX('Assets'!$M$4:$M$503,_calc!$E$144))=0,"",INDEX('Assets'!$M$4:$M$503,_calc!$E$144)))=0,"","Last result: "&amp;IF(LEN(INDEX('Assets'!$M$4:$M$503,_calc!$E$144))=0,"",INDEX('Assets'!$M$4:$M$503,_calc!$E$144))&amp;". ")&amp;IF(LEN(IF(LEN(INDEX('Assets'!$Q$4:$Q$503,_calc!$E$144))=0,"",INDEX('Assets'!$Q$4:$Q$503,_calc!$E$144)))=0,"",IF(LEN(INDEX('Assets'!$Q$4:$Q$503,_calc!$E$144))=0,"",INDEX('Assets'!$Q$4:$Q$503,_calc!$E$144)))))</f>
        <v/>
      </c>
      <c r="G142" s="44">
        <f>IF(_calc!$E$144="","",IF(LEN(INDEX('Assets'!$P$4:$P$503,_calc!$E$144))=0,"",INDEX('Assets'!$P$4:$P$503,_calc!$E$144)))</f>
        <v/>
      </c>
      <c r="K142" s="44">
        <f>IF(_calc!$E$144="","",IF(LEN(INDEX('Assets'!$N$4:$N$503,_calc!$E$144))=0,"",INDEX('Assets'!$N$4:$N$503,_calc!$E$144)))</f>
        <v/>
      </c>
    </row>
    <row r="143">
      <c r="A143" s="44">
        <f>IF(_calc!$E$145="","",IF(LEN(INDEX('Assets'!$D$4:$D$503,_calc!$E$145))=0,"",INDEX('Assets'!$D$4:$D$503,_calc!$E$145))&amp;" – "&amp;IF(LEN(INDEX('Assets'!$A$4:$A$503,_calc!$E$145))=0,"",INDEX('Assets'!$A$4:$A$503,_calc!$E$145)))</f>
        <v/>
      </c>
      <c r="B143" s="44">
        <f>IF(_calc!$E$145="","",IF(ISNUMBER(INDEX('Assets'!$G$4:$G$503,_calc!$E$145)),TEXT(INDEX('Assets'!$G$4:$G$503,_calc!$E$145),"yyyy-mm-dd"),""))</f>
        <v/>
      </c>
      <c r="C143" s="44">
        <f>IF(_calc!$E$145="","","Inspection")</f>
        <v/>
      </c>
      <c r="D143" s="44">
        <f>IF(_calc!$E$145="","",IF(ISNUMBER(INDEX('Assets'!$F$4:$F$503,_calc!$E$145)),TEXT(INDEX('Assets'!$F$4:$F$503,_calc!$E$145),"yyyy-mm-dd"),""))</f>
        <v/>
      </c>
      <c r="E143" s="44">
        <f>IF(_calc!$E$145="","",IF(LEN(INDEX('Assets'!$O$4:$O$503,_calc!$E$145))=0,"",INDEX('Assets'!$O$4:$O$503,_calc!$E$145)))</f>
        <v/>
      </c>
      <c r="F143" s="44">
        <f>IF(_calc!$E$145="","",TRIM(IF(LEN(IF(LEN(INDEX('Assets'!$B$4:$B$503,_calc!$E$145))=0,"",INDEX('Assets'!$B$4:$B$503,_calc!$E$145)))=0,"","Asset ID: "&amp;IF(LEN(INDEX('Assets'!$B$4:$B$503,_calc!$E$145))=0,"",INDEX('Assets'!$B$4:$B$503,_calc!$E$145))&amp;". ")&amp;IF(LEN(IF(LEN(INDEX('Assets'!$C$4:$C$503,_calc!$E$145))=0,"",INDEX('Assets'!$C$4:$C$503,_calc!$E$145)))=0,"","Location: "&amp;IF(LEN(INDEX('Assets'!$C$4:$C$503,_calc!$E$145))=0,"",INDEX('Assets'!$C$4:$C$503,_calc!$E$145))&amp;". ")&amp;IF(LEN(IF(LEN(INDEX('Assets'!$E$4:$E$503,_calc!$E$145))=0,"",INDEX('Assets'!$E$4:$E$503,_calc!$E$145)))=0,"","Every (months): "&amp;IF(LEN(INDEX('Assets'!$E$4:$E$503,_calc!$E$145))=0,"",INDEX('Assets'!$E$4:$E$503,_calc!$E$145))&amp;". ")&amp;IF(LEN(IF(LEN(INDEX('Assets'!$M$4:$M$503,_calc!$E$145))=0,"",INDEX('Assets'!$M$4:$M$503,_calc!$E$145)))=0,"","Last result: "&amp;IF(LEN(INDEX('Assets'!$M$4:$M$503,_calc!$E$145))=0,"",INDEX('Assets'!$M$4:$M$503,_calc!$E$145))&amp;". ")&amp;IF(LEN(IF(LEN(INDEX('Assets'!$Q$4:$Q$503,_calc!$E$145))=0,"",INDEX('Assets'!$Q$4:$Q$503,_calc!$E$145)))=0,"",IF(LEN(INDEX('Assets'!$Q$4:$Q$503,_calc!$E$145))=0,"",INDEX('Assets'!$Q$4:$Q$503,_calc!$E$145)))))</f>
        <v/>
      </c>
      <c r="G143" s="44">
        <f>IF(_calc!$E$145="","",IF(LEN(INDEX('Assets'!$P$4:$P$503,_calc!$E$145))=0,"",INDEX('Assets'!$P$4:$P$503,_calc!$E$145)))</f>
        <v/>
      </c>
      <c r="K143" s="44">
        <f>IF(_calc!$E$145="","",IF(LEN(INDEX('Assets'!$N$4:$N$503,_calc!$E$145))=0,"",INDEX('Assets'!$N$4:$N$503,_calc!$E$145)))</f>
        <v/>
      </c>
    </row>
    <row r="144">
      <c r="A144" s="44">
        <f>IF(_calc!$E$146="","",IF(LEN(INDEX('Assets'!$D$4:$D$503,_calc!$E$146))=0,"",INDEX('Assets'!$D$4:$D$503,_calc!$E$146))&amp;" – "&amp;IF(LEN(INDEX('Assets'!$A$4:$A$503,_calc!$E$146))=0,"",INDEX('Assets'!$A$4:$A$503,_calc!$E$146)))</f>
        <v/>
      </c>
      <c r="B144" s="44">
        <f>IF(_calc!$E$146="","",IF(ISNUMBER(INDEX('Assets'!$G$4:$G$503,_calc!$E$146)),TEXT(INDEX('Assets'!$G$4:$G$503,_calc!$E$146),"yyyy-mm-dd"),""))</f>
        <v/>
      </c>
      <c r="C144" s="44">
        <f>IF(_calc!$E$146="","","Inspection")</f>
        <v/>
      </c>
      <c r="D144" s="44">
        <f>IF(_calc!$E$146="","",IF(ISNUMBER(INDEX('Assets'!$F$4:$F$503,_calc!$E$146)),TEXT(INDEX('Assets'!$F$4:$F$503,_calc!$E$146),"yyyy-mm-dd"),""))</f>
        <v/>
      </c>
      <c r="E144" s="44">
        <f>IF(_calc!$E$146="","",IF(LEN(INDEX('Assets'!$O$4:$O$503,_calc!$E$146))=0,"",INDEX('Assets'!$O$4:$O$503,_calc!$E$146)))</f>
        <v/>
      </c>
      <c r="F144" s="44">
        <f>IF(_calc!$E$146="","",TRIM(IF(LEN(IF(LEN(INDEX('Assets'!$B$4:$B$503,_calc!$E$146))=0,"",INDEX('Assets'!$B$4:$B$503,_calc!$E$146)))=0,"","Asset ID: "&amp;IF(LEN(INDEX('Assets'!$B$4:$B$503,_calc!$E$146))=0,"",INDEX('Assets'!$B$4:$B$503,_calc!$E$146))&amp;". ")&amp;IF(LEN(IF(LEN(INDEX('Assets'!$C$4:$C$503,_calc!$E$146))=0,"",INDEX('Assets'!$C$4:$C$503,_calc!$E$146)))=0,"","Location: "&amp;IF(LEN(INDEX('Assets'!$C$4:$C$503,_calc!$E$146))=0,"",INDEX('Assets'!$C$4:$C$503,_calc!$E$146))&amp;". ")&amp;IF(LEN(IF(LEN(INDEX('Assets'!$E$4:$E$503,_calc!$E$146))=0,"",INDEX('Assets'!$E$4:$E$503,_calc!$E$146)))=0,"","Every (months): "&amp;IF(LEN(INDEX('Assets'!$E$4:$E$503,_calc!$E$146))=0,"",INDEX('Assets'!$E$4:$E$503,_calc!$E$146))&amp;". ")&amp;IF(LEN(IF(LEN(INDEX('Assets'!$M$4:$M$503,_calc!$E$146))=0,"",INDEX('Assets'!$M$4:$M$503,_calc!$E$146)))=0,"","Last result: "&amp;IF(LEN(INDEX('Assets'!$M$4:$M$503,_calc!$E$146))=0,"",INDEX('Assets'!$M$4:$M$503,_calc!$E$146))&amp;". ")&amp;IF(LEN(IF(LEN(INDEX('Assets'!$Q$4:$Q$503,_calc!$E$146))=0,"",INDEX('Assets'!$Q$4:$Q$503,_calc!$E$146)))=0,"",IF(LEN(INDEX('Assets'!$Q$4:$Q$503,_calc!$E$146))=0,"",INDEX('Assets'!$Q$4:$Q$503,_calc!$E$146)))))</f>
        <v/>
      </c>
      <c r="G144" s="44">
        <f>IF(_calc!$E$146="","",IF(LEN(INDEX('Assets'!$P$4:$P$503,_calc!$E$146))=0,"",INDEX('Assets'!$P$4:$P$503,_calc!$E$146)))</f>
        <v/>
      </c>
      <c r="K144" s="44">
        <f>IF(_calc!$E$146="","",IF(LEN(INDEX('Assets'!$N$4:$N$503,_calc!$E$146))=0,"",INDEX('Assets'!$N$4:$N$503,_calc!$E$146)))</f>
        <v/>
      </c>
    </row>
    <row r="145">
      <c r="A145" s="44">
        <f>IF(_calc!$E$147="","",IF(LEN(INDEX('Assets'!$D$4:$D$503,_calc!$E$147))=0,"",INDEX('Assets'!$D$4:$D$503,_calc!$E$147))&amp;" – "&amp;IF(LEN(INDEX('Assets'!$A$4:$A$503,_calc!$E$147))=0,"",INDEX('Assets'!$A$4:$A$503,_calc!$E$147)))</f>
        <v/>
      </c>
      <c r="B145" s="44">
        <f>IF(_calc!$E$147="","",IF(ISNUMBER(INDEX('Assets'!$G$4:$G$503,_calc!$E$147)),TEXT(INDEX('Assets'!$G$4:$G$503,_calc!$E$147),"yyyy-mm-dd"),""))</f>
        <v/>
      </c>
      <c r="C145" s="44">
        <f>IF(_calc!$E$147="","","Inspection")</f>
        <v/>
      </c>
      <c r="D145" s="44">
        <f>IF(_calc!$E$147="","",IF(ISNUMBER(INDEX('Assets'!$F$4:$F$503,_calc!$E$147)),TEXT(INDEX('Assets'!$F$4:$F$503,_calc!$E$147),"yyyy-mm-dd"),""))</f>
        <v/>
      </c>
      <c r="E145" s="44">
        <f>IF(_calc!$E$147="","",IF(LEN(INDEX('Assets'!$O$4:$O$503,_calc!$E$147))=0,"",INDEX('Assets'!$O$4:$O$503,_calc!$E$147)))</f>
        <v/>
      </c>
      <c r="F145" s="44">
        <f>IF(_calc!$E$147="","",TRIM(IF(LEN(IF(LEN(INDEX('Assets'!$B$4:$B$503,_calc!$E$147))=0,"",INDEX('Assets'!$B$4:$B$503,_calc!$E$147)))=0,"","Asset ID: "&amp;IF(LEN(INDEX('Assets'!$B$4:$B$503,_calc!$E$147))=0,"",INDEX('Assets'!$B$4:$B$503,_calc!$E$147))&amp;". ")&amp;IF(LEN(IF(LEN(INDEX('Assets'!$C$4:$C$503,_calc!$E$147))=0,"",INDEX('Assets'!$C$4:$C$503,_calc!$E$147)))=0,"","Location: "&amp;IF(LEN(INDEX('Assets'!$C$4:$C$503,_calc!$E$147))=0,"",INDEX('Assets'!$C$4:$C$503,_calc!$E$147))&amp;". ")&amp;IF(LEN(IF(LEN(INDEX('Assets'!$E$4:$E$503,_calc!$E$147))=0,"",INDEX('Assets'!$E$4:$E$503,_calc!$E$147)))=0,"","Every (months): "&amp;IF(LEN(INDEX('Assets'!$E$4:$E$503,_calc!$E$147))=0,"",INDEX('Assets'!$E$4:$E$503,_calc!$E$147))&amp;". ")&amp;IF(LEN(IF(LEN(INDEX('Assets'!$M$4:$M$503,_calc!$E$147))=0,"",INDEX('Assets'!$M$4:$M$503,_calc!$E$147)))=0,"","Last result: "&amp;IF(LEN(INDEX('Assets'!$M$4:$M$503,_calc!$E$147))=0,"",INDEX('Assets'!$M$4:$M$503,_calc!$E$147))&amp;". ")&amp;IF(LEN(IF(LEN(INDEX('Assets'!$Q$4:$Q$503,_calc!$E$147))=0,"",INDEX('Assets'!$Q$4:$Q$503,_calc!$E$147)))=0,"",IF(LEN(INDEX('Assets'!$Q$4:$Q$503,_calc!$E$147))=0,"",INDEX('Assets'!$Q$4:$Q$503,_calc!$E$147)))))</f>
        <v/>
      </c>
      <c r="G145" s="44">
        <f>IF(_calc!$E$147="","",IF(LEN(INDEX('Assets'!$P$4:$P$503,_calc!$E$147))=0,"",INDEX('Assets'!$P$4:$P$503,_calc!$E$147)))</f>
        <v/>
      </c>
      <c r="K145" s="44">
        <f>IF(_calc!$E$147="","",IF(LEN(INDEX('Assets'!$N$4:$N$503,_calc!$E$147))=0,"",INDEX('Assets'!$N$4:$N$503,_calc!$E$147)))</f>
        <v/>
      </c>
    </row>
    <row r="146">
      <c r="A146" s="44">
        <f>IF(_calc!$E$148="","",IF(LEN(INDEX('Assets'!$D$4:$D$503,_calc!$E$148))=0,"",INDEX('Assets'!$D$4:$D$503,_calc!$E$148))&amp;" – "&amp;IF(LEN(INDEX('Assets'!$A$4:$A$503,_calc!$E$148))=0,"",INDEX('Assets'!$A$4:$A$503,_calc!$E$148)))</f>
        <v/>
      </c>
      <c r="B146" s="44">
        <f>IF(_calc!$E$148="","",IF(ISNUMBER(INDEX('Assets'!$G$4:$G$503,_calc!$E$148)),TEXT(INDEX('Assets'!$G$4:$G$503,_calc!$E$148),"yyyy-mm-dd"),""))</f>
        <v/>
      </c>
      <c r="C146" s="44">
        <f>IF(_calc!$E$148="","","Inspection")</f>
        <v/>
      </c>
      <c r="D146" s="44">
        <f>IF(_calc!$E$148="","",IF(ISNUMBER(INDEX('Assets'!$F$4:$F$503,_calc!$E$148)),TEXT(INDEX('Assets'!$F$4:$F$503,_calc!$E$148),"yyyy-mm-dd"),""))</f>
        <v/>
      </c>
      <c r="E146" s="44">
        <f>IF(_calc!$E$148="","",IF(LEN(INDEX('Assets'!$O$4:$O$503,_calc!$E$148))=0,"",INDEX('Assets'!$O$4:$O$503,_calc!$E$148)))</f>
        <v/>
      </c>
      <c r="F146" s="44">
        <f>IF(_calc!$E$148="","",TRIM(IF(LEN(IF(LEN(INDEX('Assets'!$B$4:$B$503,_calc!$E$148))=0,"",INDEX('Assets'!$B$4:$B$503,_calc!$E$148)))=0,"","Asset ID: "&amp;IF(LEN(INDEX('Assets'!$B$4:$B$503,_calc!$E$148))=0,"",INDEX('Assets'!$B$4:$B$503,_calc!$E$148))&amp;". ")&amp;IF(LEN(IF(LEN(INDEX('Assets'!$C$4:$C$503,_calc!$E$148))=0,"",INDEX('Assets'!$C$4:$C$503,_calc!$E$148)))=0,"","Location: "&amp;IF(LEN(INDEX('Assets'!$C$4:$C$503,_calc!$E$148))=0,"",INDEX('Assets'!$C$4:$C$503,_calc!$E$148))&amp;". ")&amp;IF(LEN(IF(LEN(INDEX('Assets'!$E$4:$E$503,_calc!$E$148))=0,"",INDEX('Assets'!$E$4:$E$503,_calc!$E$148)))=0,"","Every (months): "&amp;IF(LEN(INDEX('Assets'!$E$4:$E$503,_calc!$E$148))=0,"",INDEX('Assets'!$E$4:$E$503,_calc!$E$148))&amp;". ")&amp;IF(LEN(IF(LEN(INDEX('Assets'!$M$4:$M$503,_calc!$E$148))=0,"",INDEX('Assets'!$M$4:$M$503,_calc!$E$148)))=0,"","Last result: "&amp;IF(LEN(INDEX('Assets'!$M$4:$M$503,_calc!$E$148))=0,"",INDEX('Assets'!$M$4:$M$503,_calc!$E$148))&amp;". ")&amp;IF(LEN(IF(LEN(INDEX('Assets'!$Q$4:$Q$503,_calc!$E$148))=0,"",INDEX('Assets'!$Q$4:$Q$503,_calc!$E$148)))=0,"",IF(LEN(INDEX('Assets'!$Q$4:$Q$503,_calc!$E$148))=0,"",INDEX('Assets'!$Q$4:$Q$503,_calc!$E$148)))))</f>
        <v/>
      </c>
      <c r="G146" s="44">
        <f>IF(_calc!$E$148="","",IF(LEN(INDEX('Assets'!$P$4:$P$503,_calc!$E$148))=0,"",INDEX('Assets'!$P$4:$P$503,_calc!$E$148)))</f>
        <v/>
      </c>
      <c r="K146" s="44">
        <f>IF(_calc!$E$148="","",IF(LEN(INDEX('Assets'!$N$4:$N$503,_calc!$E$148))=0,"",INDEX('Assets'!$N$4:$N$503,_calc!$E$148)))</f>
        <v/>
      </c>
    </row>
    <row r="147">
      <c r="A147" s="44">
        <f>IF(_calc!$E$149="","",IF(LEN(INDEX('Assets'!$D$4:$D$503,_calc!$E$149))=0,"",INDEX('Assets'!$D$4:$D$503,_calc!$E$149))&amp;" – "&amp;IF(LEN(INDEX('Assets'!$A$4:$A$503,_calc!$E$149))=0,"",INDEX('Assets'!$A$4:$A$503,_calc!$E$149)))</f>
        <v/>
      </c>
      <c r="B147" s="44">
        <f>IF(_calc!$E$149="","",IF(ISNUMBER(INDEX('Assets'!$G$4:$G$503,_calc!$E$149)),TEXT(INDEX('Assets'!$G$4:$G$503,_calc!$E$149),"yyyy-mm-dd"),""))</f>
        <v/>
      </c>
      <c r="C147" s="44">
        <f>IF(_calc!$E$149="","","Inspection")</f>
        <v/>
      </c>
      <c r="D147" s="44">
        <f>IF(_calc!$E$149="","",IF(ISNUMBER(INDEX('Assets'!$F$4:$F$503,_calc!$E$149)),TEXT(INDEX('Assets'!$F$4:$F$503,_calc!$E$149),"yyyy-mm-dd"),""))</f>
        <v/>
      </c>
      <c r="E147" s="44">
        <f>IF(_calc!$E$149="","",IF(LEN(INDEX('Assets'!$O$4:$O$503,_calc!$E$149))=0,"",INDEX('Assets'!$O$4:$O$503,_calc!$E$149)))</f>
        <v/>
      </c>
      <c r="F147" s="44">
        <f>IF(_calc!$E$149="","",TRIM(IF(LEN(IF(LEN(INDEX('Assets'!$B$4:$B$503,_calc!$E$149))=0,"",INDEX('Assets'!$B$4:$B$503,_calc!$E$149)))=0,"","Asset ID: "&amp;IF(LEN(INDEX('Assets'!$B$4:$B$503,_calc!$E$149))=0,"",INDEX('Assets'!$B$4:$B$503,_calc!$E$149))&amp;". ")&amp;IF(LEN(IF(LEN(INDEX('Assets'!$C$4:$C$503,_calc!$E$149))=0,"",INDEX('Assets'!$C$4:$C$503,_calc!$E$149)))=0,"","Location: "&amp;IF(LEN(INDEX('Assets'!$C$4:$C$503,_calc!$E$149))=0,"",INDEX('Assets'!$C$4:$C$503,_calc!$E$149))&amp;". ")&amp;IF(LEN(IF(LEN(INDEX('Assets'!$E$4:$E$503,_calc!$E$149))=0,"",INDEX('Assets'!$E$4:$E$503,_calc!$E$149)))=0,"","Every (months): "&amp;IF(LEN(INDEX('Assets'!$E$4:$E$503,_calc!$E$149))=0,"",INDEX('Assets'!$E$4:$E$503,_calc!$E$149))&amp;". ")&amp;IF(LEN(IF(LEN(INDEX('Assets'!$M$4:$M$503,_calc!$E$149))=0,"",INDEX('Assets'!$M$4:$M$503,_calc!$E$149)))=0,"","Last result: "&amp;IF(LEN(INDEX('Assets'!$M$4:$M$503,_calc!$E$149))=0,"",INDEX('Assets'!$M$4:$M$503,_calc!$E$149))&amp;". ")&amp;IF(LEN(IF(LEN(INDEX('Assets'!$Q$4:$Q$503,_calc!$E$149))=0,"",INDEX('Assets'!$Q$4:$Q$503,_calc!$E$149)))=0,"",IF(LEN(INDEX('Assets'!$Q$4:$Q$503,_calc!$E$149))=0,"",INDEX('Assets'!$Q$4:$Q$503,_calc!$E$149)))))</f>
        <v/>
      </c>
      <c r="G147" s="44">
        <f>IF(_calc!$E$149="","",IF(LEN(INDEX('Assets'!$P$4:$P$503,_calc!$E$149))=0,"",INDEX('Assets'!$P$4:$P$503,_calc!$E$149)))</f>
        <v/>
      </c>
      <c r="K147" s="44">
        <f>IF(_calc!$E$149="","",IF(LEN(INDEX('Assets'!$N$4:$N$503,_calc!$E$149))=0,"",INDEX('Assets'!$N$4:$N$503,_calc!$E$149)))</f>
        <v/>
      </c>
    </row>
    <row r="148">
      <c r="A148" s="44">
        <f>IF(_calc!$E$150="","",IF(LEN(INDEX('Assets'!$D$4:$D$503,_calc!$E$150))=0,"",INDEX('Assets'!$D$4:$D$503,_calc!$E$150))&amp;" – "&amp;IF(LEN(INDEX('Assets'!$A$4:$A$503,_calc!$E$150))=0,"",INDEX('Assets'!$A$4:$A$503,_calc!$E$150)))</f>
        <v/>
      </c>
      <c r="B148" s="44">
        <f>IF(_calc!$E$150="","",IF(ISNUMBER(INDEX('Assets'!$G$4:$G$503,_calc!$E$150)),TEXT(INDEX('Assets'!$G$4:$G$503,_calc!$E$150),"yyyy-mm-dd"),""))</f>
        <v/>
      </c>
      <c r="C148" s="44">
        <f>IF(_calc!$E$150="","","Inspection")</f>
        <v/>
      </c>
      <c r="D148" s="44">
        <f>IF(_calc!$E$150="","",IF(ISNUMBER(INDEX('Assets'!$F$4:$F$503,_calc!$E$150)),TEXT(INDEX('Assets'!$F$4:$F$503,_calc!$E$150),"yyyy-mm-dd"),""))</f>
        <v/>
      </c>
      <c r="E148" s="44">
        <f>IF(_calc!$E$150="","",IF(LEN(INDEX('Assets'!$O$4:$O$503,_calc!$E$150))=0,"",INDEX('Assets'!$O$4:$O$503,_calc!$E$150)))</f>
        <v/>
      </c>
      <c r="F148" s="44">
        <f>IF(_calc!$E$150="","",TRIM(IF(LEN(IF(LEN(INDEX('Assets'!$B$4:$B$503,_calc!$E$150))=0,"",INDEX('Assets'!$B$4:$B$503,_calc!$E$150)))=0,"","Asset ID: "&amp;IF(LEN(INDEX('Assets'!$B$4:$B$503,_calc!$E$150))=0,"",INDEX('Assets'!$B$4:$B$503,_calc!$E$150))&amp;". ")&amp;IF(LEN(IF(LEN(INDEX('Assets'!$C$4:$C$503,_calc!$E$150))=0,"",INDEX('Assets'!$C$4:$C$503,_calc!$E$150)))=0,"","Location: "&amp;IF(LEN(INDEX('Assets'!$C$4:$C$503,_calc!$E$150))=0,"",INDEX('Assets'!$C$4:$C$503,_calc!$E$150))&amp;". ")&amp;IF(LEN(IF(LEN(INDEX('Assets'!$E$4:$E$503,_calc!$E$150))=0,"",INDEX('Assets'!$E$4:$E$503,_calc!$E$150)))=0,"","Every (months): "&amp;IF(LEN(INDEX('Assets'!$E$4:$E$503,_calc!$E$150))=0,"",INDEX('Assets'!$E$4:$E$503,_calc!$E$150))&amp;". ")&amp;IF(LEN(IF(LEN(INDEX('Assets'!$M$4:$M$503,_calc!$E$150))=0,"",INDEX('Assets'!$M$4:$M$503,_calc!$E$150)))=0,"","Last result: "&amp;IF(LEN(INDEX('Assets'!$M$4:$M$503,_calc!$E$150))=0,"",INDEX('Assets'!$M$4:$M$503,_calc!$E$150))&amp;". ")&amp;IF(LEN(IF(LEN(INDEX('Assets'!$Q$4:$Q$503,_calc!$E$150))=0,"",INDEX('Assets'!$Q$4:$Q$503,_calc!$E$150)))=0,"",IF(LEN(INDEX('Assets'!$Q$4:$Q$503,_calc!$E$150))=0,"",INDEX('Assets'!$Q$4:$Q$503,_calc!$E$150)))))</f>
        <v/>
      </c>
      <c r="G148" s="44">
        <f>IF(_calc!$E$150="","",IF(LEN(INDEX('Assets'!$P$4:$P$503,_calc!$E$150))=0,"",INDEX('Assets'!$P$4:$P$503,_calc!$E$150)))</f>
        <v/>
      </c>
      <c r="K148" s="44">
        <f>IF(_calc!$E$150="","",IF(LEN(INDEX('Assets'!$N$4:$N$503,_calc!$E$150))=0,"",INDEX('Assets'!$N$4:$N$503,_calc!$E$150)))</f>
        <v/>
      </c>
    </row>
    <row r="149">
      <c r="A149" s="44">
        <f>IF(_calc!$E$151="","",IF(LEN(INDEX('Assets'!$D$4:$D$503,_calc!$E$151))=0,"",INDEX('Assets'!$D$4:$D$503,_calc!$E$151))&amp;" – "&amp;IF(LEN(INDEX('Assets'!$A$4:$A$503,_calc!$E$151))=0,"",INDEX('Assets'!$A$4:$A$503,_calc!$E$151)))</f>
        <v/>
      </c>
      <c r="B149" s="44">
        <f>IF(_calc!$E$151="","",IF(ISNUMBER(INDEX('Assets'!$G$4:$G$503,_calc!$E$151)),TEXT(INDEX('Assets'!$G$4:$G$503,_calc!$E$151),"yyyy-mm-dd"),""))</f>
        <v/>
      </c>
      <c r="C149" s="44">
        <f>IF(_calc!$E$151="","","Inspection")</f>
        <v/>
      </c>
      <c r="D149" s="44">
        <f>IF(_calc!$E$151="","",IF(ISNUMBER(INDEX('Assets'!$F$4:$F$503,_calc!$E$151)),TEXT(INDEX('Assets'!$F$4:$F$503,_calc!$E$151),"yyyy-mm-dd"),""))</f>
        <v/>
      </c>
      <c r="E149" s="44">
        <f>IF(_calc!$E$151="","",IF(LEN(INDEX('Assets'!$O$4:$O$503,_calc!$E$151))=0,"",INDEX('Assets'!$O$4:$O$503,_calc!$E$151)))</f>
        <v/>
      </c>
      <c r="F149" s="44">
        <f>IF(_calc!$E$151="","",TRIM(IF(LEN(IF(LEN(INDEX('Assets'!$B$4:$B$503,_calc!$E$151))=0,"",INDEX('Assets'!$B$4:$B$503,_calc!$E$151)))=0,"","Asset ID: "&amp;IF(LEN(INDEX('Assets'!$B$4:$B$503,_calc!$E$151))=0,"",INDEX('Assets'!$B$4:$B$503,_calc!$E$151))&amp;". ")&amp;IF(LEN(IF(LEN(INDEX('Assets'!$C$4:$C$503,_calc!$E$151))=0,"",INDEX('Assets'!$C$4:$C$503,_calc!$E$151)))=0,"","Location: "&amp;IF(LEN(INDEX('Assets'!$C$4:$C$503,_calc!$E$151))=0,"",INDEX('Assets'!$C$4:$C$503,_calc!$E$151))&amp;". ")&amp;IF(LEN(IF(LEN(INDEX('Assets'!$E$4:$E$503,_calc!$E$151))=0,"",INDEX('Assets'!$E$4:$E$503,_calc!$E$151)))=0,"","Every (months): "&amp;IF(LEN(INDEX('Assets'!$E$4:$E$503,_calc!$E$151))=0,"",INDEX('Assets'!$E$4:$E$503,_calc!$E$151))&amp;". ")&amp;IF(LEN(IF(LEN(INDEX('Assets'!$M$4:$M$503,_calc!$E$151))=0,"",INDEX('Assets'!$M$4:$M$503,_calc!$E$151)))=0,"","Last result: "&amp;IF(LEN(INDEX('Assets'!$M$4:$M$503,_calc!$E$151))=0,"",INDEX('Assets'!$M$4:$M$503,_calc!$E$151))&amp;". ")&amp;IF(LEN(IF(LEN(INDEX('Assets'!$Q$4:$Q$503,_calc!$E$151))=0,"",INDEX('Assets'!$Q$4:$Q$503,_calc!$E$151)))=0,"",IF(LEN(INDEX('Assets'!$Q$4:$Q$503,_calc!$E$151))=0,"",INDEX('Assets'!$Q$4:$Q$503,_calc!$E$151)))))</f>
        <v/>
      </c>
      <c r="G149" s="44">
        <f>IF(_calc!$E$151="","",IF(LEN(INDEX('Assets'!$P$4:$P$503,_calc!$E$151))=0,"",INDEX('Assets'!$P$4:$P$503,_calc!$E$151)))</f>
        <v/>
      </c>
      <c r="K149" s="44">
        <f>IF(_calc!$E$151="","",IF(LEN(INDEX('Assets'!$N$4:$N$503,_calc!$E$151))=0,"",INDEX('Assets'!$N$4:$N$503,_calc!$E$151)))</f>
        <v/>
      </c>
    </row>
    <row r="150">
      <c r="A150" s="44">
        <f>IF(_calc!$E$152="","",IF(LEN(INDEX('Assets'!$D$4:$D$503,_calc!$E$152))=0,"",INDEX('Assets'!$D$4:$D$503,_calc!$E$152))&amp;" – "&amp;IF(LEN(INDEX('Assets'!$A$4:$A$503,_calc!$E$152))=0,"",INDEX('Assets'!$A$4:$A$503,_calc!$E$152)))</f>
        <v/>
      </c>
      <c r="B150" s="44">
        <f>IF(_calc!$E$152="","",IF(ISNUMBER(INDEX('Assets'!$G$4:$G$503,_calc!$E$152)),TEXT(INDEX('Assets'!$G$4:$G$503,_calc!$E$152),"yyyy-mm-dd"),""))</f>
        <v/>
      </c>
      <c r="C150" s="44">
        <f>IF(_calc!$E$152="","","Inspection")</f>
        <v/>
      </c>
      <c r="D150" s="44">
        <f>IF(_calc!$E$152="","",IF(ISNUMBER(INDEX('Assets'!$F$4:$F$503,_calc!$E$152)),TEXT(INDEX('Assets'!$F$4:$F$503,_calc!$E$152),"yyyy-mm-dd"),""))</f>
        <v/>
      </c>
      <c r="E150" s="44">
        <f>IF(_calc!$E$152="","",IF(LEN(INDEX('Assets'!$O$4:$O$503,_calc!$E$152))=0,"",INDEX('Assets'!$O$4:$O$503,_calc!$E$152)))</f>
        <v/>
      </c>
      <c r="F150" s="44">
        <f>IF(_calc!$E$152="","",TRIM(IF(LEN(IF(LEN(INDEX('Assets'!$B$4:$B$503,_calc!$E$152))=0,"",INDEX('Assets'!$B$4:$B$503,_calc!$E$152)))=0,"","Asset ID: "&amp;IF(LEN(INDEX('Assets'!$B$4:$B$503,_calc!$E$152))=0,"",INDEX('Assets'!$B$4:$B$503,_calc!$E$152))&amp;". ")&amp;IF(LEN(IF(LEN(INDEX('Assets'!$C$4:$C$503,_calc!$E$152))=0,"",INDEX('Assets'!$C$4:$C$503,_calc!$E$152)))=0,"","Location: "&amp;IF(LEN(INDEX('Assets'!$C$4:$C$503,_calc!$E$152))=0,"",INDEX('Assets'!$C$4:$C$503,_calc!$E$152))&amp;". ")&amp;IF(LEN(IF(LEN(INDEX('Assets'!$E$4:$E$503,_calc!$E$152))=0,"",INDEX('Assets'!$E$4:$E$503,_calc!$E$152)))=0,"","Every (months): "&amp;IF(LEN(INDEX('Assets'!$E$4:$E$503,_calc!$E$152))=0,"",INDEX('Assets'!$E$4:$E$503,_calc!$E$152))&amp;". ")&amp;IF(LEN(IF(LEN(INDEX('Assets'!$M$4:$M$503,_calc!$E$152))=0,"",INDEX('Assets'!$M$4:$M$503,_calc!$E$152)))=0,"","Last result: "&amp;IF(LEN(INDEX('Assets'!$M$4:$M$503,_calc!$E$152))=0,"",INDEX('Assets'!$M$4:$M$503,_calc!$E$152))&amp;". ")&amp;IF(LEN(IF(LEN(INDEX('Assets'!$Q$4:$Q$503,_calc!$E$152))=0,"",INDEX('Assets'!$Q$4:$Q$503,_calc!$E$152)))=0,"",IF(LEN(INDEX('Assets'!$Q$4:$Q$503,_calc!$E$152))=0,"",INDEX('Assets'!$Q$4:$Q$503,_calc!$E$152)))))</f>
        <v/>
      </c>
      <c r="G150" s="44">
        <f>IF(_calc!$E$152="","",IF(LEN(INDEX('Assets'!$P$4:$P$503,_calc!$E$152))=0,"",INDEX('Assets'!$P$4:$P$503,_calc!$E$152)))</f>
        <v/>
      </c>
      <c r="K150" s="44">
        <f>IF(_calc!$E$152="","",IF(LEN(INDEX('Assets'!$N$4:$N$503,_calc!$E$152))=0,"",INDEX('Assets'!$N$4:$N$503,_calc!$E$152)))</f>
        <v/>
      </c>
    </row>
    <row r="151">
      <c r="A151" s="44">
        <f>IF(_calc!$E$153="","",IF(LEN(INDEX('Assets'!$D$4:$D$503,_calc!$E$153))=0,"",INDEX('Assets'!$D$4:$D$503,_calc!$E$153))&amp;" – "&amp;IF(LEN(INDEX('Assets'!$A$4:$A$503,_calc!$E$153))=0,"",INDEX('Assets'!$A$4:$A$503,_calc!$E$153)))</f>
        <v/>
      </c>
      <c r="B151" s="44">
        <f>IF(_calc!$E$153="","",IF(ISNUMBER(INDEX('Assets'!$G$4:$G$503,_calc!$E$153)),TEXT(INDEX('Assets'!$G$4:$G$503,_calc!$E$153),"yyyy-mm-dd"),""))</f>
        <v/>
      </c>
      <c r="C151" s="44">
        <f>IF(_calc!$E$153="","","Inspection")</f>
        <v/>
      </c>
      <c r="D151" s="44">
        <f>IF(_calc!$E$153="","",IF(ISNUMBER(INDEX('Assets'!$F$4:$F$503,_calc!$E$153)),TEXT(INDEX('Assets'!$F$4:$F$503,_calc!$E$153),"yyyy-mm-dd"),""))</f>
        <v/>
      </c>
      <c r="E151" s="44">
        <f>IF(_calc!$E$153="","",IF(LEN(INDEX('Assets'!$O$4:$O$503,_calc!$E$153))=0,"",INDEX('Assets'!$O$4:$O$503,_calc!$E$153)))</f>
        <v/>
      </c>
      <c r="F151" s="44">
        <f>IF(_calc!$E$153="","",TRIM(IF(LEN(IF(LEN(INDEX('Assets'!$B$4:$B$503,_calc!$E$153))=0,"",INDEX('Assets'!$B$4:$B$503,_calc!$E$153)))=0,"","Asset ID: "&amp;IF(LEN(INDEX('Assets'!$B$4:$B$503,_calc!$E$153))=0,"",INDEX('Assets'!$B$4:$B$503,_calc!$E$153))&amp;". ")&amp;IF(LEN(IF(LEN(INDEX('Assets'!$C$4:$C$503,_calc!$E$153))=0,"",INDEX('Assets'!$C$4:$C$503,_calc!$E$153)))=0,"","Location: "&amp;IF(LEN(INDEX('Assets'!$C$4:$C$503,_calc!$E$153))=0,"",INDEX('Assets'!$C$4:$C$503,_calc!$E$153))&amp;". ")&amp;IF(LEN(IF(LEN(INDEX('Assets'!$E$4:$E$503,_calc!$E$153))=0,"",INDEX('Assets'!$E$4:$E$503,_calc!$E$153)))=0,"","Every (months): "&amp;IF(LEN(INDEX('Assets'!$E$4:$E$503,_calc!$E$153))=0,"",INDEX('Assets'!$E$4:$E$503,_calc!$E$153))&amp;". ")&amp;IF(LEN(IF(LEN(INDEX('Assets'!$M$4:$M$503,_calc!$E$153))=0,"",INDEX('Assets'!$M$4:$M$503,_calc!$E$153)))=0,"","Last result: "&amp;IF(LEN(INDEX('Assets'!$M$4:$M$503,_calc!$E$153))=0,"",INDEX('Assets'!$M$4:$M$503,_calc!$E$153))&amp;". ")&amp;IF(LEN(IF(LEN(INDEX('Assets'!$Q$4:$Q$503,_calc!$E$153))=0,"",INDEX('Assets'!$Q$4:$Q$503,_calc!$E$153)))=0,"",IF(LEN(INDEX('Assets'!$Q$4:$Q$503,_calc!$E$153))=0,"",INDEX('Assets'!$Q$4:$Q$503,_calc!$E$153)))))</f>
        <v/>
      </c>
      <c r="G151" s="44">
        <f>IF(_calc!$E$153="","",IF(LEN(INDEX('Assets'!$P$4:$P$503,_calc!$E$153))=0,"",INDEX('Assets'!$P$4:$P$503,_calc!$E$153)))</f>
        <v/>
      </c>
      <c r="K151" s="44">
        <f>IF(_calc!$E$153="","",IF(LEN(INDEX('Assets'!$N$4:$N$503,_calc!$E$153))=0,"",INDEX('Assets'!$N$4:$N$503,_calc!$E$153)))</f>
        <v/>
      </c>
    </row>
    <row r="152">
      <c r="A152" s="44">
        <f>IF(_calc!$E$154="","",IF(LEN(INDEX('Assets'!$D$4:$D$503,_calc!$E$154))=0,"",INDEX('Assets'!$D$4:$D$503,_calc!$E$154))&amp;" – "&amp;IF(LEN(INDEX('Assets'!$A$4:$A$503,_calc!$E$154))=0,"",INDEX('Assets'!$A$4:$A$503,_calc!$E$154)))</f>
        <v/>
      </c>
      <c r="B152" s="44">
        <f>IF(_calc!$E$154="","",IF(ISNUMBER(INDEX('Assets'!$G$4:$G$503,_calc!$E$154)),TEXT(INDEX('Assets'!$G$4:$G$503,_calc!$E$154),"yyyy-mm-dd"),""))</f>
        <v/>
      </c>
      <c r="C152" s="44">
        <f>IF(_calc!$E$154="","","Inspection")</f>
        <v/>
      </c>
      <c r="D152" s="44">
        <f>IF(_calc!$E$154="","",IF(ISNUMBER(INDEX('Assets'!$F$4:$F$503,_calc!$E$154)),TEXT(INDEX('Assets'!$F$4:$F$503,_calc!$E$154),"yyyy-mm-dd"),""))</f>
        <v/>
      </c>
      <c r="E152" s="44">
        <f>IF(_calc!$E$154="","",IF(LEN(INDEX('Assets'!$O$4:$O$503,_calc!$E$154))=0,"",INDEX('Assets'!$O$4:$O$503,_calc!$E$154)))</f>
        <v/>
      </c>
      <c r="F152" s="44">
        <f>IF(_calc!$E$154="","",TRIM(IF(LEN(IF(LEN(INDEX('Assets'!$B$4:$B$503,_calc!$E$154))=0,"",INDEX('Assets'!$B$4:$B$503,_calc!$E$154)))=0,"","Asset ID: "&amp;IF(LEN(INDEX('Assets'!$B$4:$B$503,_calc!$E$154))=0,"",INDEX('Assets'!$B$4:$B$503,_calc!$E$154))&amp;". ")&amp;IF(LEN(IF(LEN(INDEX('Assets'!$C$4:$C$503,_calc!$E$154))=0,"",INDEX('Assets'!$C$4:$C$503,_calc!$E$154)))=0,"","Location: "&amp;IF(LEN(INDEX('Assets'!$C$4:$C$503,_calc!$E$154))=0,"",INDEX('Assets'!$C$4:$C$503,_calc!$E$154))&amp;". ")&amp;IF(LEN(IF(LEN(INDEX('Assets'!$E$4:$E$503,_calc!$E$154))=0,"",INDEX('Assets'!$E$4:$E$503,_calc!$E$154)))=0,"","Every (months): "&amp;IF(LEN(INDEX('Assets'!$E$4:$E$503,_calc!$E$154))=0,"",INDEX('Assets'!$E$4:$E$503,_calc!$E$154))&amp;". ")&amp;IF(LEN(IF(LEN(INDEX('Assets'!$M$4:$M$503,_calc!$E$154))=0,"",INDEX('Assets'!$M$4:$M$503,_calc!$E$154)))=0,"","Last result: "&amp;IF(LEN(INDEX('Assets'!$M$4:$M$503,_calc!$E$154))=0,"",INDEX('Assets'!$M$4:$M$503,_calc!$E$154))&amp;". ")&amp;IF(LEN(IF(LEN(INDEX('Assets'!$Q$4:$Q$503,_calc!$E$154))=0,"",INDEX('Assets'!$Q$4:$Q$503,_calc!$E$154)))=0,"",IF(LEN(INDEX('Assets'!$Q$4:$Q$503,_calc!$E$154))=0,"",INDEX('Assets'!$Q$4:$Q$503,_calc!$E$154)))))</f>
        <v/>
      </c>
      <c r="G152" s="44">
        <f>IF(_calc!$E$154="","",IF(LEN(INDEX('Assets'!$P$4:$P$503,_calc!$E$154))=0,"",INDEX('Assets'!$P$4:$P$503,_calc!$E$154)))</f>
        <v/>
      </c>
      <c r="K152" s="44">
        <f>IF(_calc!$E$154="","",IF(LEN(INDEX('Assets'!$N$4:$N$503,_calc!$E$154))=0,"",INDEX('Assets'!$N$4:$N$503,_calc!$E$154)))</f>
        <v/>
      </c>
    </row>
    <row r="153">
      <c r="A153" s="44">
        <f>IF(_calc!$E$155="","",IF(LEN(INDEX('Assets'!$D$4:$D$503,_calc!$E$155))=0,"",INDEX('Assets'!$D$4:$D$503,_calc!$E$155))&amp;" – "&amp;IF(LEN(INDEX('Assets'!$A$4:$A$503,_calc!$E$155))=0,"",INDEX('Assets'!$A$4:$A$503,_calc!$E$155)))</f>
        <v/>
      </c>
      <c r="B153" s="44">
        <f>IF(_calc!$E$155="","",IF(ISNUMBER(INDEX('Assets'!$G$4:$G$503,_calc!$E$155)),TEXT(INDEX('Assets'!$G$4:$G$503,_calc!$E$155),"yyyy-mm-dd"),""))</f>
        <v/>
      </c>
      <c r="C153" s="44">
        <f>IF(_calc!$E$155="","","Inspection")</f>
        <v/>
      </c>
      <c r="D153" s="44">
        <f>IF(_calc!$E$155="","",IF(ISNUMBER(INDEX('Assets'!$F$4:$F$503,_calc!$E$155)),TEXT(INDEX('Assets'!$F$4:$F$503,_calc!$E$155),"yyyy-mm-dd"),""))</f>
        <v/>
      </c>
      <c r="E153" s="44">
        <f>IF(_calc!$E$155="","",IF(LEN(INDEX('Assets'!$O$4:$O$503,_calc!$E$155))=0,"",INDEX('Assets'!$O$4:$O$503,_calc!$E$155)))</f>
        <v/>
      </c>
      <c r="F153" s="44">
        <f>IF(_calc!$E$155="","",TRIM(IF(LEN(IF(LEN(INDEX('Assets'!$B$4:$B$503,_calc!$E$155))=0,"",INDEX('Assets'!$B$4:$B$503,_calc!$E$155)))=0,"","Asset ID: "&amp;IF(LEN(INDEX('Assets'!$B$4:$B$503,_calc!$E$155))=0,"",INDEX('Assets'!$B$4:$B$503,_calc!$E$155))&amp;". ")&amp;IF(LEN(IF(LEN(INDEX('Assets'!$C$4:$C$503,_calc!$E$155))=0,"",INDEX('Assets'!$C$4:$C$503,_calc!$E$155)))=0,"","Location: "&amp;IF(LEN(INDEX('Assets'!$C$4:$C$503,_calc!$E$155))=0,"",INDEX('Assets'!$C$4:$C$503,_calc!$E$155))&amp;". ")&amp;IF(LEN(IF(LEN(INDEX('Assets'!$E$4:$E$503,_calc!$E$155))=0,"",INDEX('Assets'!$E$4:$E$503,_calc!$E$155)))=0,"","Every (months): "&amp;IF(LEN(INDEX('Assets'!$E$4:$E$503,_calc!$E$155))=0,"",INDEX('Assets'!$E$4:$E$503,_calc!$E$155))&amp;". ")&amp;IF(LEN(IF(LEN(INDEX('Assets'!$M$4:$M$503,_calc!$E$155))=0,"",INDEX('Assets'!$M$4:$M$503,_calc!$E$155)))=0,"","Last result: "&amp;IF(LEN(INDEX('Assets'!$M$4:$M$503,_calc!$E$155))=0,"",INDEX('Assets'!$M$4:$M$503,_calc!$E$155))&amp;". ")&amp;IF(LEN(IF(LEN(INDEX('Assets'!$Q$4:$Q$503,_calc!$E$155))=0,"",INDEX('Assets'!$Q$4:$Q$503,_calc!$E$155)))=0,"",IF(LEN(INDEX('Assets'!$Q$4:$Q$503,_calc!$E$155))=0,"",INDEX('Assets'!$Q$4:$Q$503,_calc!$E$155)))))</f>
        <v/>
      </c>
      <c r="G153" s="44">
        <f>IF(_calc!$E$155="","",IF(LEN(INDEX('Assets'!$P$4:$P$503,_calc!$E$155))=0,"",INDEX('Assets'!$P$4:$P$503,_calc!$E$155)))</f>
        <v/>
      </c>
      <c r="K153" s="44">
        <f>IF(_calc!$E$155="","",IF(LEN(INDEX('Assets'!$N$4:$N$503,_calc!$E$155))=0,"",INDEX('Assets'!$N$4:$N$503,_calc!$E$155)))</f>
        <v/>
      </c>
    </row>
    <row r="154">
      <c r="A154" s="44">
        <f>IF(_calc!$E$156="","",IF(LEN(INDEX('Assets'!$D$4:$D$503,_calc!$E$156))=0,"",INDEX('Assets'!$D$4:$D$503,_calc!$E$156))&amp;" – "&amp;IF(LEN(INDEX('Assets'!$A$4:$A$503,_calc!$E$156))=0,"",INDEX('Assets'!$A$4:$A$503,_calc!$E$156)))</f>
        <v/>
      </c>
      <c r="B154" s="44">
        <f>IF(_calc!$E$156="","",IF(ISNUMBER(INDEX('Assets'!$G$4:$G$503,_calc!$E$156)),TEXT(INDEX('Assets'!$G$4:$G$503,_calc!$E$156),"yyyy-mm-dd"),""))</f>
        <v/>
      </c>
      <c r="C154" s="44">
        <f>IF(_calc!$E$156="","","Inspection")</f>
        <v/>
      </c>
      <c r="D154" s="44">
        <f>IF(_calc!$E$156="","",IF(ISNUMBER(INDEX('Assets'!$F$4:$F$503,_calc!$E$156)),TEXT(INDEX('Assets'!$F$4:$F$503,_calc!$E$156),"yyyy-mm-dd"),""))</f>
        <v/>
      </c>
      <c r="E154" s="44">
        <f>IF(_calc!$E$156="","",IF(LEN(INDEX('Assets'!$O$4:$O$503,_calc!$E$156))=0,"",INDEX('Assets'!$O$4:$O$503,_calc!$E$156)))</f>
        <v/>
      </c>
      <c r="F154" s="44">
        <f>IF(_calc!$E$156="","",TRIM(IF(LEN(IF(LEN(INDEX('Assets'!$B$4:$B$503,_calc!$E$156))=0,"",INDEX('Assets'!$B$4:$B$503,_calc!$E$156)))=0,"","Asset ID: "&amp;IF(LEN(INDEX('Assets'!$B$4:$B$503,_calc!$E$156))=0,"",INDEX('Assets'!$B$4:$B$503,_calc!$E$156))&amp;". ")&amp;IF(LEN(IF(LEN(INDEX('Assets'!$C$4:$C$503,_calc!$E$156))=0,"",INDEX('Assets'!$C$4:$C$503,_calc!$E$156)))=0,"","Location: "&amp;IF(LEN(INDEX('Assets'!$C$4:$C$503,_calc!$E$156))=0,"",INDEX('Assets'!$C$4:$C$503,_calc!$E$156))&amp;". ")&amp;IF(LEN(IF(LEN(INDEX('Assets'!$E$4:$E$503,_calc!$E$156))=0,"",INDEX('Assets'!$E$4:$E$503,_calc!$E$156)))=0,"","Every (months): "&amp;IF(LEN(INDEX('Assets'!$E$4:$E$503,_calc!$E$156))=0,"",INDEX('Assets'!$E$4:$E$503,_calc!$E$156))&amp;". ")&amp;IF(LEN(IF(LEN(INDEX('Assets'!$M$4:$M$503,_calc!$E$156))=0,"",INDEX('Assets'!$M$4:$M$503,_calc!$E$156)))=0,"","Last result: "&amp;IF(LEN(INDEX('Assets'!$M$4:$M$503,_calc!$E$156))=0,"",INDEX('Assets'!$M$4:$M$503,_calc!$E$156))&amp;". ")&amp;IF(LEN(IF(LEN(INDEX('Assets'!$Q$4:$Q$503,_calc!$E$156))=0,"",INDEX('Assets'!$Q$4:$Q$503,_calc!$E$156)))=0,"",IF(LEN(INDEX('Assets'!$Q$4:$Q$503,_calc!$E$156))=0,"",INDEX('Assets'!$Q$4:$Q$503,_calc!$E$156)))))</f>
        <v/>
      </c>
      <c r="G154" s="44">
        <f>IF(_calc!$E$156="","",IF(LEN(INDEX('Assets'!$P$4:$P$503,_calc!$E$156))=0,"",INDEX('Assets'!$P$4:$P$503,_calc!$E$156)))</f>
        <v/>
      </c>
      <c r="K154" s="44">
        <f>IF(_calc!$E$156="","",IF(LEN(INDEX('Assets'!$N$4:$N$503,_calc!$E$156))=0,"",INDEX('Assets'!$N$4:$N$503,_calc!$E$156)))</f>
        <v/>
      </c>
    </row>
    <row r="155">
      <c r="A155" s="44">
        <f>IF(_calc!$E$157="","",IF(LEN(INDEX('Assets'!$D$4:$D$503,_calc!$E$157))=0,"",INDEX('Assets'!$D$4:$D$503,_calc!$E$157))&amp;" – "&amp;IF(LEN(INDEX('Assets'!$A$4:$A$503,_calc!$E$157))=0,"",INDEX('Assets'!$A$4:$A$503,_calc!$E$157)))</f>
        <v/>
      </c>
      <c r="B155" s="44">
        <f>IF(_calc!$E$157="","",IF(ISNUMBER(INDEX('Assets'!$G$4:$G$503,_calc!$E$157)),TEXT(INDEX('Assets'!$G$4:$G$503,_calc!$E$157),"yyyy-mm-dd"),""))</f>
        <v/>
      </c>
      <c r="C155" s="44">
        <f>IF(_calc!$E$157="","","Inspection")</f>
        <v/>
      </c>
      <c r="D155" s="44">
        <f>IF(_calc!$E$157="","",IF(ISNUMBER(INDEX('Assets'!$F$4:$F$503,_calc!$E$157)),TEXT(INDEX('Assets'!$F$4:$F$503,_calc!$E$157),"yyyy-mm-dd"),""))</f>
        <v/>
      </c>
      <c r="E155" s="44">
        <f>IF(_calc!$E$157="","",IF(LEN(INDEX('Assets'!$O$4:$O$503,_calc!$E$157))=0,"",INDEX('Assets'!$O$4:$O$503,_calc!$E$157)))</f>
        <v/>
      </c>
      <c r="F155" s="44">
        <f>IF(_calc!$E$157="","",TRIM(IF(LEN(IF(LEN(INDEX('Assets'!$B$4:$B$503,_calc!$E$157))=0,"",INDEX('Assets'!$B$4:$B$503,_calc!$E$157)))=0,"","Asset ID: "&amp;IF(LEN(INDEX('Assets'!$B$4:$B$503,_calc!$E$157))=0,"",INDEX('Assets'!$B$4:$B$503,_calc!$E$157))&amp;". ")&amp;IF(LEN(IF(LEN(INDEX('Assets'!$C$4:$C$503,_calc!$E$157))=0,"",INDEX('Assets'!$C$4:$C$503,_calc!$E$157)))=0,"","Location: "&amp;IF(LEN(INDEX('Assets'!$C$4:$C$503,_calc!$E$157))=0,"",INDEX('Assets'!$C$4:$C$503,_calc!$E$157))&amp;". ")&amp;IF(LEN(IF(LEN(INDEX('Assets'!$E$4:$E$503,_calc!$E$157))=0,"",INDEX('Assets'!$E$4:$E$503,_calc!$E$157)))=0,"","Every (months): "&amp;IF(LEN(INDEX('Assets'!$E$4:$E$503,_calc!$E$157))=0,"",INDEX('Assets'!$E$4:$E$503,_calc!$E$157))&amp;". ")&amp;IF(LEN(IF(LEN(INDEX('Assets'!$M$4:$M$503,_calc!$E$157))=0,"",INDEX('Assets'!$M$4:$M$503,_calc!$E$157)))=0,"","Last result: "&amp;IF(LEN(INDEX('Assets'!$M$4:$M$503,_calc!$E$157))=0,"",INDEX('Assets'!$M$4:$M$503,_calc!$E$157))&amp;". ")&amp;IF(LEN(IF(LEN(INDEX('Assets'!$Q$4:$Q$503,_calc!$E$157))=0,"",INDEX('Assets'!$Q$4:$Q$503,_calc!$E$157)))=0,"",IF(LEN(INDEX('Assets'!$Q$4:$Q$503,_calc!$E$157))=0,"",INDEX('Assets'!$Q$4:$Q$503,_calc!$E$157)))))</f>
        <v/>
      </c>
      <c r="G155" s="44">
        <f>IF(_calc!$E$157="","",IF(LEN(INDEX('Assets'!$P$4:$P$503,_calc!$E$157))=0,"",INDEX('Assets'!$P$4:$P$503,_calc!$E$157)))</f>
        <v/>
      </c>
      <c r="K155" s="44">
        <f>IF(_calc!$E$157="","",IF(LEN(INDEX('Assets'!$N$4:$N$503,_calc!$E$157))=0,"",INDEX('Assets'!$N$4:$N$503,_calc!$E$157)))</f>
        <v/>
      </c>
    </row>
    <row r="156">
      <c r="A156" s="44">
        <f>IF(_calc!$E$158="","",IF(LEN(INDEX('Assets'!$D$4:$D$503,_calc!$E$158))=0,"",INDEX('Assets'!$D$4:$D$503,_calc!$E$158))&amp;" – "&amp;IF(LEN(INDEX('Assets'!$A$4:$A$503,_calc!$E$158))=0,"",INDEX('Assets'!$A$4:$A$503,_calc!$E$158)))</f>
        <v/>
      </c>
      <c r="B156" s="44">
        <f>IF(_calc!$E$158="","",IF(ISNUMBER(INDEX('Assets'!$G$4:$G$503,_calc!$E$158)),TEXT(INDEX('Assets'!$G$4:$G$503,_calc!$E$158),"yyyy-mm-dd"),""))</f>
        <v/>
      </c>
      <c r="C156" s="44">
        <f>IF(_calc!$E$158="","","Inspection")</f>
        <v/>
      </c>
      <c r="D156" s="44">
        <f>IF(_calc!$E$158="","",IF(ISNUMBER(INDEX('Assets'!$F$4:$F$503,_calc!$E$158)),TEXT(INDEX('Assets'!$F$4:$F$503,_calc!$E$158),"yyyy-mm-dd"),""))</f>
        <v/>
      </c>
      <c r="E156" s="44">
        <f>IF(_calc!$E$158="","",IF(LEN(INDEX('Assets'!$O$4:$O$503,_calc!$E$158))=0,"",INDEX('Assets'!$O$4:$O$503,_calc!$E$158)))</f>
        <v/>
      </c>
      <c r="F156" s="44">
        <f>IF(_calc!$E$158="","",TRIM(IF(LEN(IF(LEN(INDEX('Assets'!$B$4:$B$503,_calc!$E$158))=0,"",INDEX('Assets'!$B$4:$B$503,_calc!$E$158)))=0,"","Asset ID: "&amp;IF(LEN(INDEX('Assets'!$B$4:$B$503,_calc!$E$158))=0,"",INDEX('Assets'!$B$4:$B$503,_calc!$E$158))&amp;". ")&amp;IF(LEN(IF(LEN(INDEX('Assets'!$C$4:$C$503,_calc!$E$158))=0,"",INDEX('Assets'!$C$4:$C$503,_calc!$E$158)))=0,"","Location: "&amp;IF(LEN(INDEX('Assets'!$C$4:$C$503,_calc!$E$158))=0,"",INDEX('Assets'!$C$4:$C$503,_calc!$E$158))&amp;". ")&amp;IF(LEN(IF(LEN(INDEX('Assets'!$E$4:$E$503,_calc!$E$158))=0,"",INDEX('Assets'!$E$4:$E$503,_calc!$E$158)))=0,"","Every (months): "&amp;IF(LEN(INDEX('Assets'!$E$4:$E$503,_calc!$E$158))=0,"",INDEX('Assets'!$E$4:$E$503,_calc!$E$158))&amp;". ")&amp;IF(LEN(IF(LEN(INDEX('Assets'!$M$4:$M$503,_calc!$E$158))=0,"",INDEX('Assets'!$M$4:$M$503,_calc!$E$158)))=0,"","Last result: "&amp;IF(LEN(INDEX('Assets'!$M$4:$M$503,_calc!$E$158))=0,"",INDEX('Assets'!$M$4:$M$503,_calc!$E$158))&amp;". ")&amp;IF(LEN(IF(LEN(INDEX('Assets'!$Q$4:$Q$503,_calc!$E$158))=0,"",INDEX('Assets'!$Q$4:$Q$503,_calc!$E$158)))=0,"",IF(LEN(INDEX('Assets'!$Q$4:$Q$503,_calc!$E$158))=0,"",INDEX('Assets'!$Q$4:$Q$503,_calc!$E$158)))))</f>
        <v/>
      </c>
      <c r="G156" s="44">
        <f>IF(_calc!$E$158="","",IF(LEN(INDEX('Assets'!$P$4:$P$503,_calc!$E$158))=0,"",INDEX('Assets'!$P$4:$P$503,_calc!$E$158)))</f>
        <v/>
      </c>
      <c r="K156" s="44">
        <f>IF(_calc!$E$158="","",IF(LEN(INDEX('Assets'!$N$4:$N$503,_calc!$E$158))=0,"",INDEX('Assets'!$N$4:$N$503,_calc!$E$158)))</f>
        <v/>
      </c>
    </row>
    <row r="157">
      <c r="A157" s="44">
        <f>IF(_calc!$E$159="","",IF(LEN(INDEX('Assets'!$D$4:$D$503,_calc!$E$159))=0,"",INDEX('Assets'!$D$4:$D$503,_calc!$E$159))&amp;" – "&amp;IF(LEN(INDEX('Assets'!$A$4:$A$503,_calc!$E$159))=0,"",INDEX('Assets'!$A$4:$A$503,_calc!$E$159)))</f>
        <v/>
      </c>
      <c r="B157" s="44">
        <f>IF(_calc!$E$159="","",IF(ISNUMBER(INDEX('Assets'!$G$4:$G$503,_calc!$E$159)),TEXT(INDEX('Assets'!$G$4:$G$503,_calc!$E$159),"yyyy-mm-dd"),""))</f>
        <v/>
      </c>
      <c r="C157" s="44">
        <f>IF(_calc!$E$159="","","Inspection")</f>
        <v/>
      </c>
      <c r="D157" s="44">
        <f>IF(_calc!$E$159="","",IF(ISNUMBER(INDEX('Assets'!$F$4:$F$503,_calc!$E$159)),TEXT(INDEX('Assets'!$F$4:$F$503,_calc!$E$159),"yyyy-mm-dd"),""))</f>
        <v/>
      </c>
      <c r="E157" s="44">
        <f>IF(_calc!$E$159="","",IF(LEN(INDEX('Assets'!$O$4:$O$503,_calc!$E$159))=0,"",INDEX('Assets'!$O$4:$O$503,_calc!$E$159)))</f>
        <v/>
      </c>
      <c r="F157" s="44">
        <f>IF(_calc!$E$159="","",TRIM(IF(LEN(IF(LEN(INDEX('Assets'!$B$4:$B$503,_calc!$E$159))=0,"",INDEX('Assets'!$B$4:$B$503,_calc!$E$159)))=0,"","Asset ID: "&amp;IF(LEN(INDEX('Assets'!$B$4:$B$503,_calc!$E$159))=0,"",INDEX('Assets'!$B$4:$B$503,_calc!$E$159))&amp;". ")&amp;IF(LEN(IF(LEN(INDEX('Assets'!$C$4:$C$503,_calc!$E$159))=0,"",INDEX('Assets'!$C$4:$C$503,_calc!$E$159)))=0,"","Location: "&amp;IF(LEN(INDEX('Assets'!$C$4:$C$503,_calc!$E$159))=0,"",INDEX('Assets'!$C$4:$C$503,_calc!$E$159))&amp;". ")&amp;IF(LEN(IF(LEN(INDEX('Assets'!$E$4:$E$503,_calc!$E$159))=0,"",INDEX('Assets'!$E$4:$E$503,_calc!$E$159)))=0,"","Every (months): "&amp;IF(LEN(INDEX('Assets'!$E$4:$E$503,_calc!$E$159))=0,"",INDEX('Assets'!$E$4:$E$503,_calc!$E$159))&amp;". ")&amp;IF(LEN(IF(LEN(INDEX('Assets'!$M$4:$M$503,_calc!$E$159))=0,"",INDEX('Assets'!$M$4:$M$503,_calc!$E$159)))=0,"","Last result: "&amp;IF(LEN(INDEX('Assets'!$M$4:$M$503,_calc!$E$159))=0,"",INDEX('Assets'!$M$4:$M$503,_calc!$E$159))&amp;". ")&amp;IF(LEN(IF(LEN(INDEX('Assets'!$Q$4:$Q$503,_calc!$E$159))=0,"",INDEX('Assets'!$Q$4:$Q$503,_calc!$E$159)))=0,"",IF(LEN(INDEX('Assets'!$Q$4:$Q$503,_calc!$E$159))=0,"",INDEX('Assets'!$Q$4:$Q$503,_calc!$E$159)))))</f>
        <v/>
      </c>
      <c r="G157" s="44">
        <f>IF(_calc!$E$159="","",IF(LEN(INDEX('Assets'!$P$4:$P$503,_calc!$E$159))=0,"",INDEX('Assets'!$P$4:$P$503,_calc!$E$159)))</f>
        <v/>
      </c>
      <c r="K157" s="44">
        <f>IF(_calc!$E$159="","",IF(LEN(INDEX('Assets'!$N$4:$N$503,_calc!$E$159))=0,"",INDEX('Assets'!$N$4:$N$503,_calc!$E$159)))</f>
        <v/>
      </c>
    </row>
    <row r="158">
      <c r="A158" s="44">
        <f>IF(_calc!$E$160="","",IF(LEN(INDEX('Assets'!$D$4:$D$503,_calc!$E$160))=0,"",INDEX('Assets'!$D$4:$D$503,_calc!$E$160))&amp;" – "&amp;IF(LEN(INDEX('Assets'!$A$4:$A$503,_calc!$E$160))=0,"",INDEX('Assets'!$A$4:$A$503,_calc!$E$160)))</f>
        <v/>
      </c>
      <c r="B158" s="44">
        <f>IF(_calc!$E$160="","",IF(ISNUMBER(INDEX('Assets'!$G$4:$G$503,_calc!$E$160)),TEXT(INDEX('Assets'!$G$4:$G$503,_calc!$E$160),"yyyy-mm-dd"),""))</f>
        <v/>
      </c>
      <c r="C158" s="44">
        <f>IF(_calc!$E$160="","","Inspection")</f>
        <v/>
      </c>
      <c r="D158" s="44">
        <f>IF(_calc!$E$160="","",IF(ISNUMBER(INDEX('Assets'!$F$4:$F$503,_calc!$E$160)),TEXT(INDEX('Assets'!$F$4:$F$503,_calc!$E$160),"yyyy-mm-dd"),""))</f>
        <v/>
      </c>
      <c r="E158" s="44">
        <f>IF(_calc!$E$160="","",IF(LEN(INDEX('Assets'!$O$4:$O$503,_calc!$E$160))=0,"",INDEX('Assets'!$O$4:$O$503,_calc!$E$160)))</f>
        <v/>
      </c>
      <c r="F158" s="44">
        <f>IF(_calc!$E$160="","",TRIM(IF(LEN(IF(LEN(INDEX('Assets'!$B$4:$B$503,_calc!$E$160))=0,"",INDEX('Assets'!$B$4:$B$503,_calc!$E$160)))=0,"","Asset ID: "&amp;IF(LEN(INDEX('Assets'!$B$4:$B$503,_calc!$E$160))=0,"",INDEX('Assets'!$B$4:$B$503,_calc!$E$160))&amp;". ")&amp;IF(LEN(IF(LEN(INDEX('Assets'!$C$4:$C$503,_calc!$E$160))=0,"",INDEX('Assets'!$C$4:$C$503,_calc!$E$160)))=0,"","Location: "&amp;IF(LEN(INDEX('Assets'!$C$4:$C$503,_calc!$E$160))=0,"",INDEX('Assets'!$C$4:$C$503,_calc!$E$160))&amp;". ")&amp;IF(LEN(IF(LEN(INDEX('Assets'!$E$4:$E$503,_calc!$E$160))=0,"",INDEX('Assets'!$E$4:$E$503,_calc!$E$160)))=0,"","Every (months): "&amp;IF(LEN(INDEX('Assets'!$E$4:$E$503,_calc!$E$160))=0,"",INDEX('Assets'!$E$4:$E$503,_calc!$E$160))&amp;". ")&amp;IF(LEN(IF(LEN(INDEX('Assets'!$M$4:$M$503,_calc!$E$160))=0,"",INDEX('Assets'!$M$4:$M$503,_calc!$E$160)))=0,"","Last result: "&amp;IF(LEN(INDEX('Assets'!$M$4:$M$503,_calc!$E$160))=0,"",INDEX('Assets'!$M$4:$M$503,_calc!$E$160))&amp;". ")&amp;IF(LEN(IF(LEN(INDEX('Assets'!$Q$4:$Q$503,_calc!$E$160))=0,"",INDEX('Assets'!$Q$4:$Q$503,_calc!$E$160)))=0,"",IF(LEN(INDEX('Assets'!$Q$4:$Q$503,_calc!$E$160))=0,"",INDEX('Assets'!$Q$4:$Q$503,_calc!$E$160)))))</f>
        <v/>
      </c>
      <c r="G158" s="44">
        <f>IF(_calc!$E$160="","",IF(LEN(INDEX('Assets'!$P$4:$P$503,_calc!$E$160))=0,"",INDEX('Assets'!$P$4:$P$503,_calc!$E$160)))</f>
        <v/>
      </c>
      <c r="K158" s="44">
        <f>IF(_calc!$E$160="","",IF(LEN(INDEX('Assets'!$N$4:$N$503,_calc!$E$160))=0,"",INDEX('Assets'!$N$4:$N$503,_calc!$E$160)))</f>
        <v/>
      </c>
    </row>
    <row r="159">
      <c r="A159" s="44">
        <f>IF(_calc!$E$161="","",IF(LEN(INDEX('Assets'!$D$4:$D$503,_calc!$E$161))=0,"",INDEX('Assets'!$D$4:$D$503,_calc!$E$161))&amp;" – "&amp;IF(LEN(INDEX('Assets'!$A$4:$A$503,_calc!$E$161))=0,"",INDEX('Assets'!$A$4:$A$503,_calc!$E$161)))</f>
        <v/>
      </c>
      <c r="B159" s="44">
        <f>IF(_calc!$E$161="","",IF(ISNUMBER(INDEX('Assets'!$G$4:$G$503,_calc!$E$161)),TEXT(INDEX('Assets'!$G$4:$G$503,_calc!$E$161),"yyyy-mm-dd"),""))</f>
        <v/>
      </c>
      <c r="C159" s="44">
        <f>IF(_calc!$E$161="","","Inspection")</f>
        <v/>
      </c>
      <c r="D159" s="44">
        <f>IF(_calc!$E$161="","",IF(ISNUMBER(INDEX('Assets'!$F$4:$F$503,_calc!$E$161)),TEXT(INDEX('Assets'!$F$4:$F$503,_calc!$E$161),"yyyy-mm-dd"),""))</f>
        <v/>
      </c>
      <c r="E159" s="44">
        <f>IF(_calc!$E$161="","",IF(LEN(INDEX('Assets'!$O$4:$O$503,_calc!$E$161))=0,"",INDEX('Assets'!$O$4:$O$503,_calc!$E$161)))</f>
        <v/>
      </c>
      <c r="F159" s="44">
        <f>IF(_calc!$E$161="","",TRIM(IF(LEN(IF(LEN(INDEX('Assets'!$B$4:$B$503,_calc!$E$161))=0,"",INDEX('Assets'!$B$4:$B$503,_calc!$E$161)))=0,"","Asset ID: "&amp;IF(LEN(INDEX('Assets'!$B$4:$B$503,_calc!$E$161))=0,"",INDEX('Assets'!$B$4:$B$503,_calc!$E$161))&amp;". ")&amp;IF(LEN(IF(LEN(INDEX('Assets'!$C$4:$C$503,_calc!$E$161))=0,"",INDEX('Assets'!$C$4:$C$503,_calc!$E$161)))=0,"","Location: "&amp;IF(LEN(INDEX('Assets'!$C$4:$C$503,_calc!$E$161))=0,"",INDEX('Assets'!$C$4:$C$503,_calc!$E$161))&amp;". ")&amp;IF(LEN(IF(LEN(INDEX('Assets'!$E$4:$E$503,_calc!$E$161))=0,"",INDEX('Assets'!$E$4:$E$503,_calc!$E$161)))=0,"","Every (months): "&amp;IF(LEN(INDEX('Assets'!$E$4:$E$503,_calc!$E$161))=0,"",INDEX('Assets'!$E$4:$E$503,_calc!$E$161))&amp;". ")&amp;IF(LEN(IF(LEN(INDEX('Assets'!$M$4:$M$503,_calc!$E$161))=0,"",INDEX('Assets'!$M$4:$M$503,_calc!$E$161)))=0,"","Last result: "&amp;IF(LEN(INDEX('Assets'!$M$4:$M$503,_calc!$E$161))=0,"",INDEX('Assets'!$M$4:$M$503,_calc!$E$161))&amp;". ")&amp;IF(LEN(IF(LEN(INDEX('Assets'!$Q$4:$Q$503,_calc!$E$161))=0,"",INDEX('Assets'!$Q$4:$Q$503,_calc!$E$161)))=0,"",IF(LEN(INDEX('Assets'!$Q$4:$Q$503,_calc!$E$161))=0,"",INDEX('Assets'!$Q$4:$Q$503,_calc!$E$161)))))</f>
        <v/>
      </c>
      <c r="G159" s="44">
        <f>IF(_calc!$E$161="","",IF(LEN(INDEX('Assets'!$P$4:$P$503,_calc!$E$161))=0,"",INDEX('Assets'!$P$4:$P$503,_calc!$E$161)))</f>
        <v/>
      </c>
      <c r="K159" s="44">
        <f>IF(_calc!$E$161="","",IF(LEN(INDEX('Assets'!$N$4:$N$503,_calc!$E$161))=0,"",INDEX('Assets'!$N$4:$N$503,_calc!$E$161)))</f>
        <v/>
      </c>
    </row>
    <row r="160">
      <c r="A160" s="44">
        <f>IF(_calc!$E$162="","",IF(LEN(INDEX('Assets'!$D$4:$D$503,_calc!$E$162))=0,"",INDEX('Assets'!$D$4:$D$503,_calc!$E$162))&amp;" – "&amp;IF(LEN(INDEX('Assets'!$A$4:$A$503,_calc!$E$162))=0,"",INDEX('Assets'!$A$4:$A$503,_calc!$E$162)))</f>
        <v/>
      </c>
      <c r="B160" s="44">
        <f>IF(_calc!$E$162="","",IF(ISNUMBER(INDEX('Assets'!$G$4:$G$503,_calc!$E$162)),TEXT(INDEX('Assets'!$G$4:$G$503,_calc!$E$162),"yyyy-mm-dd"),""))</f>
        <v/>
      </c>
      <c r="C160" s="44">
        <f>IF(_calc!$E$162="","","Inspection")</f>
        <v/>
      </c>
      <c r="D160" s="44">
        <f>IF(_calc!$E$162="","",IF(ISNUMBER(INDEX('Assets'!$F$4:$F$503,_calc!$E$162)),TEXT(INDEX('Assets'!$F$4:$F$503,_calc!$E$162),"yyyy-mm-dd"),""))</f>
        <v/>
      </c>
      <c r="E160" s="44">
        <f>IF(_calc!$E$162="","",IF(LEN(INDEX('Assets'!$O$4:$O$503,_calc!$E$162))=0,"",INDEX('Assets'!$O$4:$O$503,_calc!$E$162)))</f>
        <v/>
      </c>
      <c r="F160" s="44">
        <f>IF(_calc!$E$162="","",TRIM(IF(LEN(IF(LEN(INDEX('Assets'!$B$4:$B$503,_calc!$E$162))=0,"",INDEX('Assets'!$B$4:$B$503,_calc!$E$162)))=0,"","Asset ID: "&amp;IF(LEN(INDEX('Assets'!$B$4:$B$503,_calc!$E$162))=0,"",INDEX('Assets'!$B$4:$B$503,_calc!$E$162))&amp;". ")&amp;IF(LEN(IF(LEN(INDEX('Assets'!$C$4:$C$503,_calc!$E$162))=0,"",INDEX('Assets'!$C$4:$C$503,_calc!$E$162)))=0,"","Location: "&amp;IF(LEN(INDEX('Assets'!$C$4:$C$503,_calc!$E$162))=0,"",INDEX('Assets'!$C$4:$C$503,_calc!$E$162))&amp;". ")&amp;IF(LEN(IF(LEN(INDEX('Assets'!$E$4:$E$503,_calc!$E$162))=0,"",INDEX('Assets'!$E$4:$E$503,_calc!$E$162)))=0,"","Every (months): "&amp;IF(LEN(INDEX('Assets'!$E$4:$E$503,_calc!$E$162))=0,"",INDEX('Assets'!$E$4:$E$503,_calc!$E$162))&amp;". ")&amp;IF(LEN(IF(LEN(INDEX('Assets'!$M$4:$M$503,_calc!$E$162))=0,"",INDEX('Assets'!$M$4:$M$503,_calc!$E$162)))=0,"","Last result: "&amp;IF(LEN(INDEX('Assets'!$M$4:$M$503,_calc!$E$162))=0,"",INDEX('Assets'!$M$4:$M$503,_calc!$E$162))&amp;". ")&amp;IF(LEN(IF(LEN(INDEX('Assets'!$Q$4:$Q$503,_calc!$E$162))=0,"",INDEX('Assets'!$Q$4:$Q$503,_calc!$E$162)))=0,"",IF(LEN(INDEX('Assets'!$Q$4:$Q$503,_calc!$E$162))=0,"",INDEX('Assets'!$Q$4:$Q$503,_calc!$E$162)))))</f>
        <v/>
      </c>
      <c r="G160" s="44">
        <f>IF(_calc!$E$162="","",IF(LEN(INDEX('Assets'!$P$4:$P$503,_calc!$E$162))=0,"",INDEX('Assets'!$P$4:$P$503,_calc!$E$162)))</f>
        <v/>
      </c>
      <c r="K160" s="44">
        <f>IF(_calc!$E$162="","",IF(LEN(INDEX('Assets'!$N$4:$N$503,_calc!$E$162))=0,"",INDEX('Assets'!$N$4:$N$503,_calc!$E$162)))</f>
        <v/>
      </c>
    </row>
    <row r="161">
      <c r="A161" s="44">
        <f>IF(_calc!$E$163="","",IF(LEN(INDEX('Assets'!$D$4:$D$503,_calc!$E$163))=0,"",INDEX('Assets'!$D$4:$D$503,_calc!$E$163))&amp;" – "&amp;IF(LEN(INDEX('Assets'!$A$4:$A$503,_calc!$E$163))=0,"",INDEX('Assets'!$A$4:$A$503,_calc!$E$163)))</f>
        <v/>
      </c>
      <c r="B161" s="44">
        <f>IF(_calc!$E$163="","",IF(ISNUMBER(INDEX('Assets'!$G$4:$G$503,_calc!$E$163)),TEXT(INDEX('Assets'!$G$4:$G$503,_calc!$E$163),"yyyy-mm-dd"),""))</f>
        <v/>
      </c>
      <c r="C161" s="44">
        <f>IF(_calc!$E$163="","","Inspection")</f>
        <v/>
      </c>
      <c r="D161" s="44">
        <f>IF(_calc!$E$163="","",IF(ISNUMBER(INDEX('Assets'!$F$4:$F$503,_calc!$E$163)),TEXT(INDEX('Assets'!$F$4:$F$503,_calc!$E$163),"yyyy-mm-dd"),""))</f>
        <v/>
      </c>
      <c r="E161" s="44">
        <f>IF(_calc!$E$163="","",IF(LEN(INDEX('Assets'!$O$4:$O$503,_calc!$E$163))=0,"",INDEX('Assets'!$O$4:$O$503,_calc!$E$163)))</f>
        <v/>
      </c>
      <c r="F161" s="44">
        <f>IF(_calc!$E$163="","",TRIM(IF(LEN(IF(LEN(INDEX('Assets'!$B$4:$B$503,_calc!$E$163))=0,"",INDEX('Assets'!$B$4:$B$503,_calc!$E$163)))=0,"","Asset ID: "&amp;IF(LEN(INDEX('Assets'!$B$4:$B$503,_calc!$E$163))=0,"",INDEX('Assets'!$B$4:$B$503,_calc!$E$163))&amp;". ")&amp;IF(LEN(IF(LEN(INDEX('Assets'!$C$4:$C$503,_calc!$E$163))=0,"",INDEX('Assets'!$C$4:$C$503,_calc!$E$163)))=0,"","Location: "&amp;IF(LEN(INDEX('Assets'!$C$4:$C$503,_calc!$E$163))=0,"",INDEX('Assets'!$C$4:$C$503,_calc!$E$163))&amp;". ")&amp;IF(LEN(IF(LEN(INDEX('Assets'!$E$4:$E$503,_calc!$E$163))=0,"",INDEX('Assets'!$E$4:$E$503,_calc!$E$163)))=0,"","Every (months): "&amp;IF(LEN(INDEX('Assets'!$E$4:$E$503,_calc!$E$163))=0,"",INDEX('Assets'!$E$4:$E$503,_calc!$E$163))&amp;". ")&amp;IF(LEN(IF(LEN(INDEX('Assets'!$M$4:$M$503,_calc!$E$163))=0,"",INDEX('Assets'!$M$4:$M$503,_calc!$E$163)))=0,"","Last result: "&amp;IF(LEN(INDEX('Assets'!$M$4:$M$503,_calc!$E$163))=0,"",INDEX('Assets'!$M$4:$M$503,_calc!$E$163))&amp;". ")&amp;IF(LEN(IF(LEN(INDEX('Assets'!$Q$4:$Q$503,_calc!$E$163))=0,"",INDEX('Assets'!$Q$4:$Q$503,_calc!$E$163)))=0,"",IF(LEN(INDEX('Assets'!$Q$4:$Q$503,_calc!$E$163))=0,"",INDEX('Assets'!$Q$4:$Q$503,_calc!$E$163)))))</f>
        <v/>
      </c>
      <c r="G161" s="44">
        <f>IF(_calc!$E$163="","",IF(LEN(INDEX('Assets'!$P$4:$P$503,_calc!$E$163))=0,"",INDEX('Assets'!$P$4:$P$503,_calc!$E$163)))</f>
        <v/>
      </c>
      <c r="K161" s="44">
        <f>IF(_calc!$E$163="","",IF(LEN(INDEX('Assets'!$N$4:$N$503,_calc!$E$163))=0,"",INDEX('Assets'!$N$4:$N$503,_calc!$E$163)))</f>
        <v/>
      </c>
    </row>
    <row r="162">
      <c r="A162" s="44">
        <f>IF(_calc!$E$164="","",IF(LEN(INDEX('Assets'!$D$4:$D$503,_calc!$E$164))=0,"",INDEX('Assets'!$D$4:$D$503,_calc!$E$164))&amp;" – "&amp;IF(LEN(INDEX('Assets'!$A$4:$A$503,_calc!$E$164))=0,"",INDEX('Assets'!$A$4:$A$503,_calc!$E$164)))</f>
        <v/>
      </c>
      <c r="B162" s="44">
        <f>IF(_calc!$E$164="","",IF(ISNUMBER(INDEX('Assets'!$G$4:$G$503,_calc!$E$164)),TEXT(INDEX('Assets'!$G$4:$G$503,_calc!$E$164),"yyyy-mm-dd"),""))</f>
        <v/>
      </c>
      <c r="C162" s="44">
        <f>IF(_calc!$E$164="","","Inspection")</f>
        <v/>
      </c>
      <c r="D162" s="44">
        <f>IF(_calc!$E$164="","",IF(ISNUMBER(INDEX('Assets'!$F$4:$F$503,_calc!$E$164)),TEXT(INDEX('Assets'!$F$4:$F$503,_calc!$E$164),"yyyy-mm-dd"),""))</f>
        <v/>
      </c>
      <c r="E162" s="44">
        <f>IF(_calc!$E$164="","",IF(LEN(INDEX('Assets'!$O$4:$O$503,_calc!$E$164))=0,"",INDEX('Assets'!$O$4:$O$503,_calc!$E$164)))</f>
        <v/>
      </c>
      <c r="F162" s="44">
        <f>IF(_calc!$E$164="","",TRIM(IF(LEN(IF(LEN(INDEX('Assets'!$B$4:$B$503,_calc!$E$164))=0,"",INDEX('Assets'!$B$4:$B$503,_calc!$E$164)))=0,"","Asset ID: "&amp;IF(LEN(INDEX('Assets'!$B$4:$B$503,_calc!$E$164))=0,"",INDEX('Assets'!$B$4:$B$503,_calc!$E$164))&amp;". ")&amp;IF(LEN(IF(LEN(INDEX('Assets'!$C$4:$C$503,_calc!$E$164))=0,"",INDEX('Assets'!$C$4:$C$503,_calc!$E$164)))=0,"","Location: "&amp;IF(LEN(INDEX('Assets'!$C$4:$C$503,_calc!$E$164))=0,"",INDEX('Assets'!$C$4:$C$503,_calc!$E$164))&amp;". ")&amp;IF(LEN(IF(LEN(INDEX('Assets'!$E$4:$E$503,_calc!$E$164))=0,"",INDEX('Assets'!$E$4:$E$503,_calc!$E$164)))=0,"","Every (months): "&amp;IF(LEN(INDEX('Assets'!$E$4:$E$503,_calc!$E$164))=0,"",INDEX('Assets'!$E$4:$E$503,_calc!$E$164))&amp;". ")&amp;IF(LEN(IF(LEN(INDEX('Assets'!$M$4:$M$503,_calc!$E$164))=0,"",INDEX('Assets'!$M$4:$M$503,_calc!$E$164)))=0,"","Last result: "&amp;IF(LEN(INDEX('Assets'!$M$4:$M$503,_calc!$E$164))=0,"",INDEX('Assets'!$M$4:$M$503,_calc!$E$164))&amp;". ")&amp;IF(LEN(IF(LEN(INDEX('Assets'!$Q$4:$Q$503,_calc!$E$164))=0,"",INDEX('Assets'!$Q$4:$Q$503,_calc!$E$164)))=0,"",IF(LEN(INDEX('Assets'!$Q$4:$Q$503,_calc!$E$164))=0,"",INDEX('Assets'!$Q$4:$Q$503,_calc!$E$164)))))</f>
        <v/>
      </c>
      <c r="G162" s="44">
        <f>IF(_calc!$E$164="","",IF(LEN(INDEX('Assets'!$P$4:$P$503,_calc!$E$164))=0,"",INDEX('Assets'!$P$4:$P$503,_calc!$E$164)))</f>
        <v/>
      </c>
      <c r="K162" s="44">
        <f>IF(_calc!$E$164="","",IF(LEN(INDEX('Assets'!$N$4:$N$503,_calc!$E$164))=0,"",INDEX('Assets'!$N$4:$N$503,_calc!$E$164)))</f>
        <v/>
      </c>
    </row>
    <row r="163">
      <c r="A163" s="44">
        <f>IF(_calc!$E$165="","",IF(LEN(INDEX('Assets'!$D$4:$D$503,_calc!$E$165))=0,"",INDEX('Assets'!$D$4:$D$503,_calc!$E$165))&amp;" – "&amp;IF(LEN(INDEX('Assets'!$A$4:$A$503,_calc!$E$165))=0,"",INDEX('Assets'!$A$4:$A$503,_calc!$E$165)))</f>
        <v/>
      </c>
      <c r="B163" s="44">
        <f>IF(_calc!$E$165="","",IF(ISNUMBER(INDEX('Assets'!$G$4:$G$503,_calc!$E$165)),TEXT(INDEX('Assets'!$G$4:$G$503,_calc!$E$165),"yyyy-mm-dd"),""))</f>
        <v/>
      </c>
      <c r="C163" s="44">
        <f>IF(_calc!$E$165="","","Inspection")</f>
        <v/>
      </c>
      <c r="D163" s="44">
        <f>IF(_calc!$E$165="","",IF(ISNUMBER(INDEX('Assets'!$F$4:$F$503,_calc!$E$165)),TEXT(INDEX('Assets'!$F$4:$F$503,_calc!$E$165),"yyyy-mm-dd"),""))</f>
        <v/>
      </c>
      <c r="E163" s="44">
        <f>IF(_calc!$E$165="","",IF(LEN(INDEX('Assets'!$O$4:$O$503,_calc!$E$165))=0,"",INDEX('Assets'!$O$4:$O$503,_calc!$E$165)))</f>
        <v/>
      </c>
      <c r="F163" s="44">
        <f>IF(_calc!$E$165="","",TRIM(IF(LEN(IF(LEN(INDEX('Assets'!$B$4:$B$503,_calc!$E$165))=0,"",INDEX('Assets'!$B$4:$B$503,_calc!$E$165)))=0,"","Asset ID: "&amp;IF(LEN(INDEX('Assets'!$B$4:$B$503,_calc!$E$165))=0,"",INDEX('Assets'!$B$4:$B$503,_calc!$E$165))&amp;". ")&amp;IF(LEN(IF(LEN(INDEX('Assets'!$C$4:$C$503,_calc!$E$165))=0,"",INDEX('Assets'!$C$4:$C$503,_calc!$E$165)))=0,"","Location: "&amp;IF(LEN(INDEX('Assets'!$C$4:$C$503,_calc!$E$165))=0,"",INDEX('Assets'!$C$4:$C$503,_calc!$E$165))&amp;". ")&amp;IF(LEN(IF(LEN(INDEX('Assets'!$E$4:$E$503,_calc!$E$165))=0,"",INDEX('Assets'!$E$4:$E$503,_calc!$E$165)))=0,"","Every (months): "&amp;IF(LEN(INDEX('Assets'!$E$4:$E$503,_calc!$E$165))=0,"",INDEX('Assets'!$E$4:$E$503,_calc!$E$165))&amp;". ")&amp;IF(LEN(IF(LEN(INDEX('Assets'!$M$4:$M$503,_calc!$E$165))=0,"",INDEX('Assets'!$M$4:$M$503,_calc!$E$165)))=0,"","Last result: "&amp;IF(LEN(INDEX('Assets'!$M$4:$M$503,_calc!$E$165))=0,"",INDEX('Assets'!$M$4:$M$503,_calc!$E$165))&amp;". ")&amp;IF(LEN(IF(LEN(INDEX('Assets'!$Q$4:$Q$503,_calc!$E$165))=0,"",INDEX('Assets'!$Q$4:$Q$503,_calc!$E$165)))=0,"",IF(LEN(INDEX('Assets'!$Q$4:$Q$503,_calc!$E$165))=0,"",INDEX('Assets'!$Q$4:$Q$503,_calc!$E$165)))))</f>
        <v/>
      </c>
      <c r="G163" s="44">
        <f>IF(_calc!$E$165="","",IF(LEN(INDEX('Assets'!$P$4:$P$503,_calc!$E$165))=0,"",INDEX('Assets'!$P$4:$P$503,_calc!$E$165)))</f>
        <v/>
      </c>
      <c r="K163" s="44">
        <f>IF(_calc!$E$165="","",IF(LEN(INDEX('Assets'!$N$4:$N$503,_calc!$E$165))=0,"",INDEX('Assets'!$N$4:$N$503,_calc!$E$165)))</f>
        <v/>
      </c>
    </row>
    <row r="164">
      <c r="A164" s="44">
        <f>IF(_calc!$E$166="","",IF(LEN(INDEX('Assets'!$D$4:$D$503,_calc!$E$166))=0,"",INDEX('Assets'!$D$4:$D$503,_calc!$E$166))&amp;" – "&amp;IF(LEN(INDEX('Assets'!$A$4:$A$503,_calc!$E$166))=0,"",INDEX('Assets'!$A$4:$A$503,_calc!$E$166)))</f>
        <v/>
      </c>
      <c r="B164" s="44">
        <f>IF(_calc!$E$166="","",IF(ISNUMBER(INDEX('Assets'!$G$4:$G$503,_calc!$E$166)),TEXT(INDEX('Assets'!$G$4:$G$503,_calc!$E$166),"yyyy-mm-dd"),""))</f>
        <v/>
      </c>
      <c r="C164" s="44">
        <f>IF(_calc!$E$166="","","Inspection")</f>
        <v/>
      </c>
      <c r="D164" s="44">
        <f>IF(_calc!$E$166="","",IF(ISNUMBER(INDEX('Assets'!$F$4:$F$503,_calc!$E$166)),TEXT(INDEX('Assets'!$F$4:$F$503,_calc!$E$166),"yyyy-mm-dd"),""))</f>
        <v/>
      </c>
      <c r="E164" s="44">
        <f>IF(_calc!$E$166="","",IF(LEN(INDEX('Assets'!$O$4:$O$503,_calc!$E$166))=0,"",INDEX('Assets'!$O$4:$O$503,_calc!$E$166)))</f>
        <v/>
      </c>
      <c r="F164" s="44">
        <f>IF(_calc!$E$166="","",TRIM(IF(LEN(IF(LEN(INDEX('Assets'!$B$4:$B$503,_calc!$E$166))=0,"",INDEX('Assets'!$B$4:$B$503,_calc!$E$166)))=0,"","Asset ID: "&amp;IF(LEN(INDEX('Assets'!$B$4:$B$503,_calc!$E$166))=0,"",INDEX('Assets'!$B$4:$B$503,_calc!$E$166))&amp;". ")&amp;IF(LEN(IF(LEN(INDEX('Assets'!$C$4:$C$503,_calc!$E$166))=0,"",INDEX('Assets'!$C$4:$C$503,_calc!$E$166)))=0,"","Location: "&amp;IF(LEN(INDEX('Assets'!$C$4:$C$503,_calc!$E$166))=0,"",INDEX('Assets'!$C$4:$C$503,_calc!$E$166))&amp;". ")&amp;IF(LEN(IF(LEN(INDEX('Assets'!$E$4:$E$503,_calc!$E$166))=0,"",INDEX('Assets'!$E$4:$E$503,_calc!$E$166)))=0,"","Every (months): "&amp;IF(LEN(INDEX('Assets'!$E$4:$E$503,_calc!$E$166))=0,"",INDEX('Assets'!$E$4:$E$503,_calc!$E$166))&amp;". ")&amp;IF(LEN(IF(LEN(INDEX('Assets'!$M$4:$M$503,_calc!$E$166))=0,"",INDEX('Assets'!$M$4:$M$503,_calc!$E$166)))=0,"","Last result: "&amp;IF(LEN(INDEX('Assets'!$M$4:$M$503,_calc!$E$166))=0,"",INDEX('Assets'!$M$4:$M$503,_calc!$E$166))&amp;". ")&amp;IF(LEN(IF(LEN(INDEX('Assets'!$Q$4:$Q$503,_calc!$E$166))=0,"",INDEX('Assets'!$Q$4:$Q$503,_calc!$E$166)))=0,"",IF(LEN(INDEX('Assets'!$Q$4:$Q$503,_calc!$E$166))=0,"",INDEX('Assets'!$Q$4:$Q$503,_calc!$E$166)))))</f>
        <v/>
      </c>
      <c r="G164" s="44">
        <f>IF(_calc!$E$166="","",IF(LEN(INDEX('Assets'!$P$4:$P$503,_calc!$E$166))=0,"",INDEX('Assets'!$P$4:$P$503,_calc!$E$166)))</f>
        <v/>
      </c>
      <c r="K164" s="44">
        <f>IF(_calc!$E$166="","",IF(LEN(INDEX('Assets'!$N$4:$N$503,_calc!$E$166))=0,"",INDEX('Assets'!$N$4:$N$503,_calc!$E$166)))</f>
        <v/>
      </c>
    </row>
    <row r="165">
      <c r="A165" s="44">
        <f>IF(_calc!$E$167="","",IF(LEN(INDEX('Assets'!$D$4:$D$503,_calc!$E$167))=0,"",INDEX('Assets'!$D$4:$D$503,_calc!$E$167))&amp;" – "&amp;IF(LEN(INDEX('Assets'!$A$4:$A$503,_calc!$E$167))=0,"",INDEX('Assets'!$A$4:$A$503,_calc!$E$167)))</f>
        <v/>
      </c>
      <c r="B165" s="44">
        <f>IF(_calc!$E$167="","",IF(ISNUMBER(INDEX('Assets'!$G$4:$G$503,_calc!$E$167)),TEXT(INDEX('Assets'!$G$4:$G$503,_calc!$E$167),"yyyy-mm-dd"),""))</f>
        <v/>
      </c>
      <c r="C165" s="44">
        <f>IF(_calc!$E$167="","","Inspection")</f>
        <v/>
      </c>
      <c r="D165" s="44">
        <f>IF(_calc!$E$167="","",IF(ISNUMBER(INDEX('Assets'!$F$4:$F$503,_calc!$E$167)),TEXT(INDEX('Assets'!$F$4:$F$503,_calc!$E$167),"yyyy-mm-dd"),""))</f>
        <v/>
      </c>
      <c r="E165" s="44">
        <f>IF(_calc!$E$167="","",IF(LEN(INDEX('Assets'!$O$4:$O$503,_calc!$E$167))=0,"",INDEX('Assets'!$O$4:$O$503,_calc!$E$167)))</f>
        <v/>
      </c>
      <c r="F165" s="44">
        <f>IF(_calc!$E$167="","",TRIM(IF(LEN(IF(LEN(INDEX('Assets'!$B$4:$B$503,_calc!$E$167))=0,"",INDEX('Assets'!$B$4:$B$503,_calc!$E$167)))=0,"","Asset ID: "&amp;IF(LEN(INDEX('Assets'!$B$4:$B$503,_calc!$E$167))=0,"",INDEX('Assets'!$B$4:$B$503,_calc!$E$167))&amp;". ")&amp;IF(LEN(IF(LEN(INDEX('Assets'!$C$4:$C$503,_calc!$E$167))=0,"",INDEX('Assets'!$C$4:$C$503,_calc!$E$167)))=0,"","Location: "&amp;IF(LEN(INDEX('Assets'!$C$4:$C$503,_calc!$E$167))=0,"",INDEX('Assets'!$C$4:$C$503,_calc!$E$167))&amp;". ")&amp;IF(LEN(IF(LEN(INDEX('Assets'!$E$4:$E$503,_calc!$E$167))=0,"",INDEX('Assets'!$E$4:$E$503,_calc!$E$167)))=0,"","Every (months): "&amp;IF(LEN(INDEX('Assets'!$E$4:$E$503,_calc!$E$167))=0,"",INDEX('Assets'!$E$4:$E$503,_calc!$E$167))&amp;". ")&amp;IF(LEN(IF(LEN(INDEX('Assets'!$M$4:$M$503,_calc!$E$167))=0,"",INDEX('Assets'!$M$4:$M$503,_calc!$E$167)))=0,"","Last result: "&amp;IF(LEN(INDEX('Assets'!$M$4:$M$503,_calc!$E$167))=0,"",INDEX('Assets'!$M$4:$M$503,_calc!$E$167))&amp;". ")&amp;IF(LEN(IF(LEN(INDEX('Assets'!$Q$4:$Q$503,_calc!$E$167))=0,"",INDEX('Assets'!$Q$4:$Q$503,_calc!$E$167)))=0,"",IF(LEN(INDEX('Assets'!$Q$4:$Q$503,_calc!$E$167))=0,"",INDEX('Assets'!$Q$4:$Q$503,_calc!$E$167)))))</f>
        <v/>
      </c>
      <c r="G165" s="44">
        <f>IF(_calc!$E$167="","",IF(LEN(INDEX('Assets'!$P$4:$P$503,_calc!$E$167))=0,"",INDEX('Assets'!$P$4:$P$503,_calc!$E$167)))</f>
        <v/>
      </c>
      <c r="K165" s="44">
        <f>IF(_calc!$E$167="","",IF(LEN(INDEX('Assets'!$N$4:$N$503,_calc!$E$167))=0,"",INDEX('Assets'!$N$4:$N$503,_calc!$E$167)))</f>
        <v/>
      </c>
    </row>
    <row r="166">
      <c r="A166" s="44">
        <f>IF(_calc!$E$168="","",IF(LEN(INDEX('Assets'!$D$4:$D$503,_calc!$E$168))=0,"",INDEX('Assets'!$D$4:$D$503,_calc!$E$168))&amp;" – "&amp;IF(LEN(INDEX('Assets'!$A$4:$A$503,_calc!$E$168))=0,"",INDEX('Assets'!$A$4:$A$503,_calc!$E$168)))</f>
        <v/>
      </c>
      <c r="B166" s="44">
        <f>IF(_calc!$E$168="","",IF(ISNUMBER(INDEX('Assets'!$G$4:$G$503,_calc!$E$168)),TEXT(INDEX('Assets'!$G$4:$G$503,_calc!$E$168),"yyyy-mm-dd"),""))</f>
        <v/>
      </c>
      <c r="C166" s="44">
        <f>IF(_calc!$E$168="","","Inspection")</f>
        <v/>
      </c>
      <c r="D166" s="44">
        <f>IF(_calc!$E$168="","",IF(ISNUMBER(INDEX('Assets'!$F$4:$F$503,_calc!$E$168)),TEXT(INDEX('Assets'!$F$4:$F$503,_calc!$E$168),"yyyy-mm-dd"),""))</f>
        <v/>
      </c>
      <c r="E166" s="44">
        <f>IF(_calc!$E$168="","",IF(LEN(INDEX('Assets'!$O$4:$O$503,_calc!$E$168))=0,"",INDEX('Assets'!$O$4:$O$503,_calc!$E$168)))</f>
        <v/>
      </c>
      <c r="F166" s="44">
        <f>IF(_calc!$E$168="","",TRIM(IF(LEN(IF(LEN(INDEX('Assets'!$B$4:$B$503,_calc!$E$168))=0,"",INDEX('Assets'!$B$4:$B$503,_calc!$E$168)))=0,"","Asset ID: "&amp;IF(LEN(INDEX('Assets'!$B$4:$B$503,_calc!$E$168))=0,"",INDEX('Assets'!$B$4:$B$503,_calc!$E$168))&amp;". ")&amp;IF(LEN(IF(LEN(INDEX('Assets'!$C$4:$C$503,_calc!$E$168))=0,"",INDEX('Assets'!$C$4:$C$503,_calc!$E$168)))=0,"","Location: "&amp;IF(LEN(INDEX('Assets'!$C$4:$C$503,_calc!$E$168))=0,"",INDEX('Assets'!$C$4:$C$503,_calc!$E$168))&amp;". ")&amp;IF(LEN(IF(LEN(INDEX('Assets'!$E$4:$E$503,_calc!$E$168))=0,"",INDEX('Assets'!$E$4:$E$503,_calc!$E$168)))=0,"","Every (months): "&amp;IF(LEN(INDEX('Assets'!$E$4:$E$503,_calc!$E$168))=0,"",INDEX('Assets'!$E$4:$E$503,_calc!$E$168))&amp;". ")&amp;IF(LEN(IF(LEN(INDEX('Assets'!$M$4:$M$503,_calc!$E$168))=0,"",INDEX('Assets'!$M$4:$M$503,_calc!$E$168)))=0,"","Last result: "&amp;IF(LEN(INDEX('Assets'!$M$4:$M$503,_calc!$E$168))=0,"",INDEX('Assets'!$M$4:$M$503,_calc!$E$168))&amp;". ")&amp;IF(LEN(IF(LEN(INDEX('Assets'!$Q$4:$Q$503,_calc!$E$168))=0,"",INDEX('Assets'!$Q$4:$Q$503,_calc!$E$168)))=0,"",IF(LEN(INDEX('Assets'!$Q$4:$Q$503,_calc!$E$168))=0,"",INDEX('Assets'!$Q$4:$Q$503,_calc!$E$168)))))</f>
        <v/>
      </c>
      <c r="G166" s="44">
        <f>IF(_calc!$E$168="","",IF(LEN(INDEX('Assets'!$P$4:$P$503,_calc!$E$168))=0,"",INDEX('Assets'!$P$4:$P$503,_calc!$E$168)))</f>
        <v/>
      </c>
      <c r="K166" s="44">
        <f>IF(_calc!$E$168="","",IF(LEN(INDEX('Assets'!$N$4:$N$503,_calc!$E$168))=0,"",INDEX('Assets'!$N$4:$N$503,_calc!$E$168)))</f>
        <v/>
      </c>
    </row>
    <row r="167">
      <c r="A167" s="44">
        <f>IF(_calc!$E$169="","",IF(LEN(INDEX('Assets'!$D$4:$D$503,_calc!$E$169))=0,"",INDEX('Assets'!$D$4:$D$503,_calc!$E$169))&amp;" – "&amp;IF(LEN(INDEX('Assets'!$A$4:$A$503,_calc!$E$169))=0,"",INDEX('Assets'!$A$4:$A$503,_calc!$E$169)))</f>
        <v/>
      </c>
      <c r="B167" s="44">
        <f>IF(_calc!$E$169="","",IF(ISNUMBER(INDEX('Assets'!$G$4:$G$503,_calc!$E$169)),TEXT(INDEX('Assets'!$G$4:$G$503,_calc!$E$169),"yyyy-mm-dd"),""))</f>
        <v/>
      </c>
      <c r="C167" s="44">
        <f>IF(_calc!$E$169="","","Inspection")</f>
        <v/>
      </c>
      <c r="D167" s="44">
        <f>IF(_calc!$E$169="","",IF(ISNUMBER(INDEX('Assets'!$F$4:$F$503,_calc!$E$169)),TEXT(INDEX('Assets'!$F$4:$F$503,_calc!$E$169),"yyyy-mm-dd"),""))</f>
        <v/>
      </c>
      <c r="E167" s="44">
        <f>IF(_calc!$E$169="","",IF(LEN(INDEX('Assets'!$O$4:$O$503,_calc!$E$169))=0,"",INDEX('Assets'!$O$4:$O$503,_calc!$E$169)))</f>
        <v/>
      </c>
      <c r="F167" s="44">
        <f>IF(_calc!$E$169="","",TRIM(IF(LEN(IF(LEN(INDEX('Assets'!$B$4:$B$503,_calc!$E$169))=0,"",INDEX('Assets'!$B$4:$B$503,_calc!$E$169)))=0,"","Asset ID: "&amp;IF(LEN(INDEX('Assets'!$B$4:$B$503,_calc!$E$169))=0,"",INDEX('Assets'!$B$4:$B$503,_calc!$E$169))&amp;". ")&amp;IF(LEN(IF(LEN(INDEX('Assets'!$C$4:$C$503,_calc!$E$169))=0,"",INDEX('Assets'!$C$4:$C$503,_calc!$E$169)))=0,"","Location: "&amp;IF(LEN(INDEX('Assets'!$C$4:$C$503,_calc!$E$169))=0,"",INDEX('Assets'!$C$4:$C$503,_calc!$E$169))&amp;". ")&amp;IF(LEN(IF(LEN(INDEX('Assets'!$E$4:$E$503,_calc!$E$169))=0,"",INDEX('Assets'!$E$4:$E$503,_calc!$E$169)))=0,"","Every (months): "&amp;IF(LEN(INDEX('Assets'!$E$4:$E$503,_calc!$E$169))=0,"",INDEX('Assets'!$E$4:$E$503,_calc!$E$169))&amp;". ")&amp;IF(LEN(IF(LEN(INDEX('Assets'!$M$4:$M$503,_calc!$E$169))=0,"",INDEX('Assets'!$M$4:$M$503,_calc!$E$169)))=0,"","Last result: "&amp;IF(LEN(INDEX('Assets'!$M$4:$M$503,_calc!$E$169))=0,"",INDEX('Assets'!$M$4:$M$503,_calc!$E$169))&amp;". ")&amp;IF(LEN(IF(LEN(INDEX('Assets'!$Q$4:$Q$503,_calc!$E$169))=0,"",INDEX('Assets'!$Q$4:$Q$503,_calc!$E$169)))=0,"",IF(LEN(INDEX('Assets'!$Q$4:$Q$503,_calc!$E$169))=0,"",INDEX('Assets'!$Q$4:$Q$503,_calc!$E$169)))))</f>
        <v/>
      </c>
      <c r="G167" s="44">
        <f>IF(_calc!$E$169="","",IF(LEN(INDEX('Assets'!$P$4:$P$503,_calc!$E$169))=0,"",INDEX('Assets'!$P$4:$P$503,_calc!$E$169)))</f>
        <v/>
      </c>
      <c r="K167" s="44">
        <f>IF(_calc!$E$169="","",IF(LEN(INDEX('Assets'!$N$4:$N$503,_calc!$E$169))=0,"",INDEX('Assets'!$N$4:$N$503,_calc!$E$169)))</f>
        <v/>
      </c>
    </row>
    <row r="168">
      <c r="A168" s="44">
        <f>IF(_calc!$E$170="","",IF(LEN(INDEX('Assets'!$D$4:$D$503,_calc!$E$170))=0,"",INDEX('Assets'!$D$4:$D$503,_calc!$E$170))&amp;" – "&amp;IF(LEN(INDEX('Assets'!$A$4:$A$503,_calc!$E$170))=0,"",INDEX('Assets'!$A$4:$A$503,_calc!$E$170)))</f>
        <v/>
      </c>
      <c r="B168" s="44">
        <f>IF(_calc!$E$170="","",IF(ISNUMBER(INDEX('Assets'!$G$4:$G$503,_calc!$E$170)),TEXT(INDEX('Assets'!$G$4:$G$503,_calc!$E$170),"yyyy-mm-dd"),""))</f>
        <v/>
      </c>
      <c r="C168" s="44">
        <f>IF(_calc!$E$170="","","Inspection")</f>
        <v/>
      </c>
      <c r="D168" s="44">
        <f>IF(_calc!$E$170="","",IF(ISNUMBER(INDEX('Assets'!$F$4:$F$503,_calc!$E$170)),TEXT(INDEX('Assets'!$F$4:$F$503,_calc!$E$170),"yyyy-mm-dd"),""))</f>
        <v/>
      </c>
      <c r="E168" s="44">
        <f>IF(_calc!$E$170="","",IF(LEN(INDEX('Assets'!$O$4:$O$503,_calc!$E$170))=0,"",INDEX('Assets'!$O$4:$O$503,_calc!$E$170)))</f>
        <v/>
      </c>
      <c r="F168" s="44">
        <f>IF(_calc!$E$170="","",TRIM(IF(LEN(IF(LEN(INDEX('Assets'!$B$4:$B$503,_calc!$E$170))=0,"",INDEX('Assets'!$B$4:$B$503,_calc!$E$170)))=0,"","Asset ID: "&amp;IF(LEN(INDEX('Assets'!$B$4:$B$503,_calc!$E$170))=0,"",INDEX('Assets'!$B$4:$B$503,_calc!$E$170))&amp;". ")&amp;IF(LEN(IF(LEN(INDEX('Assets'!$C$4:$C$503,_calc!$E$170))=0,"",INDEX('Assets'!$C$4:$C$503,_calc!$E$170)))=0,"","Location: "&amp;IF(LEN(INDEX('Assets'!$C$4:$C$503,_calc!$E$170))=0,"",INDEX('Assets'!$C$4:$C$503,_calc!$E$170))&amp;". ")&amp;IF(LEN(IF(LEN(INDEX('Assets'!$E$4:$E$503,_calc!$E$170))=0,"",INDEX('Assets'!$E$4:$E$503,_calc!$E$170)))=0,"","Every (months): "&amp;IF(LEN(INDEX('Assets'!$E$4:$E$503,_calc!$E$170))=0,"",INDEX('Assets'!$E$4:$E$503,_calc!$E$170))&amp;". ")&amp;IF(LEN(IF(LEN(INDEX('Assets'!$M$4:$M$503,_calc!$E$170))=0,"",INDEX('Assets'!$M$4:$M$503,_calc!$E$170)))=0,"","Last result: "&amp;IF(LEN(INDEX('Assets'!$M$4:$M$503,_calc!$E$170))=0,"",INDEX('Assets'!$M$4:$M$503,_calc!$E$170))&amp;". ")&amp;IF(LEN(IF(LEN(INDEX('Assets'!$Q$4:$Q$503,_calc!$E$170))=0,"",INDEX('Assets'!$Q$4:$Q$503,_calc!$E$170)))=0,"",IF(LEN(INDEX('Assets'!$Q$4:$Q$503,_calc!$E$170))=0,"",INDEX('Assets'!$Q$4:$Q$503,_calc!$E$170)))))</f>
        <v/>
      </c>
      <c r="G168" s="44">
        <f>IF(_calc!$E$170="","",IF(LEN(INDEX('Assets'!$P$4:$P$503,_calc!$E$170))=0,"",INDEX('Assets'!$P$4:$P$503,_calc!$E$170)))</f>
        <v/>
      </c>
      <c r="K168" s="44">
        <f>IF(_calc!$E$170="","",IF(LEN(INDEX('Assets'!$N$4:$N$503,_calc!$E$170))=0,"",INDEX('Assets'!$N$4:$N$503,_calc!$E$170)))</f>
        <v/>
      </c>
    </row>
    <row r="169">
      <c r="A169" s="44">
        <f>IF(_calc!$E$171="","",IF(LEN(INDEX('Assets'!$D$4:$D$503,_calc!$E$171))=0,"",INDEX('Assets'!$D$4:$D$503,_calc!$E$171))&amp;" – "&amp;IF(LEN(INDEX('Assets'!$A$4:$A$503,_calc!$E$171))=0,"",INDEX('Assets'!$A$4:$A$503,_calc!$E$171)))</f>
        <v/>
      </c>
      <c r="B169" s="44">
        <f>IF(_calc!$E$171="","",IF(ISNUMBER(INDEX('Assets'!$G$4:$G$503,_calc!$E$171)),TEXT(INDEX('Assets'!$G$4:$G$503,_calc!$E$171),"yyyy-mm-dd"),""))</f>
        <v/>
      </c>
      <c r="C169" s="44">
        <f>IF(_calc!$E$171="","","Inspection")</f>
        <v/>
      </c>
      <c r="D169" s="44">
        <f>IF(_calc!$E$171="","",IF(ISNUMBER(INDEX('Assets'!$F$4:$F$503,_calc!$E$171)),TEXT(INDEX('Assets'!$F$4:$F$503,_calc!$E$171),"yyyy-mm-dd"),""))</f>
        <v/>
      </c>
      <c r="E169" s="44">
        <f>IF(_calc!$E$171="","",IF(LEN(INDEX('Assets'!$O$4:$O$503,_calc!$E$171))=0,"",INDEX('Assets'!$O$4:$O$503,_calc!$E$171)))</f>
        <v/>
      </c>
      <c r="F169" s="44">
        <f>IF(_calc!$E$171="","",TRIM(IF(LEN(IF(LEN(INDEX('Assets'!$B$4:$B$503,_calc!$E$171))=0,"",INDEX('Assets'!$B$4:$B$503,_calc!$E$171)))=0,"","Asset ID: "&amp;IF(LEN(INDEX('Assets'!$B$4:$B$503,_calc!$E$171))=0,"",INDEX('Assets'!$B$4:$B$503,_calc!$E$171))&amp;". ")&amp;IF(LEN(IF(LEN(INDEX('Assets'!$C$4:$C$503,_calc!$E$171))=0,"",INDEX('Assets'!$C$4:$C$503,_calc!$E$171)))=0,"","Location: "&amp;IF(LEN(INDEX('Assets'!$C$4:$C$503,_calc!$E$171))=0,"",INDEX('Assets'!$C$4:$C$503,_calc!$E$171))&amp;". ")&amp;IF(LEN(IF(LEN(INDEX('Assets'!$E$4:$E$503,_calc!$E$171))=0,"",INDEX('Assets'!$E$4:$E$503,_calc!$E$171)))=0,"","Every (months): "&amp;IF(LEN(INDEX('Assets'!$E$4:$E$503,_calc!$E$171))=0,"",INDEX('Assets'!$E$4:$E$503,_calc!$E$171))&amp;". ")&amp;IF(LEN(IF(LEN(INDEX('Assets'!$M$4:$M$503,_calc!$E$171))=0,"",INDEX('Assets'!$M$4:$M$503,_calc!$E$171)))=0,"","Last result: "&amp;IF(LEN(INDEX('Assets'!$M$4:$M$503,_calc!$E$171))=0,"",INDEX('Assets'!$M$4:$M$503,_calc!$E$171))&amp;". ")&amp;IF(LEN(IF(LEN(INDEX('Assets'!$Q$4:$Q$503,_calc!$E$171))=0,"",INDEX('Assets'!$Q$4:$Q$503,_calc!$E$171)))=0,"",IF(LEN(INDEX('Assets'!$Q$4:$Q$503,_calc!$E$171))=0,"",INDEX('Assets'!$Q$4:$Q$503,_calc!$E$171)))))</f>
        <v/>
      </c>
      <c r="G169" s="44">
        <f>IF(_calc!$E$171="","",IF(LEN(INDEX('Assets'!$P$4:$P$503,_calc!$E$171))=0,"",INDEX('Assets'!$P$4:$P$503,_calc!$E$171)))</f>
        <v/>
      </c>
      <c r="K169" s="44">
        <f>IF(_calc!$E$171="","",IF(LEN(INDEX('Assets'!$N$4:$N$503,_calc!$E$171))=0,"",INDEX('Assets'!$N$4:$N$503,_calc!$E$171)))</f>
        <v/>
      </c>
    </row>
    <row r="170">
      <c r="A170" s="44">
        <f>IF(_calc!$E$172="","",IF(LEN(INDEX('Assets'!$D$4:$D$503,_calc!$E$172))=0,"",INDEX('Assets'!$D$4:$D$503,_calc!$E$172))&amp;" – "&amp;IF(LEN(INDEX('Assets'!$A$4:$A$503,_calc!$E$172))=0,"",INDEX('Assets'!$A$4:$A$503,_calc!$E$172)))</f>
        <v/>
      </c>
      <c r="B170" s="44">
        <f>IF(_calc!$E$172="","",IF(ISNUMBER(INDEX('Assets'!$G$4:$G$503,_calc!$E$172)),TEXT(INDEX('Assets'!$G$4:$G$503,_calc!$E$172),"yyyy-mm-dd"),""))</f>
        <v/>
      </c>
      <c r="C170" s="44">
        <f>IF(_calc!$E$172="","","Inspection")</f>
        <v/>
      </c>
      <c r="D170" s="44">
        <f>IF(_calc!$E$172="","",IF(ISNUMBER(INDEX('Assets'!$F$4:$F$503,_calc!$E$172)),TEXT(INDEX('Assets'!$F$4:$F$503,_calc!$E$172),"yyyy-mm-dd"),""))</f>
        <v/>
      </c>
      <c r="E170" s="44">
        <f>IF(_calc!$E$172="","",IF(LEN(INDEX('Assets'!$O$4:$O$503,_calc!$E$172))=0,"",INDEX('Assets'!$O$4:$O$503,_calc!$E$172)))</f>
        <v/>
      </c>
      <c r="F170" s="44">
        <f>IF(_calc!$E$172="","",TRIM(IF(LEN(IF(LEN(INDEX('Assets'!$B$4:$B$503,_calc!$E$172))=0,"",INDEX('Assets'!$B$4:$B$503,_calc!$E$172)))=0,"","Asset ID: "&amp;IF(LEN(INDEX('Assets'!$B$4:$B$503,_calc!$E$172))=0,"",INDEX('Assets'!$B$4:$B$503,_calc!$E$172))&amp;". ")&amp;IF(LEN(IF(LEN(INDEX('Assets'!$C$4:$C$503,_calc!$E$172))=0,"",INDEX('Assets'!$C$4:$C$503,_calc!$E$172)))=0,"","Location: "&amp;IF(LEN(INDEX('Assets'!$C$4:$C$503,_calc!$E$172))=0,"",INDEX('Assets'!$C$4:$C$503,_calc!$E$172))&amp;". ")&amp;IF(LEN(IF(LEN(INDEX('Assets'!$E$4:$E$503,_calc!$E$172))=0,"",INDEX('Assets'!$E$4:$E$503,_calc!$E$172)))=0,"","Every (months): "&amp;IF(LEN(INDEX('Assets'!$E$4:$E$503,_calc!$E$172))=0,"",INDEX('Assets'!$E$4:$E$503,_calc!$E$172))&amp;". ")&amp;IF(LEN(IF(LEN(INDEX('Assets'!$M$4:$M$503,_calc!$E$172))=0,"",INDEX('Assets'!$M$4:$M$503,_calc!$E$172)))=0,"","Last result: "&amp;IF(LEN(INDEX('Assets'!$M$4:$M$503,_calc!$E$172))=0,"",INDEX('Assets'!$M$4:$M$503,_calc!$E$172))&amp;". ")&amp;IF(LEN(IF(LEN(INDEX('Assets'!$Q$4:$Q$503,_calc!$E$172))=0,"",INDEX('Assets'!$Q$4:$Q$503,_calc!$E$172)))=0,"",IF(LEN(INDEX('Assets'!$Q$4:$Q$503,_calc!$E$172))=0,"",INDEX('Assets'!$Q$4:$Q$503,_calc!$E$172)))))</f>
        <v/>
      </c>
      <c r="G170" s="44">
        <f>IF(_calc!$E$172="","",IF(LEN(INDEX('Assets'!$P$4:$P$503,_calc!$E$172))=0,"",INDEX('Assets'!$P$4:$P$503,_calc!$E$172)))</f>
        <v/>
      </c>
      <c r="K170" s="44">
        <f>IF(_calc!$E$172="","",IF(LEN(INDEX('Assets'!$N$4:$N$503,_calc!$E$172))=0,"",INDEX('Assets'!$N$4:$N$503,_calc!$E$172)))</f>
        <v/>
      </c>
    </row>
    <row r="171">
      <c r="A171" s="44">
        <f>IF(_calc!$E$173="","",IF(LEN(INDEX('Assets'!$D$4:$D$503,_calc!$E$173))=0,"",INDEX('Assets'!$D$4:$D$503,_calc!$E$173))&amp;" – "&amp;IF(LEN(INDEX('Assets'!$A$4:$A$503,_calc!$E$173))=0,"",INDEX('Assets'!$A$4:$A$503,_calc!$E$173)))</f>
        <v/>
      </c>
      <c r="B171" s="44">
        <f>IF(_calc!$E$173="","",IF(ISNUMBER(INDEX('Assets'!$G$4:$G$503,_calc!$E$173)),TEXT(INDEX('Assets'!$G$4:$G$503,_calc!$E$173),"yyyy-mm-dd"),""))</f>
        <v/>
      </c>
      <c r="C171" s="44">
        <f>IF(_calc!$E$173="","","Inspection")</f>
        <v/>
      </c>
      <c r="D171" s="44">
        <f>IF(_calc!$E$173="","",IF(ISNUMBER(INDEX('Assets'!$F$4:$F$503,_calc!$E$173)),TEXT(INDEX('Assets'!$F$4:$F$503,_calc!$E$173),"yyyy-mm-dd"),""))</f>
        <v/>
      </c>
      <c r="E171" s="44">
        <f>IF(_calc!$E$173="","",IF(LEN(INDEX('Assets'!$O$4:$O$503,_calc!$E$173))=0,"",INDEX('Assets'!$O$4:$O$503,_calc!$E$173)))</f>
        <v/>
      </c>
      <c r="F171" s="44">
        <f>IF(_calc!$E$173="","",TRIM(IF(LEN(IF(LEN(INDEX('Assets'!$B$4:$B$503,_calc!$E$173))=0,"",INDEX('Assets'!$B$4:$B$503,_calc!$E$173)))=0,"","Asset ID: "&amp;IF(LEN(INDEX('Assets'!$B$4:$B$503,_calc!$E$173))=0,"",INDEX('Assets'!$B$4:$B$503,_calc!$E$173))&amp;". ")&amp;IF(LEN(IF(LEN(INDEX('Assets'!$C$4:$C$503,_calc!$E$173))=0,"",INDEX('Assets'!$C$4:$C$503,_calc!$E$173)))=0,"","Location: "&amp;IF(LEN(INDEX('Assets'!$C$4:$C$503,_calc!$E$173))=0,"",INDEX('Assets'!$C$4:$C$503,_calc!$E$173))&amp;". ")&amp;IF(LEN(IF(LEN(INDEX('Assets'!$E$4:$E$503,_calc!$E$173))=0,"",INDEX('Assets'!$E$4:$E$503,_calc!$E$173)))=0,"","Every (months): "&amp;IF(LEN(INDEX('Assets'!$E$4:$E$503,_calc!$E$173))=0,"",INDEX('Assets'!$E$4:$E$503,_calc!$E$173))&amp;". ")&amp;IF(LEN(IF(LEN(INDEX('Assets'!$M$4:$M$503,_calc!$E$173))=0,"",INDEX('Assets'!$M$4:$M$503,_calc!$E$173)))=0,"","Last result: "&amp;IF(LEN(INDEX('Assets'!$M$4:$M$503,_calc!$E$173))=0,"",INDEX('Assets'!$M$4:$M$503,_calc!$E$173))&amp;". ")&amp;IF(LEN(IF(LEN(INDEX('Assets'!$Q$4:$Q$503,_calc!$E$173))=0,"",INDEX('Assets'!$Q$4:$Q$503,_calc!$E$173)))=0,"",IF(LEN(INDEX('Assets'!$Q$4:$Q$503,_calc!$E$173))=0,"",INDEX('Assets'!$Q$4:$Q$503,_calc!$E$173)))))</f>
        <v/>
      </c>
      <c r="G171" s="44">
        <f>IF(_calc!$E$173="","",IF(LEN(INDEX('Assets'!$P$4:$P$503,_calc!$E$173))=0,"",INDEX('Assets'!$P$4:$P$503,_calc!$E$173)))</f>
        <v/>
      </c>
      <c r="K171" s="44">
        <f>IF(_calc!$E$173="","",IF(LEN(INDEX('Assets'!$N$4:$N$503,_calc!$E$173))=0,"",INDEX('Assets'!$N$4:$N$503,_calc!$E$173)))</f>
        <v/>
      </c>
    </row>
    <row r="172">
      <c r="A172" s="44">
        <f>IF(_calc!$E$174="","",IF(LEN(INDEX('Assets'!$D$4:$D$503,_calc!$E$174))=0,"",INDEX('Assets'!$D$4:$D$503,_calc!$E$174))&amp;" – "&amp;IF(LEN(INDEX('Assets'!$A$4:$A$503,_calc!$E$174))=0,"",INDEX('Assets'!$A$4:$A$503,_calc!$E$174)))</f>
        <v/>
      </c>
      <c r="B172" s="44">
        <f>IF(_calc!$E$174="","",IF(ISNUMBER(INDEX('Assets'!$G$4:$G$503,_calc!$E$174)),TEXT(INDEX('Assets'!$G$4:$G$503,_calc!$E$174),"yyyy-mm-dd"),""))</f>
        <v/>
      </c>
      <c r="C172" s="44">
        <f>IF(_calc!$E$174="","","Inspection")</f>
        <v/>
      </c>
      <c r="D172" s="44">
        <f>IF(_calc!$E$174="","",IF(ISNUMBER(INDEX('Assets'!$F$4:$F$503,_calc!$E$174)),TEXT(INDEX('Assets'!$F$4:$F$503,_calc!$E$174),"yyyy-mm-dd"),""))</f>
        <v/>
      </c>
      <c r="E172" s="44">
        <f>IF(_calc!$E$174="","",IF(LEN(INDEX('Assets'!$O$4:$O$503,_calc!$E$174))=0,"",INDEX('Assets'!$O$4:$O$503,_calc!$E$174)))</f>
        <v/>
      </c>
      <c r="F172" s="44">
        <f>IF(_calc!$E$174="","",TRIM(IF(LEN(IF(LEN(INDEX('Assets'!$B$4:$B$503,_calc!$E$174))=0,"",INDEX('Assets'!$B$4:$B$503,_calc!$E$174)))=0,"","Asset ID: "&amp;IF(LEN(INDEX('Assets'!$B$4:$B$503,_calc!$E$174))=0,"",INDEX('Assets'!$B$4:$B$503,_calc!$E$174))&amp;". ")&amp;IF(LEN(IF(LEN(INDEX('Assets'!$C$4:$C$503,_calc!$E$174))=0,"",INDEX('Assets'!$C$4:$C$503,_calc!$E$174)))=0,"","Location: "&amp;IF(LEN(INDEX('Assets'!$C$4:$C$503,_calc!$E$174))=0,"",INDEX('Assets'!$C$4:$C$503,_calc!$E$174))&amp;". ")&amp;IF(LEN(IF(LEN(INDEX('Assets'!$E$4:$E$503,_calc!$E$174))=0,"",INDEX('Assets'!$E$4:$E$503,_calc!$E$174)))=0,"","Every (months): "&amp;IF(LEN(INDEX('Assets'!$E$4:$E$503,_calc!$E$174))=0,"",INDEX('Assets'!$E$4:$E$503,_calc!$E$174))&amp;". ")&amp;IF(LEN(IF(LEN(INDEX('Assets'!$M$4:$M$503,_calc!$E$174))=0,"",INDEX('Assets'!$M$4:$M$503,_calc!$E$174)))=0,"","Last result: "&amp;IF(LEN(INDEX('Assets'!$M$4:$M$503,_calc!$E$174))=0,"",INDEX('Assets'!$M$4:$M$503,_calc!$E$174))&amp;". ")&amp;IF(LEN(IF(LEN(INDEX('Assets'!$Q$4:$Q$503,_calc!$E$174))=0,"",INDEX('Assets'!$Q$4:$Q$503,_calc!$E$174)))=0,"",IF(LEN(INDEX('Assets'!$Q$4:$Q$503,_calc!$E$174))=0,"",INDEX('Assets'!$Q$4:$Q$503,_calc!$E$174)))))</f>
        <v/>
      </c>
      <c r="G172" s="44">
        <f>IF(_calc!$E$174="","",IF(LEN(INDEX('Assets'!$P$4:$P$503,_calc!$E$174))=0,"",INDEX('Assets'!$P$4:$P$503,_calc!$E$174)))</f>
        <v/>
      </c>
      <c r="K172" s="44">
        <f>IF(_calc!$E$174="","",IF(LEN(INDEX('Assets'!$N$4:$N$503,_calc!$E$174))=0,"",INDEX('Assets'!$N$4:$N$503,_calc!$E$174)))</f>
        <v/>
      </c>
    </row>
    <row r="173">
      <c r="A173" s="44">
        <f>IF(_calc!$E$175="","",IF(LEN(INDEX('Assets'!$D$4:$D$503,_calc!$E$175))=0,"",INDEX('Assets'!$D$4:$D$503,_calc!$E$175))&amp;" – "&amp;IF(LEN(INDEX('Assets'!$A$4:$A$503,_calc!$E$175))=0,"",INDEX('Assets'!$A$4:$A$503,_calc!$E$175)))</f>
        <v/>
      </c>
      <c r="B173" s="44">
        <f>IF(_calc!$E$175="","",IF(ISNUMBER(INDEX('Assets'!$G$4:$G$503,_calc!$E$175)),TEXT(INDEX('Assets'!$G$4:$G$503,_calc!$E$175),"yyyy-mm-dd"),""))</f>
        <v/>
      </c>
      <c r="C173" s="44">
        <f>IF(_calc!$E$175="","","Inspection")</f>
        <v/>
      </c>
      <c r="D173" s="44">
        <f>IF(_calc!$E$175="","",IF(ISNUMBER(INDEX('Assets'!$F$4:$F$503,_calc!$E$175)),TEXT(INDEX('Assets'!$F$4:$F$503,_calc!$E$175),"yyyy-mm-dd"),""))</f>
        <v/>
      </c>
      <c r="E173" s="44">
        <f>IF(_calc!$E$175="","",IF(LEN(INDEX('Assets'!$O$4:$O$503,_calc!$E$175))=0,"",INDEX('Assets'!$O$4:$O$503,_calc!$E$175)))</f>
        <v/>
      </c>
      <c r="F173" s="44">
        <f>IF(_calc!$E$175="","",TRIM(IF(LEN(IF(LEN(INDEX('Assets'!$B$4:$B$503,_calc!$E$175))=0,"",INDEX('Assets'!$B$4:$B$503,_calc!$E$175)))=0,"","Asset ID: "&amp;IF(LEN(INDEX('Assets'!$B$4:$B$503,_calc!$E$175))=0,"",INDEX('Assets'!$B$4:$B$503,_calc!$E$175))&amp;". ")&amp;IF(LEN(IF(LEN(INDEX('Assets'!$C$4:$C$503,_calc!$E$175))=0,"",INDEX('Assets'!$C$4:$C$503,_calc!$E$175)))=0,"","Location: "&amp;IF(LEN(INDEX('Assets'!$C$4:$C$503,_calc!$E$175))=0,"",INDEX('Assets'!$C$4:$C$503,_calc!$E$175))&amp;". ")&amp;IF(LEN(IF(LEN(INDEX('Assets'!$E$4:$E$503,_calc!$E$175))=0,"",INDEX('Assets'!$E$4:$E$503,_calc!$E$175)))=0,"","Every (months): "&amp;IF(LEN(INDEX('Assets'!$E$4:$E$503,_calc!$E$175))=0,"",INDEX('Assets'!$E$4:$E$503,_calc!$E$175))&amp;". ")&amp;IF(LEN(IF(LEN(INDEX('Assets'!$M$4:$M$503,_calc!$E$175))=0,"",INDEX('Assets'!$M$4:$M$503,_calc!$E$175)))=0,"","Last result: "&amp;IF(LEN(INDEX('Assets'!$M$4:$M$503,_calc!$E$175))=0,"",INDEX('Assets'!$M$4:$M$503,_calc!$E$175))&amp;". ")&amp;IF(LEN(IF(LEN(INDEX('Assets'!$Q$4:$Q$503,_calc!$E$175))=0,"",INDEX('Assets'!$Q$4:$Q$503,_calc!$E$175)))=0,"",IF(LEN(INDEX('Assets'!$Q$4:$Q$503,_calc!$E$175))=0,"",INDEX('Assets'!$Q$4:$Q$503,_calc!$E$175)))))</f>
        <v/>
      </c>
      <c r="G173" s="44">
        <f>IF(_calc!$E$175="","",IF(LEN(INDEX('Assets'!$P$4:$P$503,_calc!$E$175))=0,"",INDEX('Assets'!$P$4:$P$503,_calc!$E$175)))</f>
        <v/>
      </c>
      <c r="K173" s="44">
        <f>IF(_calc!$E$175="","",IF(LEN(INDEX('Assets'!$N$4:$N$503,_calc!$E$175))=0,"",INDEX('Assets'!$N$4:$N$503,_calc!$E$175)))</f>
        <v/>
      </c>
    </row>
    <row r="174">
      <c r="A174" s="44">
        <f>IF(_calc!$E$176="","",IF(LEN(INDEX('Assets'!$D$4:$D$503,_calc!$E$176))=0,"",INDEX('Assets'!$D$4:$D$503,_calc!$E$176))&amp;" – "&amp;IF(LEN(INDEX('Assets'!$A$4:$A$503,_calc!$E$176))=0,"",INDEX('Assets'!$A$4:$A$503,_calc!$E$176)))</f>
        <v/>
      </c>
      <c r="B174" s="44">
        <f>IF(_calc!$E$176="","",IF(ISNUMBER(INDEX('Assets'!$G$4:$G$503,_calc!$E$176)),TEXT(INDEX('Assets'!$G$4:$G$503,_calc!$E$176),"yyyy-mm-dd"),""))</f>
        <v/>
      </c>
      <c r="C174" s="44">
        <f>IF(_calc!$E$176="","","Inspection")</f>
        <v/>
      </c>
      <c r="D174" s="44">
        <f>IF(_calc!$E$176="","",IF(ISNUMBER(INDEX('Assets'!$F$4:$F$503,_calc!$E$176)),TEXT(INDEX('Assets'!$F$4:$F$503,_calc!$E$176),"yyyy-mm-dd"),""))</f>
        <v/>
      </c>
      <c r="E174" s="44">
        <f>IF(_calc!$E$176="","",IF(LEN(INDEX('Assets'!$O$4:$O$503,_calc!$E$176))=0,"",INDEX('Assets'!$O$4:$O$503,_calc!$E$176)))</f>
        <v/>
      </c>
      <c r="F174" s="44">
        <f>IF(_calc!$E$176="","",TRIM(IF(LEN(IF(LEN(INDEX('Assets'!$B$4:$B$503,_calc!$E$176))=0,"",INDEX('Assets'!$B$4:$B$503,_calc!$E$176)))=0,"","Asset ID: "&amp;IF(LEN(INDEX('Assets'!$B$4:$B$503,_calc!$E$176))=0,"",INDEX('Assets'!$B$4:$B$503,_calc!$E$176))&amp;". ")&amp;IF(LEN(IF(LEN(INDEX('Assets'!$C$4:$C$503,_calc!$E$176))=0,"",INDEX('Assets'!$C$4:$C$503,_calc!$E$176)))=0,"","Location: "&amp;IF(LEN(INDEX('Assets'!$C$4:$C$503,_calc!$E$176))=0,"",INDEX('Assets'!$C$4:$C$503,_calc!$E$176))&amp;". ")&amp;IF(LEN(IF(LEN(INDEX('Assets'!$E$4:$E$503,_calc!$E$176))=0,"",INDEX('Assets'!$E$4:$E$503,_calc!$E$176)))=0,"","Every (months): "&amp;IF(LEN(INDEX('Assets'!$E$4:$E$503,_calc!$E$176))=0,"",INDEX('Assets'!$E$4:$E$503,_calc!$E$176))&amp;". ")&amp;IF(LEN(IF(LEN(INDEX('Assets'!$M$4:$M$503,_calc!$E$176))=0,"",INDEX('Assets'!$M$4:$M$503,_calc!$E$176)))=0,"","Last result: "&amp;IF(LEN(INDEX('Assets'!$M$4:$M$503,_calc!$E$176))=0,"",INDEX('Assets'!$M$4:$M$503,_calc!$E$176))&amp;". ")&amp;IF(LEN(IF(LEN(INDEX('Assets'!$Q$4:$Q$503,_calc!$E$176))=0,"",INDEX('Assets'!$Q$4:$Q$503,_calc!$E$176)))=0,"",IF(LEN(INDEX('Assets'!$Q$4:$Q$503,_calc!$E$176))=0,"",INDEX('Assets'!$Q$4:$Q$503,_calc!$E$176)))))</f>
        <v/>
      </c>
      <c r="G174" s="44">
        <f>IF(_calc!$E$176="","",IF(LEN(INDEX('Assets'!$P$4:$P$503,_calc!$E$176))=0,"",INDEX('Assets'!$P$4:$P$503,_calc!$E$176)))</f>
        <v/>
      </c>
      <c r="K174" s="44">
        <f>IF(_calc!$E$176="","",IF(LEN(INDEX('Assets'!$N$4:$N$503,_calc!$E$176))=0,"",INDEX('Assets'!$N$4:$N$503,_calc!$E$176)))</f>
        <v/>
      </c>
    </row>
    <row r="175">
      <c r="A175" s="44">
        <f>IF(_calc!$E$177="","",IF(LEN(INDEX('Assets'!$D$4:$D$503,_calc!$E$177))=0,"",INDEX('Assets'!$D$4:$D$503,_calc!$E$177))&amp;" – "&amp;IF(LEN(INDEX('Assets'!$A$4:$A$503,_calc!$E$177))=0,"",INDEX('Assets'!$A$4:$A$503,_calc!$E$177)))</f>
        <v/>
      </c>
      <c r="B175" s="44">
        <f>IF(_calc!$E$177="","",IF(ISNUMBER(INDEX('Assets'!$G$4:$G$503,_calc!$E$177)),TEXT(INDEX('Assets'!$G$4:$G$503,_calc!$E$177),"yyyy-mm-dd"),""))</f>
        <v/>
      </c>
      <c r="C175" s="44">
        <f>IF(_calc!$E$177="","","Inspection")</f>
        <v/>
      </c>
      <c r="D175" s="44">
        <f>IF(_calc!$E$177="","",IF(ISNUMBER(INDEX('Assets'!$F$4:$F$503,_calc!$E$177)),TEXT(INDEX('Assets'!$F$4:$F$503,_calc!$E$177),"yyyy-mm-dd"),""))</f>
        <v/>
      </c>
      <c r="E175" s="44">
        <f>IF(_calc!$E$177="","",IF(LEN(INDEX('Assets'!$O$4:$O$503,_calc!$E$177))=0,"",INDEX('Assets'!$O$4:$O$503,_calc!$E$177)))</f>
        <v/>
      </c>
      <c r="F175" s="44">
        <f>IF(_calc!$E$177="","",TRIM(IF(LEN(IF(LEN(INDEX('Assets'!$B$4:$B$503,_calc!$E$177))=0,"",INDEX('Assets'!$B$4:$B$503,_calc!$E$177)))=0,"","Asset ID: "&amp;IF(LEN(INDEX('Assets'!$B$4:$B$503,_calc!$E$177))=0,"",INDEX('Assets'!$B$4:$B$503,_calc!$E$177))&amp;". ")&amp;IF(LEN(IF(LEN(INDEX('Assets'!$C$4:$C$503,_calc!$E$177))=0,"",INDEX('Assets'!$C$4:$C$503,_calc!$E$177)))=0,"","Location: "&amp;IF(LEN(INDEX('Assets'!$C$4:$C$503,_calc!$E$177))=0,"",INDEX('Assets'!$C$4:$C$503,_calc!$E$177))&amp;". ")&amp;IF(LEN(IF(LEN(INDEX('Assets'!$E$4:$E$503,_calc!$E$177))=0,"",INDEX('Assets'!$E$4:$E$503,_calc!$E$177)))=0,"","Every (months): "&amp;IF(LEN(INDEX('Assets'!$E$4:$E$503,_calc!$E$177))=0,"",INDEX('Assets'!$E$4:$E$503,_calc!$E$177))&amp;". ")&amp;IF(LEN(IF(LEN(INDEX('Assets'!$M$4:$M$503,_calc!$E$177))=0,"",INDEX('Assets'!$M$4:$M$503,_calc!$E$177)))=0,"","Last result: "&amp;IF(LEN(INDEX('Assets'!$M$4:$M$503,_calc!$E$177))=0,"",INDEX('Assets'!$M$4:$M$503,_calc!$E$177))&amp;". ")&amp;IF(LEN(IF(LEN(INDEX('Assets'!$Q$4:$Q$503,_calc!$E$177))=0,"",INDEX('Assets'!$Q$4:$Q$503,_calc!$E$177)))=0,"",IF(LEN(INDEX('Assets'!$Q$4:$Q$503,_calc!$E$177))=0,"",INDEX('Assets'!$Q$4:$Q$503,_calc!$E$177)))))</f>
        <v/>
      </c>
      <c r="G175" s="44">
        <f>IF(_calc!$E$177="","",IF(LEN(INDEX('Assets'!$P$4:$P$503,_calc!$E$177))=0,"",INDEX('Assets'!$P$4:$P$503,_calc!$E$177)))</f>
        <v/>
      </c>
      <c r="K175" s="44">
        <f>IF(_calc!$E$177="","",IF(LEN(INDEX('Assets'!$N$4:$N$503,_calc!$E$177))=0,"",INDEX('Assets'!$N$4:$N$503,_calc!$E$177)))</f>
        <v/>
      </c>
    </row>
    <row r="176">
      <c r="A176" s="44">
        <f>IF(_calc!$E$178="","",IF(LEN(INDEX('Assets'!$D$4:$D$503,_calc!$E$178))=0,"",INDEX('Assets'!$D$4:$D$503,_calc!$E$178))&amp;" – "&amp;IF(LEN(INDEX('Assets'!$A$4:$A$503,_calc!$E$178))=0,"",INDEX('Assets'!$A$4:$A$503,_calc!$E$178)))</f>
        <v/>
      </c>
      <c r="B176" s="44">
        <f>IF(_calc!$E$178="","",IF(ISNUMBER(INDEX('Assets'!$G$4:$G$503,_calc!$E$178)),TEXT(INDEX('Assets'!$G$4:$G$503,_calc!$E$178),"yyyy-mm-dd"),""))</f>
        <v/>
      </c>
      <c r="C176" s="44">
        <f>IF(_calc!$E$178="","","Inspection")</f>
        <v/>
      </c>
      <c r="D176" s="44">
        <f>IF(_calc!$E$178="","",IF(ISNUMBER(INDEX('Assets'!$F$4:$F$503,_calc!$E$178)),TEXT(INDEX('Assets'!$F$4:$F$503,_calc!$E$178),"yyyy-mm-dd"),""))</f>
        <v/>
      </c>
      <c r="E176" s="44">
        <f>IF(_calc!$E$178="","",IF(LEN(INDEX('Assets'!$O$4:$O$503,_calc!$E$178))=0,"",INDEX('Assets'!$O$4:$O$503,_calc!$E$178)))</f>
        <v/>
      </c>
      <c r="F176" s="44">
        <f>IF(_calc!$E$178="","",TRIM(IF(LEN(IF(LEN(INDEX('Assets'!$B$4:$B$503,_calc!$E$178))=0,"",INDEX('Assets'!$B$4:$B$503,_calc!$E$178)))=0,"","Asset ID: "&amp;IF(LEN(INDEX('Assets'!$B$4:$B$503,_calc!$E$178))=0,"",INDEX('Assets'!$B$4:$B$503,_calc!$E$178))&amp;". ")&amp;IF(LEN(IF(LEN(INDEX('Assets'!$C$4:$C$503,_calc!$E$178))=0,"",INDEX('Assets'!$C$4:$C$503,_calc!$E$178)))=0,"","Location: "&amp;IF(LEN(INDEX('Assets'!$C$4:$C$503,_calc!$E$178))=0,"",INDEX('Assets'!$C$4:$C$503,_calc!$E$178))&amp;". ")&amp;IF(LEN(IF(LEN(INDEX('Assets'!$E$4:$E$503,_calc!$E$178))=0,"",INDEX('Assets'!$E$4:$E$503,_calc!$E$178)))=0,"","Every (months): "&amp;IF(LEN(INDEX('Assets'!$E$4:$E$503,_calc!$E$178))=0,"",INDEX('Assets'!$E$4:$E$503,_calc!$E$178))&amp;". ")&amp;IF(LEN(IF(LEN(INDEX('Assets'!$M$4:$M$503,_calc!$E$178))=0,"",INDEX('Assets'!$M$4:$M$503,_calc!$E$178)))=0,"","Last result: "&amp;IF(LEN(INDEX('Assets'!$M$4:$M$503,_calc!$E$178))=0,"",INDEX('Assets'!$M$4:$M$503,_calc!$E$178))&amp;". ")&amp;IF(LEN(IF(LEN(INDEX('Assets'!$Q$4:$Q$503,_calc!$E$178))=0,"",INDEX('Assets'!$Q$4:$Q$503,_calc!$E$178)))=0,"",IF(LEN(INDEX('Assets'!$Q$4:$Q$503,_calc!$E$178))=0,"",INDEX('Assets'!$Q$4:$Q$503,_calc!$E$178)))))</f>
        <v/>
      </c>
      <c r="G176" s="44">
        <f>IF(_calc!$E$178="","",IF(LEN(INDEX('Assets'!$P$4:$P$503,_calc!$E$178))=0,"",INDEX('Assets'!$P$4:$P$503,_calc!$E$178)))</f>
        <v/>
      </c>
      <c r="K176" s="44">
        <f>IF(_calc!$E$178="","",IF(LEN(INDEX('Assets'!$N$4:$N$503,_calc!$E$178))=0,"",INDEX('Assets'!$N$4:$N$503,_calc!$E$178)))</f>
        <v/>
      </c>
    </row>
    <row r="177">
      <c r="A177" s="44">
        <f>IF(_calc!$E$179="","",IF(LEN(INDEX('Assets'!$D$4:$D$503,_calc!$E$179))=0,"",INDEX('Assets'!$D$4:$D$503,_calc!$E$179))&amp;" – "&amp;IF(LEN(INDEX('Assets'!$A$4:$A$503,_calc!$E$179))=0,"",INDEX('Assets'!$A$4:$A$503,_calc!$E$179)))</f>
        <v/>
      </c>
      <c r="B177" s="44">
        <f>IF(_calc!$E$179="","",IF(ISNUMBER(INDEX('Assets'!$G$4:$G$503,_calc!$E$179)),TEXT(INDEX('Assets'!$G$4:$G$503,_calc!$E$179),"yyyy-mm-dd"),""))</f>
        <v/>
      </c>
      <c r="C177" s="44">
        <f>IF(_calc!$E$179="","","Inspection")</f>
        <v/>
      </c>
      <c r="D177" s="44">
        <f>IF(_calc!$E$179="","",IF(ISNUMBER(INDEX('Assets'!$F$4:$F$503,_calc!$E$179)),TEXT(INDEX('Assets'!$F$4:$F$503,_calc!$E$179),"yyyy-mm-dd"),""))</f>
        <v/>
      </c>
      <c r="E177" s="44">
        <f>IF(_calc!$E$179="","",IF(LEN(INDEX('Assets'!$O$4:$O$503,_calc!$E$179))=0,"",INDEX('Assets'!$O$4:$O$503,_calc!$E$179)))</f>
        <v/>
      </c>
      <c r="F177" s="44">
        <f>IF(_calc!$E$179="","",TRIM(IF(LEN(IF(LEN(INDEX('Assets'!$B$4:$B$503,_calc!$E$179))=0,"",INDEX('Assets'!$B$4:$B$503,_calc!$E$179)))=0,"","Asset ID: "&amp;IF(LEN(INDEX('Assets'!$B$4:$B$503,_calc!$E$179))=0,"",INDEX('Assets'!$B$4:$B$503,_calc!$E$179))&amp;". ")&amp;IF(LEN(IF(LEN(INDEX('Assets'!$C$4:$C$503,_calc!$E$179))=0,"",INDEX('Assets'!$C$4:$C$503,_calc!$E$179)))=0,"","Location: "&amp;IF(LEN(INDEX('Assets'!$C$4:$C$503,_calc!$E$179))=0,"",INDEX('Assets'!$C$4:$C$503,_calc!$E$179))&amp;". ")&amp;IF(LEN(IF(LEN(INDEX('Assets'!$E$4:$E$503,_calc!$E$179))=0,"",INDEX('Assets'!$E$4:$E$503,_calc!$E$179)))=0,"","Every (months): "&amp;IF(LEN(INDEX('Assets'!$E$4:$E$503,_calc!$E$179))=0,"",INDEX('Assets'!$E$4:$E$503,_calc!$E$179))&amp;". ")&amp;IF(LEN(IF(LEN(INDEX('Assets'!$M$4:$M$503,_calc!$E$179))=0,"",INDEX('Assets'!$M$4:$M$503,_calc!$E$179)))=0,"","Last result: "&amp;IF(LEN(INDEX('Assets'!$M$4:$M$503,_calc!$E$179))=0,"",INDEX('Assets'!$M$4:$M$503,_calc!$E$179))&amp;". ")&amp;IF(LEN(IF(LEN(INDEX('Assets'!$Q$4:$Q$503,_calc!$E$179))=0,"",INDEX('Assets'!$Q$4:$Q$503,_calc!$E$179)))=0,"",IF(LEN(INDEX('Assets'!$Q$4:$Q$503,_calc!$E$179))=0,"",INDEX('Assets'!$Q$4:$Q$503,_calc!$E$179)))))</f>
        <v/>
      </c>
      <c r="G177" s="44">
        <f>IF(_calc!$E$179="","",IF(LEN(INDEX('Assets'!$P$4:$P$503,_calc!$E$179))=0,"",INDEX('Assets'!$P$4:$P$503,_calc!$E$179)))</f>
        <v/>
      </c>
      <c r="K177" s="44">
        <f>IF(_calc!$E$179="","",IF(LEN(INDEX('Assets'!$N$4:$N$503,_calc!$E$179))=0,"",INDEX('Assets'!$N$4:$N$503,_calc!$E$179)))</f>
        <v/>
      </c>
    </row>
    <row r="178">
      <c r="A178" s="44">
        <f>IF(_calc!$E$180="","",IF(LEN(INDEX('Assets'!$D$4:$D$503,_calc!$E$180))=0,"",INDEX('Assets'!$D$4:$D$503,_calc!$E$180))&amp;" – "&amp;IF(LEN(INDEX('Assets'!$A$4:$A$503,_calc!$E$180))=0,"",INDEX('Assets'!$A$4:$A$503,_calc!$E$180)))</f>
        <v/>
      </c>
      <c r="B178" s="44">
        <f>IF(_calc!$E$180="","",IF(ISNUMBER(INDEX('Assets'!$G$4:$G$503,_calc!$E$180)),TEXT(INDEX('Assets'!$G$4:$G$503,_calc!$E$180),"yyyy-mm-dd"),""))</f>
        <v/>
      </c>
      <c r="C178" s="44">
        <f>IF(_calc!$E$180="","","Inspection")</f>
        <v/>
      </c>
      <c r="D178" s="44">
        <f>IF(_calc!$E$180="","",IF(ISNUMBER(INDEX('Assets'!$F$4:$F$503,_calc!$E$180)),TEXT(INDEX('Assets'!$F$4:$F$503,_calc!$E$180),"yyyy-mm-dd"),""))</f>
        <v/>
      </c>
      <c r="E178" s="44">
        <f>IF(_calc!$E$180="","",IF(LEN(INDEX('Assets'!$O$4:$O$503,_calc!$E$180))=0,"",INDEX('Assets'!$O$4:$O$503,_calc!$E$180)))</f>
        <v/>
      </c>
      <c r="F178" s="44">
        <f>IF(_calc!$E$180="","",TRIM(IF(LEN(IF(LEN(INDEX('Assets'!$B$4:$B$503,_calc!$E$180))=0,"",INDEX('Assets'!$B$4:$B$503,_calc!$E$180)))=0,"","Asset ID: "&amp;IF(LEN(INDEX('Assets'!$B$4:$B$503,_calc!$E$180))=0,"",INDEX('Assets'!$B$4:$B$503,_calc!$E$180))&amp;". ")&amp;IF(LEN(IF(LEN(INDEX('Assets'!$C$4:$C$503,_calc!$E$180))=0,"",INDEX('Assets'!$C$4:$C$503,_calc!$E$180)))=0,"","Location: "&amp;IF(LEN(INDEX('Assets'!$C$4:$C$503,_calc!$E$180))=0,"",INDEX('Assets'!$C$4:$C$503,_calc!$E$180))&amp;". ")&amp;IF(LEN(IF(LEN(INDEX('Assets'!$E$4:$E$503,_calc!$E$180))=0,"",INDEX('Assets'!$E$4:$E$503,_calc!$E$180)))=0,"","Every (months): "&amp;IF(LEN(INDEX('Assets'!$E$4:$E$503,_calc!$E$180))=0,"",INDEX('Assets'!$E$4:$E$503,_calc!$E$180))&amp;". ")&amp;IF(LEN(IF(LEN(INDEX('Assets'!$M$4:$M$503,_calc!$E$180))=0,"",INDEX('Assets'!$M$4:$M$503,_calc!$E$180)))=0,"","Last result: "&amp;IF(LEN(INDEX('Assets'!$M$4:$M$503,_calc!$E$180))=0,"",INDEX('Assets'!$M$4:$M$503,_calc!$E$180))&amp;". ")&amp;IF(LEN(IF(LEN(INDEX('Assets'!$Q$4:$Q$503,_calc!$E$180))=0,"",INDEX('Assets'!$Q$4:$Q$503,_calc!$E$180)))=0,"",IF(LEN(INDEX('Assets'!$Q$4:$Q$503,_calc!$E$180))=0,"",INDEX('Assets'!$Q$4:$Q$503,_calc!$E$180)))))</f>
        <v/>
      </c>
      <c r="G178" s="44">
        <f>IF(_calc!$E$180="","",IF(LEN(INDEX('Assets'!$P$4:$P$503,_calc!$E$180))=0,"",INDEX('Assets'!$P$4:$P$503,_calc!$E$180)))</f>
        <v/>
      </c>
      <c r="K178" s="44">
        <f>IF(_calc!$E$180="","",IF(LEN(INDEX('Assets'!$N$4:$N$503,_calc!$E$180))=0,"",INDEX('Assets'!$N$4:$N$503,_calc!$E$180)))</f>
        <v/>
      </c>
    </row>
    <row r="179">
      <c r="A179" s="44">
        <f>IF(_calc!$E$181="","",IF(LEN(INDEX('Assets'!$D$4:$D$503,_calc!$E$181))=0,"",INDEX('Assets'!$D$4:$D$503,_calc!$E$181))&amp;" – "&amp;IF(LEN(INDEX('Assets'!$A$4:$A$503,_calc!$E$181))=0,"",INDEX('Assets'!$A$4:$A$503,_calc!$E$181)))</f>
        <v/>
      </c>
      <c r="B179" s="44">
        <f>IF(_calc!$E$181="","",IF(ISNUMBER(INDEX('Assets'!$G$4:$G$503,_calc!$E$181)),TEXT(INDEX('Assets'!$G$4:$G$503,_calc!$E$181),"yyyy-mm-dd"),""))</f>
        <v/>
      </c>
      <c r="C179" s="44">
        <f>IF(_calc!$E$181="","","Inspection")</f>
        <v/>
      </c>
      <c r="D179" s="44">
        <f>IF(_calc!$E$181="","",IF(ISNUMBER(INDEX('Assets'!$F$4:$F$503,_calc!$E$181)),TEXT(INDEX('Assets'!$F$4:$F$503,_calc!$E$181),"yyyy-mm-dd"),""))</f>
        <v/>
      </c>
      <c r="E179" s="44">
        <f>IF(_calc!$E$181="","",IF(LEN(INDEX('Assets'!$O$4:$O$503,_calc!$E$181))=0,"",INDEX('Assets'!$O$4:$O$503,_calc!$E$181)))</f>
        <v/>
      </c>
      <c r="F179" s="44">
        <f>IF(_calc!$E$181="","",TRIM(IF(LEN(IF(LEN(INDEX('Assets'!$B$4:$B$503,_calc!$E$181))=0,"",INDEX('Assets'!$B$4:$B$503,_calc!$E$181)))=0,"","Asset ID: "&amp;IF(LEN(INDEX('Assets'!$B$4:$B$503,_calc!$E$181))=0,"",INDEX('Assets'!$B$4:$B$503,_calc!$E$181))&amp;". ")&amp;IF(LEN(IF(LEN(INDEX('Assets'!$C$4:$C$503,_calc!$E$181))=0,"",INDEX('Assets'!$C$4:$C$503,_calc!$E$181)))=0,"","Location: "&amp;IF(LEN(INDEX('Assets'!$C$4:$C$503,_calc!$E$181))=0,"",INDEX('Assets'!$C$4:$C$503,_calc!$E$181))&amp;". ")&amp;IF(LEN(IF(LEN(INDEX('Assets'!$E$4:$E$503,_calc!$E$181))=0,"",INDEX('Assets'!$E$4:$E$503,_calc!$E$181)))=0,"","Every (months): "&amp;IF(LEN(INDEX('Assets'!$E$4:$E$503,_calc!$E$181))=0,"",INDEX('Assets'!$E$4:$E$503,_calc!$E$181))&amp;". ")&amp;IF(LEN(IF(LEN(INDEX('Assets'!$M$4:$M$503,_calc!$E$181))=0,"",INDEX('Assets'!$M$4:$M$503,_calc!$E$181)))=0,"","Last result: "&amp;IF(LEN(INDEX('Assets'!$M$4:$M$503,_calc!$E$181))=0,"",INDEX('Assets'!$M$4:$M$503,_calc!$E$181))&amp;". ")&amp;IF(LEN(IF(LEN(INDEX('Assets'!$Q$4:$Q$503,_calc!$E$181))=0,"",INDEX('Assets'!$Q$4:$Q$503,_calc!$E$181)))=0,"",IF(LEN(INDEX('Assets'!$Q$4:$Q$503,_calc!$E$181))=0,"",INDEX('Assets'!$Q$4:$Q$503,_calc!$E$181)))))</f>
        <v/>
      </c>
      <c r="G179" s="44">
        <f>IF(_calc!$E$181="","",IF(LEN(INDEX('Assets'!$P$4:$P$503,_calc!$E$181))=0,"",INDEX('Assets'!$P$4:$P$503,_calc!$E$181)))</f>
        <v/>
      </c>
      <c r="K179" s="44">
        <f>IF(_calc!$E$181="","",IF(LEN(INDEX('Assets'!$N$4:$N$503,_calc!$E$181))=0,"",INDEX('Assets'!$N$4:$N$503,_calc!$E$181)))</f>
        <v/>
      </c>
    </row>
    <row r="180">
      <c r="A180" s="44">
        <f>IF(_calc!$E$182="","",IF(LEN(INDEX('Assets'!$D$4:$D$503,_calc!$E$182))=0,"",INDEX('Assets'!$D$4:$D$503,_calc!$E$182))&amp;" – "&amp;IF(LEN(INDEX('Assets'!$A$4:$A$503,_calc!$E$182))=0,"",INDEX('Assets'!$A$4:$A$503,_calc!$E$182)))</f>
        <v/>
      </c>
      <c r="B180" s="44">
        <f>IF(_calc!$E$182="","",IF(ISNUMBER(INDEX('Assets'!$G$4:$G$503,_calc!$E$182)),TEXT(INDEX('Assets'!$G$4:$G$503,_calc!$E$182),"yyyy-mm-dd"),""))</f>
        <v/>
      </c>
      <c r="C180" s="44">
        <f>IF(_calc!$E$182="","","Inspection")</f>
        <v/>
      </c>
      <c r="D180" s="44">
        <f>IF(_calc!$E$182="","",IF(ISNUMBER(INDEX('Assets'!$F$4:$F$503,_calc!$E$182)),TEXT(INDEX('Assets'!$F$4:$F$503,_calc!$E$182),"yyyy-mm-dd"),""))</f>
        <v/>
      </c>
      <c r="E180" s="44">
        <f>IF(_calc!$E$182="","",IF(LEN(INDEX('Assets'!$O$4:$O$503,_calc!$E$182))=0,"",INDEX('Assets'!$O$4:$O$503,_calc!$E$182)))</f>
        <v/>
      </c>
      <c r="F180" s="44">
        <f>IF(_calc!$E$182="","",TRIM(IF(LEN(IF(LEN(INDEX('Assets'!$B$4:$B$503,_calc!$E$182))=0,"",INDEX('Assets'!$B$4:$B$503,_calc!$E$182)))=0,"","Asset ID: "&amp;IF(LEN(INDEX('Assets'!$B$4:$B$503,_calc!$E$182))=0,"",INDEX('Assets'!$B$4:$B$503,_calc!$E$182))&amp;". ")&amp;IF(LEN(IF(LEN(INDEX('Assets'!$C$4:$C$503,_calc!$E$182))=0,"",INDEX('Assets'!$C$4:$C$503,_calc!$E$182)))=0,"","Location: "&amp;IF(LEN(INDEX('Assets'!$C$4:$C$503,_calc!$E$182))=0,"",INDEX('Assets'!$C$4:$C$503,_calc!$E$182))&amp;". ")&amp;IF(LEN(IF(LEN(INDEX('Assets'!$E$4:$E$503,_calc!$E$182))=0,"",INDEX('Assets'!$E$4:$E$503,_calc!$E$182)))=0,"","Every (months): "&amp;IF(LEN(INDEX('Assets'!$E$4:$E$503,_calc!$E$182))=0,"",INDEX('Assets'!$E$4:$E$503,_calc!$E$182))&amp;". ")&amp;IF(LEN(IF(LEN(INDEX('Assets'!$M$4:$M$503,_calc!$E$182))=0,"",INDEX('Assets'!$M$4:$M$503,_calc!$E$182)))=0,"","Last result: "&amp;IF(LEN(INDEX('Assets'!$M$4:$M$503,_calc!$E$182))=0,"",INDEX('Assets'!$M$4:$M$503,_calc!$E$182))&amp;". ")&amp;IF(LEN(IF(LEN(INDEX('Assets'!$Q$4:$Q$503,_calc!$E$182))=0,"",INDEX('Assets'!$Q$4:$Q$503,_calc!$E$182)))=0,"",IF(LEN(INDEX('Assets'!$Q$4:$Q$503,_calc!$E$182))=0,"",INDEX('Assets'!$Q$4:$Q$503,_calc!$E$182)))))</f>
        <v/>
      </c>
      <c r="G180" s="44">
        <f>IF(_calc!$E$182="","",IF(LEN(INDEX('Assets'!$P$4:$P$503,_calc!$E$182))=0,"",INDEX('Assets'!$P$4:$P$503,_calc!$E$182)))</f>
        <v/>
      </c>
      <c r="K180" s="44">
        <f>IF(_calc!$E$182="","",IF(LEN(INDEX('Assets'!$N$4:$N$503,_calc!$E$182))=0,"",INDEX('Assets'!$N$4:$N$503,_calc!$E$182)))</f>
        <v/>
      </c>
    </row>
    <row r="181">
      <c r="A181" s="44">
        <f>IF(_calc!$E$183="","",IF(LEN(INDEX('Assets'!$D$4:$D$503,_calc!$E$183))=0,"",INDEX('Assets'!$D$4:$D$503,_calc!$E$183))&amp;" – "&amp;IF(LEN(INDEX('Assets'!$A$4:$A$503,_calc!$E$183))=0,"",INDEX('Assets'!$A$4:$A$503,_calc!$E$183)))</f>
        <v/>
      </c>
      <c r="B181" s="44">
        <f>IF(_calc!$E$183="","",IF(ISNUMBER(INDEX('Assets'!$G$4:$G$503,_calc!$E$183)),TEXT(INDEX('Assets'!$G$4:$G$503,_calc!$E$183),"yyyy-mm-dd"),""))</f>
        <v/>
      </c>
      <c r="C181" s="44">
        <f>IF(_calc!$E$183="","","Inspection")</f>
        <v/>
      </c>
      <c r="D181" s="44">
        <f>IF(_calc!$E$183="","",IF(ISNUMBER(INDEX('Assets'!$F$4:$F$503,_calc!$E$183)),TEXT(INDEX('Assets'!$F$4:$F$503,_calc!$E$183),"yyyy-mm-dd"),""))</f>
        <v/>
      </c>
      <c r="E181" s="44">
        <f>IF(_calc!$E$183="","",IF(LEN(INDEX('Assets'!$O$4:$O$503,_calc!$E$183))=0,"",INDEX('Assets'!$O$4:$O$503,_calc!$E$183)))</f>
        <v/>
      </c>
      <c r="F181" s="44">
        <f>IF(_calc!$E$183="","",TRIM(IF(LEN(IF(LEN(INDEX('Assets'!$B$4:$B$503,_calc!$E$183))=0,"",INDEX('Assets'!$B$4:$B$503,_calc!$E$183)))=0,"","Asset ID: "&amp;IF(LEN(INDEX('Assets'!$B$4:$B$503,_calc!$E$183))=0,"",INDEX('Assets'!$B$4:$B$503,_calc!$E$183))&amp;". ")&amp;IF(LEN(IF(LEN(INDEX('Assets'!$C$4:$C$503,_calc!$E$183))=0,"",INDEX('Assets'!$C$4:$C$503,_calc!$E$183)))=0,"","Location: "&amp;IF(LEN(INDEX('Assets'!$C$4:$C$503,_calc!$E$183))=0,"",INDEX('Assets'!$C$4:$C$503,_calc!$E$183))&amp;". ")&amp;IF(LEN(IF(LEN(INDEX('Assets'!$E$4:$E$503,_calc!$E$183))=0,"",INDEX('Assets'!$E$4:$E$503,_calc!$E$183)))=0,"","Every (months): "&amp;IF(LEN(INDEX('Assets'!$E$4:$E$503,_calc!$E$183))=0,"",INDEX('Assets'!$E$4:$E$503,_calc!$E$183))&amp;". ")&amp;IF(LEN(IF(LEN(INDEX('Assets'!$M$4:$M$503,_calc!$E$183))=0,"",INDEX('Assets'!$M$4:$M$503,_calc!$E$183)))=0,"","Last result: "&amp;IF(LEN(INDEX('Assets'!$M$4:$M$503,_calc!$E$183))=0,"",INDEX('Assets'!$M$4:$M$503,_calc!$E$183))&amp;". ")&amp;IF(LEN(IF(LEN(INDEX('Assets'!$Q$4:$Q$503,_calc!$E$183))=0,"",INDEX('Assets'!$Q$4:$Q$503,_calc!$E$183)))=0,"",IF(LEN(INDEX('Assets'!$Q$4:$Q$503,_calc!$E$183))=0,"",INDEX('Assets'!$Q$4:$Q$503,_calc!$E$183)))))</f>
        <v/>
      </c>
      <c r="G181" s="44">
        <f>IF(_calc!$E$183="","",IF(LEN(INDEX('Assets'!$P$4:$P$503,_calc!$E$183))=0,"",INDEX('Assets'!$P$4:$P$503,_calc!$E$183)))</f>
        <v/>
      </c>
      <c r="K181" s="44">
        <f>IF(_calc!$E$183="","",IF(LEN(INDEX('Assets'!$N$4:$N$503,_calc!$E$183))=0,"",INDEX('Assets'!$N$4:$N$503,_calc!$E$183)))</f>
        <v/>
      </c>
    </row>
    <row r="182">
      <c r="A182" s="44">
        <f>IF(_calc!$E$184="","",IF(LEN(INDEX('Assets'!$D$4:$D$503,_calc!$E$184))=0,"",INDEX('Assets'!$D$4:$D$503,_calc!$E$184))&amp;" – "&amp;IF(LEN(INDEX('Assets'!$A$4:$A$503,_calc!$E$184))=0,"",INDEX('Assets'!$A$4:$A$503,_calc!$E$184)))</f>
        <v/>
      </c>
      <c r="B182" s="44">
        <f>IF(_calc!$E$184="","",IF(ISNUMBER(INDEX('Assets'!$G$4:$G$503,_calc!$E$184)),TEXT(INDEX('Assets'!$G$4:$G$503,_calc!$E$184),"yyyy-mm-dd"),""))</f>
        <v/>
      </c>
      <c r="C182" s="44">
        <f>IF(_calc!$E$184="","","Inspection")</f>
        <v/>
      </c>
      <c r="D182" s="44">
        <f>IF(_calc!$E$184="","",IF(ISNUMBER(INDEX('Assets'!$F$4:$F$503,_calc!$E$184)),TEXT(INDEX('Assets'!$F$4:$F$503,_calc!$E$184),"yyyy-mm-dd"),""))</f>
        <v/>
      </c>
      <c r="E182" s="44">
        <f>IF(_calc!$E$184="","",IF(LEN(INDEX('Assets'!$O$4:$O$503,_calc!$E$184))=0,"",INDEX('Assets'!$O$4:$O$503,_calc!$E$184)))</f>
        <v/>
      </c>
      <c r="F182" s="44">
        <f>IF(_calc!$E$184="","",TRIM(IF(LEN(IF(LEN(INDEX('Assets'!$B$4:$B$503,_calc!$E$184))=0,"",INDEX('Assets'!$B$4:$B$503,_calc!$E$184)))=0,"","Asset ID: "&amp;IF(LEN(INDEX('Assets'!$B$4:$B$503,_calc!$E$184))=0,"",INDEX('Assets'!$B$4:$B$503,_calc!$E$184))&amp;". ")&amp;IF(LEN(IF(LEN(INDEX('Assets'!$C$4:$C$503,_calc!$E$184))=0,"",INDEX('Assets'!$C$4:$C$503,_calc!$E$184)))=0,"","Location: "&amp;IF(LEN(INDEX('Assets'!$C$4:$C$503,_calc!$E$184))=0,"",INDEX('Assets'!$C$4:$C$503,_calc!$E$184))&amp;". ")&amp;IF(LEN(IF(LEN(INDEX('Assets'!$E$4:$E$503,_calc!$E$184))=0,"",INDEX('Assets'!$E$4:$E$503,_calc!$E$184)))=0,"","Every (months): "&amp;IF(LEN(INDEX('Assets'!$E$4:$E$503,_calc!$E$184))=0,"",INDEX('Assets'!$E$4:$E$503,_calc!$E$184))&amp;". ")&amp;IF(LEN(IF(LEN(INDEX('Assets'!$M$4:$M$503,_calc!$E$184))=0,"",INDEX('Assets'!$M$4:$M$503,_calc!$E$184)))=0,"","Last result: "&amp;IF(LEN(INDEX('Assets'!$M$4:$M$503,_calc!$E$184))=0,"",INDEX('Assets'!$M$4:$M$503,_calc!$E$184))&amp;". ")&amp;IF(LEN(IF(LEN(INDEX('Assets'!$Q$4:$Q$503,_calc!$E$184))=0,"",INDEX('Assets'!$Q$4:$Q$503,_calc!$E$184)))=0,"",IF(LEN(INDEX('Assets'!$Q$4:$Q$503,_calc!$E$184))=0,"",INDEX('Assets'!$Q$4:$Q$503,_calc!$E$184)))))</f>
        <v/>
      </c>
      <c r="G182" s="44">
        <f>IF(_calc!$E$184="","",IF(LEN(INDEX('Assets'!$P$4:$P$503,_calc!$E$184))=0,"",INDEX('Assets'!$P$4:$P$503,_calc!$E$184)))</f>
        <v/>
      </c>
      <c r="K182" s="44">
        <f>IF(_calc!$E$184="","",IF(LEN(INDEX('Assets'!$N$4:$N$503,_calc!$E$184))=0,"",INDEX('Assets'!$N$4:$N$503,_calc!$E$184)))</f>
        <v/>
      </c>
    </row>
    <row r="183">
      <c r="A183" s="44">
        <f>IF(_calc!$E$185="","",IF(LEN(INDEX('Assets'!$D$4:$D$503,_calc!$E$185))=0,"",INDEX('Assets'!$D$4:$D$503,_calc!$E$185))&amp;" – "&amp;IF(LEN(INDEX('Assets'!$A$4:$A$503,_calc!$E$185))=0,"",INDEX('Assets'!$A$4:$A$503,_calc!$E$185)))</f>
        <v/>
      </c>
      <c r="B183" s="44">
        <f>IF(_calc!$E$185="","",IF(ISNUMBER(INDEX('Assets'!$G$4:$G$503,_calc!$E$185)),TEXT(INDEX('Assets'!$G$4:$G$503,_calc!$E$185),"yyyy-mm-dd"),""))</f>
        <v/>
      </c>
      <c r="C183" s="44">
        <f>IF(_calc!$E$185="","","Inspection")</f>
        <v/>
      </c>
      <c r="D183" s="44">
        <f>IF(_calc!$E$185="","",IF(ISNUMBER(INDEX('Assets'!$F$4:$F$503,_calc!$E$185)),TEXT(INDEX('Assets'!$F$4:$F$503,_calc!$E$185),"yyyy-mm-dd"),""))</f>
        <v/>
      </c>
      <c r="E183" s="44">
        <f>IF(_calc!$E$185="","",IF(LEN(INDEX('Assets'!$O$4:$O$503,_calc!$E$185))=0,"",INDEX('Assets'!$O$4:$O$503,_calc!$E$185)))</f>
        <v/>
      </c>
      <c r="F183" s="44">
        <f>IF(_calc!$E$185="","",TRIM(IF(LEN(IF(LEN(INDEX('Assets'!$B$4:$B$503,_calc!$E$185))=0,"",INDEX('Assets'!$B$4:$B$503,_calc!$E$185)))=0,"","Asset ID: "&amp;IF(LEN(INDEX('Assets'!$B$4:$B$503,_calc!$E$185))=0,"",INDEX('Assets'!$B$4:$B$503,_calc!$E$185))&amp;". ")&amp;IF(LEN(IF(LEN(INDEX('Assets'!$C$4:$C$503,_calc!$E$185))=0,"",INDEX('Assets'!$C$4:$C$503,_calc!$E$185)))=0,"","Location: "&amp;IF(LEN(INDEX('Assets'!$C$4:$C$503,_calc!$E$185))=0,"",INDEX('Assets'!$C$4:$C$503,_calc!$E$185))&amp;". ")&amp;IF(LEN(IF(LEN(INDEX('Assets'!$E$4:$E$503,_calc!$E$185))=0,"",INDEX('Assets'!$E$4:$E$503,_calc!$E$185)))=0,"","Every (months): "&amp;IF(LEN(INDEX('Assets'!$E$4:$E$503,_calc!$E$185))=0,"",INDEX('Assets'!$E$4:$E$503,_calc!$E$185))&amp;". ")&amp;IF(LEN(IF(LEN(INDEX('Assets'!$M$4:$M$503,_calc!$E$185))=0,"",INDEX('Assets'!$M$4:$M$503,_calc!$E$185)))=0,"","Last result: "&amp;IF(LEN(INDEX('Assets'!$M$4:$M$503,_calc!$E$185))=0,"",INDEX('Assets'!$M$4:$M$503,_calc!$E$185))&amp;". ")&amp;IF(LEN(IF(LEN(INDEX('Assets'!$Q$4:$Q$503,_calc!$E$185))=0,"",INDEX('Assets'!$Q$4:$Q$503,_calc!$E$185)))=0,"",IF(LEN(INDEX('Assets'!$Q$4:$Q$503,_calc!$E$185))=0,"",INDEX('Assets'!$Q$4:$Q$503,_calc!$E$185)))))</f>
        <v/>
      </c>
      <c r="G183" s="44">
        <f>IF(_calc!$E$185="","",IF(LEN(INDEX('Assets'!$P$4:$P$503,_calc!$E$185))=0,"",INDEX('Assets'!$P$4:$P$503,_calc!$E$185)))</f>
        <v/>
      </c>
      <c r="K183" s="44">
        <f>IF(_calc!$E$185="","",IF(LEN(INDEX('Assets'!$N$4:$N$503,_calc!$E$185))=0,"",INDEX('Assets'!$N$4:$N$503,_calc!$E$185)))</f>
        <v/>
      </c>
    </row>
    <row r="184">
      <c r="A184" s="44">
        <f>IF(_calc!$E$186="","",IF(LEN(INDEX('Assets'!$D$4:$D$503,_calc!$E$186))=0,"",INDEX('Assets'!$D$4:$D$503,_calc!$E$186))&amp;" – "&amp;IF(LEN(INDEX('Assets'!$A$4:$A$503,_calc!$E$186))=0,"",INDEX('Assets'!$A$4:$A$503,_calc!$E$186)))</f>
        <v/>
      </c>
      <c r="B184" s="44">
        <f>IF(_calc!$E$186="","",IF(ISNUMBER(INDEX('Assets'!$G$4:$G$503,_calc!$E$186)),TEXT(INDEX('Assets'!$G$4:$G$503,_calc!$E$186),"yyyy-mm-dd"),""))</f>
        <v/>
      </c>
      <c r="C184" s="44">
        <f>IF(_calc!$E$186="","","Inspection")</f>
        <v/>
      </c>
      <c r="D184" s="44">
        <f>IF(_calc!$E$186="","",IF(ISNUMBER(INDEX('Assets'!$F$4:$F$503,_calc!$E$186)),TEXT(INDEX('Assets'!$F$4:$F$503,_calc!$E$186),"yyyy-mm-dd"),""))</f>
        <v/>
      </c>
      <c r="E184" s="44">
        <f>IF(_calc!$E$186="","",IF(LEN(INDEX('Assets'!$O$4:$O$503,_calc!$E$186))=0,"",INDEX('Assets'!$O$4:$O$503,_calc!$E$186)))</f>
        <v/>
      </c>
      <c r="F184" s="44">
        <f>IF(_calc!$E$186="","",TRIM(IF(LEN(IF(LEN(INDEX('Assets'!$B$4:$B$503,_calc!$E$186))=0,"",INDEX('Assets'!$B$4:$B$503,_calc!$E$186)))=0,"","Asset ID: "&amp;IF(LEN(INDEX('Assets'!$B$4:$B$503,_calc!$E$186))=0,"",INDEX('Assets'!$B$4:$B$503,_calc!$E$186))&amp;". ")&amp;IF(LEN(IF(LEN(INDEX('Assets'!$C$4:$C$503,_calc!$E$186))=0,"",INDEX('Assets'!$C$4:$C$503,_calc!$E$186)))=0,"","Location: "&amp;IF(LEN(INDEX('Assets'!$C$4:$C$503,_calc!$E$186))=0,"",INDEX('Assets'!$C$4:$C$503,_calc!$E$186))&amp;". ")&amp;IF(LEN(IF(LEN(INDEX('Assets'!$E$4:$E$503,_calc!$E$186))=0,"",INDEX('Assets'!$E$4:$E$503,_calc!$E$186)))=0,"","Every (months): "&amp;IF(LEN(INDEX('Assets'!$E$4:$E$503,_calc!$E$186))=0,"",INDEX('Assets'!$E$4:$E$503,_calc!$E$186))&amp;". ")&amp;IF(LEN(IF(LEN(INDEX('Assets'!$M$4:$M$503,_calc!$E$186))=0,"",INDEX('Assets'!$M$4:$M$503,_calc!$E$186)))=0,"","Last result: "&amp;IF(LEN(INDEX('Assets'!$M$4:$M$503,_calc!$E$186))=0,"",INDEX('Assets'!$M$4:$M$503,_calc!$E$186))&amp;". ")&amp;IF(LEN(IF(LEN(INDEX('Assets'!$Q$4:$Q$503,_calc!$E$186))=0,"",INDEX('Assets'!$Q$4:$Q$503,_calc!$E$186)))=0,"",IF(LEN(INDEX('Assets'!$Q$4:$Q$503,_calc!$E$186))=0,"",INDEX('Assets'!$Q$4:$Q$503,_calc!$E$186)))))</f>
        <v/>
      </c>
      <c r="G184" s="44">
        <f>IF(_calc!$E$186="","",IF(LEN(INDEX('Assets'!$P$4:$P$503,_calc!$E$186))=0,"",INDEX('Assets'!$P$4:$P$503,_calc!$E$186)))</f>
        <v/>
      </c>
      <c r="K184" s="44">
        <f>IF(_calc!$E$186="","",IF(LEN(INDEX('Assets'!$N$4:$N$503,_calc!$E$186))=0,"",INDEX('Assets'!$N$4:$N$503,_calc!$E$186)))</f>
        <v/>
      </c>
    </row>
    <row r="185">
      <c r="A185" s="44">
        <f>IF(_calc!$E$187="","",IF(LEN(INDEX('Assets'!$D$4:$D$503,_calc!$E$187))=0,"",INDEX('Assets'!$D$4:$D$503,_calc!$E$187))&amp;" – "&amp;IF(LEN(INDEX('Assets'!$A$4:$A$503,_calc!$E$187))=0,"",INDEX('Assets'!$A$4:$A$503,_calc!$E$187)))</f>
        <v/>
      </c>
      <c r="B185" s="44">
        <f>IF(_calc!$E$187="","",IF(ISNUMBER(INDEX('Assets'!$G$4:$G$503,_calc!$E$187)),TEXT(INDEX('Assets'!$G$4:$G$503,_calc!$E$187),"yyyy-mm-dd"),""))</f>
        <v/>
      </c>
      <c r="C185" s="44">
        <f>IF(_calc!$E$187="","","Inspection")</f>
        <v/>
      </c>
      <c r="D185" s="44">
        <f>IF(_calc!$E$187="","",IF(ISNUMBER(INDEX('Assets'!$F$4:$F$503,_calc!$E$187)),TEXT(INDEX('Assets'!$F$4:$F$503,_calc!$E$187),"yyyy-mm-dd"),""))</f>
        <v/>
      </c>
      <c r="E185" s="44">
        <f>IF(_calc!$E$187="","",IF(LEN(INDEX('Assets'!$O$4:$O$503,_calc!$E$187))=0,"",INDEX('Assets'!$O$4:$O$503,_calc!$E$187)))</f>
        <v/>
      </c>
      <c r="F185" s="44">
        <f>IF(_calc!$E$187="","",TRIM(IF(LEN(IF(LEN(INDEX('Assets'!$B$4:$B$503,_calc!$E$187))=0,"",INDEX('Assets'!$B$4:$B$503,_calc!$E$187)))=0,"","Asset ID: "&amp;IF(LEN(INDEX('Assets'!$B$4:$B$503,_calc!$E$187))=0,"",INDEX('Assets'!$B$4:$B$503,_calc!$E$187))&amp;". ")&amp;IF(LEN(IF(LEN(INDEX('Assets'!$C$4:$C$503,_calc!$E$187))=0,"",INDEX('Assets'!$C$4:$C$503,_calc!$E$187)))=0,"","Location: "&amp;IF(LEN(INDEX('Assets'!$C$4:$C$503,_calc!$E$187))=0,"",INDEX('Assets'!$C$4:$C$503,_calc!$E$187))&amp;". ")&amp;IF(LEN(IF(LEN(INDEX('Assets'!$E$4:$E$503,_calc!$E$187))=0,"",INDEX('Assets'!$E$4:$E$503,_calc!$E$187)))=0,"","Every (months): "&amp;IF(LEN(INDEX('Assets'!$E$4:$E$503,_calc!$E$187))=0,"",INDEX('Assets'!$E$4:$E$503,_calc!$E$187))&amp;". ")&amp;IF(LEN(IF(LEN(INDEX('Assets'!$M$4:$M$503,_calc!$E$187))=0,"",INDEX('Assets'!$M$4:$M$503,_calc!$E$187)))=0,"","Last result: "&amp;IF(LEN(INDEX('Assets'!$M$4:$M$503,_calc!$E$187))=0,"",INDEX('Assets'!$M$4:$M$503,_calc!$E$187))&amp;". ")&amp;IF(LEN(IF(LEN(INDEX('Assets'!$Q$4:$Q$503,_calc!$E$187))=0,"",INDEX('Assets'!$Q$4:$Q$503,_calc!$E$187)))=0,"",IF(LEN(INDEX('Assets'!$Q$4:$Q$503,_calc!$E$187))=0,"",INDEX('Assets'!$Q$4:$Q$503,_calc!$E$187)))))</f>
        <v/>
      </c>
      <c r="G185" s="44">
        <f>IF(_calc!$E$187="","",IF(LEN(INDEX('Assets'!$P$4:$P$503,_calc!$E$187))=0,"",INDEX('Assets'!$P$4:$P$503,_calc!$E$187)))</f>
        <v/>
      </c>
      <c r="K185" s="44">
        <f>IF(_calc!$E$187="","",IF(LEN(INDEX('Assets'!$N$4:$N$503,_calc!$E$187))=0,"",INDEX('Assets'!$N$4:$N$503,_calc!$E$187)))</f>
        <v/>
      </c>
    </row>
    <row r="186">
      <c r="A186" s="44">
        <f>IF(_calc!$E$188="","",IF(LEN(INDEX('Assets'!$D$4:$D$503,_calc!$E$188))=0,"",INDEX('Assets'!$D$4:$D$503,_calc!$E$188))&amp;" – "&amp;IF(LEN(INDEX('Assets'!$A$4:$A$503,_calc!$E$188))=0,"",INDEX('Assets'!$A$4:$A$503,_calc!$E$188)))</f>
        <v/>
      </c>
      <c r="B186" s="44">
        <f>IF(_calc!$E$188="","",IF(ISNUMBER(INDEX('Assets'!$G$4:$G$503,_calc!$E$188)),TEXT(INDEX('Assets'!$G$4:$G$503,_calc!$E$188),"yyyy-mm-dd"),""))</f>
        <v/>
      </c>
      <c r="C186" s="44">
        <f>IF(_calc!$E$188="","","Inspection")</f>
        <v/>
      </c>
      <c r="D186" s="44">
        <f>IF(_calc!$E$188="","",IF(ISNUMBER(INDEX('Assets'!$F$4:$F$503,_calc!$E$188)),TEXT(INDEX('Assets'!$F$4:$F$503,_calc!$E$188),"yyyy-mm-dd"),""))</f>
        <v/>
      </c>
      <c r="E186" s="44">
        <f>IF(_calc!$E$188="","",IF(LEN(INDEX('Assets'!$O$4:$O$503,_calc!$E$188))=0,"",INDEX('Assets'!$O$4:$O$503,_calc!$E$188)))</f>
        <v/>
      </c>
      <c r="F186" s="44">
        <f>IF(_calc!$E$188="","",TRIM(IF(LEN(IF(LEN(INDEX('Assets'!$B$4:$B$503,_calc!$E$188))=0,"",INDEX('Assets'!$B$4:$B$503,_calc!$E$188)))=0,"","Asset ID: "&amp;IF(LEN(INDEX('Assets'!$B$4:$B$503,_calc!$E$188))=0,"",INDEX('Assets'!$B$4:$B$503,_calc!$E$188))&amp;". ")&amp;IF(LEN(IF(LEN(INDEX('Assets'!$C$4:$C$503,_calc!$E$188))=0,"",INDEX('Assets'!$C$4:$C$503,_calc!$E$188)))=0,"","Location: "&amp;IF(LEN(INDEX('Assets'!$C$4:$C$503,_calc!$E$188))=0,"",INDEX('Assets'!$C$4:$C$503,_calc!$E$188))&amp;". ")&amp;IF(LEN(IF(LEN(INDEX('Assets'!$E$4:$E$503,_calc!$E$188))=0,"",INDEX('Assets'!$E$4:$E$503,_calc!$E$188)))=0,"","Every (months): "&amp;IF(LEN(INDEX('Assets'!$E$4:$E$503,_calc!$E$188))=0,"",INDEX('Assets'!$E$4:$E$503,_calc!$E$188))&amp;". ")&amp;IF(LEN(IF(LEN(INDEX('Assets'!$M$4:$M$503,_calc!$E$188))=0,"",INDEX('Assets'!$M$4:$M$503,_calc!$E$188)))=0,"","Last result: "&amp;IF(LEN(INDEX('Assets'!$M$4:$M$503,_calc!$E$188))=0,"",INDEX('Assets'!$M$4:$M$503,_calc!$E$188))&amp;". ")&amp;IF(LEN(IF(LEN(INDEX('Assets'!$Q$4:$Q$503,_calc!$E$188))=0,"",INDEX('Assets'!$Q$4:$Q$503,_calc!$E$188)))=0,"",IF(LEN(INDEX('Assets'!$Q$4:$Q$503,_calc!$E$188))=0,"",INDEX('Assets'!$Q$4:$Q$503,_calc!$E$188)))))</f>
        <v/>
      </c>
      <c r="G186" s="44">
        <f>IF(_calc!$E$188="","",IF(LEN(INDEX('Assets'!$P$4:$P$503,_calc!$E$188))=0,"",INDEX('Assets'!$P$4:$P$503,_calc!$E$188)))</f>
        <v/>
      </c>
      <c r="K186" s="44">
        <f>IF(_calc!$E$188="","",IF(LEN(INDEX('Assets'!$N$4:$N$503,_calc!$E$188))=0,"",INDEX('Assets'!$N$4:$N$503,_calc!$E$188)))</f>
        <v/>
      </c>
    </row>
    <row r="187">
      <c r="A187" s="44">
        <f>IF(_calc!$E$189="","",IF(LEN(INDEX('Assets'!$D$4:$D$503,_calc!$E$189))=0,"",INDEX('Assets'!$D$4:$D$503,_calc!$E$189))&amp;" – "&amp;IF(LEN(INDEX('Assets'!$A$4:$A$503,_calc!$E$189))=0,"",INDEX('Assets'!$A$4:$A$503,_calc!$E$189)))</f>
        <v/>
      </c>
      <c r="B187" s="44">
        <f>IF(_calc!$E$189="","",IF(ISNUMBER(INDEX('Assets'!$G$4:$G$503,_calc!$E$189)),TEXT(INDEX('Assets'!$G$4:$G$503,_calc!$E$189),"yyyy-mm-dd"),""))</f>
        <v/>
      </c>
      <c r="C187" s="44">
        <f>IF(_calc!$E$189="","","Inspection")</f>
        <v/>
      </c>
      <c r="D187" s="44">
        <f>IF(_calc!$E$189="","",IF(ISNUMBER(INDEX('Assets'!$F$4:$F$503,_calc!$E$189)),TEXT(INDEX('Assets'!$F$4:$F$503,_calc!$E$189),"yyyy-mm-dd"),""))</f>
        <v/>
      </c>
      <c r="E187" s="44">
        <f>IF(_calc!$E$189="","",IF(LEN(INDEX('Assets'!$O$4:$O$503,_calc!$E$189))=0,"",INDEX('Assets'!$O$4:$O$503,_calc!$E$189)))</f>
        <v/>
      </c>
      <c r="F187" s="44">
        <f>IF(_calc!$E$189="","",TRIM(IF(LEN(IF(LEN(INDEX('Assets'!$B$4:$B$503,_calc!$E$189))=0,"",INDEX('Assets'!$B$4:$B$503,_calc!$E$189)))=0,"","Asset ID: "&amp;IF(LEN(INDEX('Assets'!$B$4:$B$503,_calc!$E$189))=0,"",INDEX('Assets'!$B$4:$B$503,_calc!$E$189))&amp;". ")&amp;IF(LEN(IF(LEN(INDEX('Assets'!$C$4:$C$503,_calc!$E$189))=0,"",INDEX('Assets'!$C$4:$C$503,_calc!$E$189)))=0,"","Location: "&amp;IF(LEN(INDEX('Assets'!$C$4:$C$503,_calc!$E$189))=0,"",INDEX('Assets'!$C$4:$C$503,_calc!$E$189))&amp;". ")&amp;IF(LEN(IF(LEN(INDEX('Assets'!$E$4:$E$503,_calc!$E$189))=0,"",INDEX('Assets'!$E$4:$E$503,_calc!$E$189)))=0,"","Every (months): "&amp;IF(LEN(INDEX('Assets'!$E$4:$E$503,_calc!$E$189))=0,"",INDEX('Assets'!$E$4:$E$503,_calc!$E$189))&amp;". ")&amp;IF(LEN(IF(LEN(INDEX('Assets'!$M$4:$M$503,_calc!$E$189))=0,"",INDEX('Assets'!$M$4:$M$503,_calc!$E$189)))=0,"","Last result: "&amp;IF(LEN(INDEX('Assets'!$M$4:$M$503,_calc!$E$189))=0,"",INDEX('Assets'!$M$4:$M$503,_calc!$E$189))&amp;". ")&amp;IF(LEN(IF(LEN(INDEX('Assets'!$Q$4:$Q$503,_calc!$E$189))=0,"",INDEX('Assets'!$Q$4:$Q$503,_calc!$E$189)))=0,"",IF(LEN(INDEX('Assets'!$Q$4:$Q$503,_calc!$E$189))=0,"",INDEX('Assets'!$Q$4:$Q$503,_calc!$E$189)))))</f>
        <v/>
      </c>
      <c r="G187" s="44">
        <f>IF(_calc!$E$189="","",IF(LEN(INDEX('Assets'!$P$4:$P$503,_calc!$E$189))=0,"",INDEX('Assets'!$P$4:$P$503,_calc!$E$189)))</f>
        <v/>
      </c>
      <c r="K187" s="44">
        <f>IF(_calc!$E$189="","",IF(LEN(INDEX('Assets'!$N$4:$N$503,_calc!$E$189))=0,"",INDEX('Assets'!$N$4:$N$503,_calc!$E$189)))</f>
        <v/>
      </c>
    </row>
    <row r="188">
      <c r="A188" s="44">
        <f>IF(_calc!$E$190="","",IF(LEN(INDEX('Assets'!$D$4:$D$503,_calc!$E$190))=0,"",INDEX('Assets'!$D$4:$D$503,_calc!$E$190))&amp;" – "&amp;IF(LEN(INDEX('Assets'!$A$4:$A$503,_calc!$E$190))=0,"",INDEX('Assets'!$A$4:$A$503,_calc!$E$190)))</f>
        <v/>
      </c>
      <c r="B188" s="44">
        <f>IF(_calc!$E$190="","",IF(ISNUMBER(INDEX('Assets'!$G$4:$G$503,_calc!$E$190)),TEXT(INDEX('Assets'!$G$4:$G$503,_calc!$E$190),"yyyy-mm-dd"),""))</f>
        <v/>
      </c>
      <c r="C188" s="44">
        <f>IF(_calc!$E$190="","","Inspection")</f>
        <v/>
      </c>
      <c r="D188" s="44">
        <f>IF(_calc!$E$190="","",IF(ISNUMBER(INDEX('Assets'!$F$4:$F$503,_calc!$E$190)),TEXT(INDEX('Assets'!$F$4:$F$503,_calc!$E$190),"yyyy-mm-dd"),""))</f>
        <v/>
      </c>
      <c r="E188" s="44">
        <f>IF(_calc!$E$190="","",IF(LEN(INDEX('Assets'!$O$4:$O$503,_calc!$E$190))=0,"",INDEX('Assets'!$O$4:$O$503,_calc!$E$190)))</f>
        <v/>
      </c>
      <c r="F188" s="44">
        <f>IF(_calc!$E$190="","",TRIM(IF(LEN(IF(LEN(INDEX('Assets'!$B$4:$B$503,_calc!$E$190))=0,"",INDEX('Assets'!$B$4:$B$503,_calc!$E$190)))=0,"","Asset ID: "&amp;IF(LEN(INDEX('Assets'!$B$4:$B$503,_calc!$E$190))=0,"",INDEX('Assets'!$B$4:$B$503,_calc!$E$190))&amp;". ")&amp;IF(LEN(IF(LEN(INDEX('Assets'!$C$4:$C$503,_calc!$E$190))=0,"",INDEX('Assets'!$C$4:$C$503,_calc!$E$190)))=0,"","Location: "&amp;IF(LEN(INDEX('Assets'!$C$4:$C$503,_calc!$E$190))=0,"",INDEX('Assets'!$C$4:$C$503,_calc!$E$190))&amp;". ")&amp;IF(LEN(IF(LEN(INDEX('Assets'!$E$4:$E$503,_calc!$E$190))=0,"",INDEX('Assets'!$E$4:$E$503,_calc!$E$190)))=0,"","Every (months): "&amp;IF(LEN(INDEX('Assets'!$E$4:$E$503,_calc!$E$190))=0,"",INDEX('Assets'!$E$4:$E$503,_calc!$E$190))&amp;". ")&amp;IF(LEN(IF(LEN(INDEX('Assets'!$M$4:$M$503,_calc!$E$190))=0,"",INDEX('Assets'!$M$4:$M$503,_calc!$E$190)))=0,"","Last result: "&amp;IF(LEN(INDEX('Assets'!$M$4:$M$503,_calc!$E$190))=0,"",INDEX('Assets'!$M$4:$M$503,_calc!$E$190))&amp;". ")&amp;IF(LEN(IF(LEN(INDEX('Assets'!$Q$4:$Q$503,_calc!$E$190))=0,"",INDEX('Assets'!$Q$4:$Q$503,_calc!$E$190)))=0,"",IF(LEN(INDEX('Assets'!$Q$4:$Q$503,_calc!$E$190))=0,"",INDEX('Assets'!$Q$4:$Q$503,_calc!$E$190)))))</f>
        <v/>
      </c>
      <c r="G188" s="44">
        <f>IF(_calc!$E$190="","",IF(LEN(INDEX('Assets'!$P$4:$P$503,_calc!$E$190))=0,"",INDEX('Assets'!$P$4:$P$503,_calc!$E$190)))</f>
        <v/>
      </c>
      <c r="K188" s="44">
        <f>IF(_calc!$E$190="","",IF(LEN(INDEX('Assets'!$N$4:$N$503,_calc!$E$190))=0,"",INDEX('Assets'!$N$4:$N$503,_calc!$E$190)))</f>
        <v/>
      </c>
    </row>
    <row r="189">
      <c r="A189" s="44">
        <f>IF(_calc!$E$191="","",IF(LEN(INDEX('Assets'!$D$4:$D$503,_calc!$E$191))=0,"",INDEX('Assets'!$D$4:$D$503,_calc!$E$191))&amp;" – "&amp;IF(LEN(INDEX('Assets'!$A$4:$A$503,_calc!$E$191))=0,"",INDEX('Assets'!$A$4:$A$503,_calc!$E$191)))</f>
        <v/>
      </c>
      <c r="B189" s="44">
        <f>IF(_calc!$E$191="","",IF(ISNUMBER(INDEX('Assets'!$G$4:$G$503,_calc!$E$191)),TEXT(INDEX('Assets'!$G$4:$G$503,_calc!$E$191),"yyyy-mm-dd"),""))</f>
        <v/>
      </c>
      <c r="C189" s="44">
        <f>IF(_calc!$E$191="","","Inspection")</f>
        <v/>
      </c>
      <c r="D189" s="44">
        <f>IF(_calc!$E$191="","",IF(ISNUMBER(INDEX('Assets'!$F$4:$F$503,_calc!$E$191)),TEXT(INDEX('Assets'!$F$4:$F$503,_calc!$E$191),"yyyy-mm-dd"),""))</f>
        <v/>
      </c>
      <c r="E189" s="44">
        <f>IF(_calc!$E$191="","",IF(LEN(INDEX('Assets'!$O$4:$O$503,_calc!$E$191))=0,"",INDEX('Assets'!$O$4:$O$503,_calc!$E$191)))</f>
        <v/>
      </c>
      <c r="F189" s="44">
        <f>IF(_calc!$E$191="","",TRIM(IF(LEN(IF(LEN(INDEX('Assets'!$B$4:$B$503,_calc!$E$191))=0,"",INDEX('Assets'!$B$4:$B$503,_calc!$E$191)))=0,"","Asset ID: "&amp;IF(LEN(INDEX('Assets'!$B$4:$B$503,_calc!$E$191))=0,"",INDEX('Assets'!$B$4:$B$503,_calc!$E$191))&amp;". ")&amp;IF(LEN(IF(LEN(INDEX('Assets'!$C$4:$C$503,_calc!$E$191))=0,"",INDEX('Assets'!$C$4:$C$503,_calc!$E$191)))=0,"","Location: "&amp;IF(LEN(INDEX('Assets'!$C$4:$C$503,_calc!$E$191))=0,"",INDEX('Assets'!$C$4:$C$503,_calc!$E$191))&amp;". ")&amp;IF(LEN(IF(LEN(INDEX('Assets'!$E$4:$E$503,_calc!$E$191))=0,"",INDEX('Assets'!$E$4:$E$503,_calc!$E$191)))=0,"","Every (months): "&amp;IF(LEN(INDEX('Assets'!$E$4:$E$503,_calc!$E$191))=0,"",INDEX('Assets'!$E$4:$E$503,_calc!$E$191))&amp;". ")&amp;IF(LEN(IF(LEN(INDEX('Assets'!$M$4:$M$503,_calc!$E$191))=0,"",INDEX('Assets'!$M$4:$M$503,_calc!$E$191)))=0,"","Last result: "&amp;IF(LEN(INDEX('Assets'!$M$4:$M$503,_calc!$E$191))=0,"",INDEX('Assets'!$M$4:$M$503,_calc!$E$191))&amp;". ")&amp;IF(LEN(IF(LEN(INDEX('Assets'!$Q$4:$Q$503,_calc!$E$191))=0,"",INDEX('Assets'!$Q$4:$Q$503,_calc!$E$191)))=0,"",IF(LEN(INDEX('Assets'!$Q$4:$Q$503,_calc!$E$191))=0,"",INDEX('Assets'!$Q$4:$Q$503,_calc!$E$191)))))</f>
        <v/>
      </c>
      <c r="G189" s="44">
        <f>IF(_calc!$E$191="","",IF(LEN(INDEX('Assets'!$P$4:$P$503,_calc!$E$191))=0,"",INDEX('Assets'!$P$4:$P$503,_calc!$E$191)))</f>
        <v/>
      </c>
      <c r="K189" s="44">
        <f>IF(_calc!$E$191="","",IF(LEN(INDEX('Assets'!$N$4:$N$503,_calc!$E$191))=0,"",INDEX('Assets'!$N$4:$N$503,_calc!$E$191)))</f>
        <v/>
      </c>
    </row>
    <row r="190">
      <c r="A190" s="44">
        <f>IF(_calc!$E$192="","",IF(LEN(INDEX('Assets'!$D$4:$D$503,_calc!$E$192))=0,"",INDEX('Assets'!$D$4:$D$503,_calc!$E$192))&amp;" – "&amp;IF(LEN(INDEX('Assets'!$A$4:$A$503,_calc!$E$192))=0,"",INDEX('Assets'!$A$4:$A$503,_calc!$E$192)))</f>
        <v/>
      </c>
      <c r="B190" s="44">
        <f>IF(_calc!$E$192="","",IF(ISNUMBER(INDEX('Assets'!$G$4:$G$503,_calc!$E$192)),TEXT(INDEX('Assets'!$G$4:$G$503,_calc!$E$192),"yyyy-mm-dd"),""))</f>
        <v/>
      </c>
      <c r="C190" s="44">
        <f>IF(_calc!$E$192="","","Inspection")</f>
        <v/>
      </c>
      <c r="D190" s="44">
        <f>IF(_calc!$E$192="","",IF(ISNUMBER(INDEX('Assets'!$F$4:$F$503,_calc!$E$192)),TEXT(INDEX('Assets'!$F$4:$F$503,_calc!$E$192),"yyyy-mm-dd"),""))</f>
        <v/>
      </c>
      <c r="E190" s="44">
        <f>IF(_calc!$E$192="","",IF(LEN(INDEX('Assets'!$O$4:$O$503,_calc!$E$192))=0,"",INDEX('Assets'!$O$4:$O$503,_calc!$E$192)))</f>
        <v/>
      </c>
      <c r="F190" s="44">
        <f>IF(_calc!$E$192="","",TRIM(IF(LEN(IF(LEN(INDEX('Assets'!$B$4:$B$503,_calc!$E$192))=0,"",INDEX('Assets'!$B$4:$B$503,_calc!$E$192)))=0,"","Asset ID: "&amp;IF(LEN(INDEX('Assets'!$B$4:$B$503,_calc!$E$192))=0,"",INDEX('Assets'!$B$4:$B$503,_calc!$E$192))&amp;". ")&amp;IF(LEN(IF(LEN(INDEX('Assets'!$C$4:$C$503,_calc!$E$192))=0,"",INDEX('Assets'!$C$4:$C$503,_calc!$E$192)))=0,"","Location: "&amp;IF(LEN(INDEX('Assets'!$C$4:$C$503,_calc!$E$192))=0,"",INDEX('Assets'!$C$4:$C$503,_calc!$E$192))&amp;". ")&amp;IF(LEN(IF(LEN(INDEX('Assets'!$E$4:$E$503,_calc!$E$192))=0,"",INDEX('Assets'!$E$4:$E$503,_calc!$E$192)))=0,"","Every (months): "&amp;IF(LEN(INDEX('Assets'!$E$4:$E$503,_calc!$E$192))=0,"",INDEX('Assets'!$E$4:$E$503,_calc!$E$192))&amp;". ")&amp;IF(LEN(IF(LEN(INDEX('Assets'!$M$4:$M$503,_calc!$E$192))=0,"",INDEX('Assets'!$M$4:$M$503,_calc!$E$192)))=0,"","Last result: "&amp;IF(LEN(INDEX('Assets'!$M$4:$M$503,_calc!$E$192))=0,"",INDEX('Assets'!$M$4:$M$503,_calc!$E$192))&amp;". ")&amp;IF(LEN(IF(LEN(INDEX('Assets'!$Q$4:$Q$503,_calc!$E$192))=0,"",INDEX('Assets'!$Q$4:$Q$503,_calc!$E$192)))=0,"",IF(LEN(INDEX('Assets'!$Q$4:$Q$503,_calc!$E$192))=0,"",INDEX('Assets'!$Q$4:$Q$503,_calc!$E$192)))))</f>
        <v/>
      </c>
      <c r="G190" s="44">
        <f>IF(_calc!$E$192="","",IF(LEN(INDEX('Assets'!$P$4:$P$503,_calc!$E$192))=0,"",INDEX('Assets'!$P$4:$P$503,_calc!$E$192)))</f>
        <v/>
      </c>
      <c r="K190" s="44">
        <f>IF(_calc!$E$192="","",IF(LEN(INDEX('Assets'!$N$4:$N$503,_calc!$E$192))=0,"",INDEX('Assets'!$N$4:$N$503,_calc!$E$192)))</f>
        <v/>
      </c>
    </row>
    <row r="191">
      <c r="A191" s="44">
        <f>IF(_calc!$E$193="","",IF(LEN(INDEX('Assets'!$D$4:$D$503,_calc!$E$193))=0,"",INDEX('Assets'!$D$4:$D$503,_calc!$E$193))&amp;" – "&amp;IF(LEN(INDEX('Assets'!$A$4:$A$503,_calc!$E$193))=0,"",INDEX('Assets'!$A$4:$A$503,_calc!$E$193)))</f>
        <v/>
      </c>
      <c r="B191" s="44">
        <f>IF(_calc!$E$193="","",IF(ISNUMBER(INDEX('Assets'!$G$4:$G$503,_calc!$E$193)),TEXT(INDEX('Assets'!$G$4:$G$503,_calc!$E$193),"yyyy-mm-dd"),""))</f>
        <v/>
      </c>
      <c r="C191" s="44">
        <f>IF(_calc!$E$193="","","Inspection")</f>
        <v/>
      </c>
      <c r="D191" s="44">
        <f>IF(_calc!$E$193="","",IF(ISNUMBER(INDEX('Assets'!$F$4:$F$503,_calc!$E$193)),TEXT(INDEX('Assets'!$F$4:$F$503,_calc!$E$193),"yyyy-mm-dd"),""))</f>
        <v/>
      </c>
      <c r="E191" s="44">
        <f>IF(_calc!$E$193="","",IF(LEN(INDEX('Assets'!$O$4:$O$503,_calc!$E$193))=0,"",INDEX('Assets'!$O$4:$O$503,_calc!$E$193)))</f>
        <v/>
      </c>
      <c r="F191" s="44">
        <f>IF(_calc!$E$193="","",TRIM(IF(LEN(IF(LEN(INDEX('Assets'!$B$4:$B$503,_calc!$E$193))=0,"",INDEX('Assets'!$B$4:$B$503,_calc!$E$193)))=0,"","Asset ID: "&amp;IF(LEN(INDEX('Assets'!$B$4:$B$503,_calc!$E$193))=0,"",INDEX('Assets'!$B$4:$B$503,_calc!$E$193))&amp;". ")&amp;IF(LEN(IF(LEN(INDEX('Assets'!$C$4:$C$503,_calc!$E$193))=0,"",INDEX('Assets'!$C$4:$C$503,_calc!$E$193)))=0,"","Location: "&amp;IF(LEN(INDEX('Assets'!$C$4:$C$503,_calc!$E$193))=0,"",INDEX('Assets'!$C$4:$C$503,_calc!$E$193))&amp;". ")&amp;IF(LEN(IF(LEN(INDEX('Assets'!$E$4:$E$503,_calc!$E$193))=0,"",INDEX('Assets'!$E$4:$E$503,_calc!$E$193)))=0,"","Every (months): "&amp;IF(LEN(INDEX('Assets'!$E$4:$E$503,_calc!$E$193))=0,"",INDEX('Assets'!$E$4:$E$503,_calc!$E$193))&amp;". ")&amp;IF(LEN(IF(LEN(INDEX('Assets'!$M$4:$M$503,_calc!$E$193))=0,"",INDEX('Assets'!$M$4:$M$503,_calc!$E$193)))=0,"","Last result: "&amp;IF(LEN(INDEX('Assets'!$M$4:$M$503,_calc!$E$193))=0,"",INDEX('Assets'!$M$4:$M$503,_calc!$E$193))&amp;". ")&amp;IF(LEN(IF(LEN(INDEX('Assets'!$Q$4:$Q$503,_calc!$E$193))=0,"",INDEX('Assets'!$Q$4:$Q$503,_calc!$E$193)))=0,"",IF(LEN(INDEX('Assets'!$Q$4:$Q$503,_calc!$E$193))=0,"",INDEX('Assets'!$Q$4:$Q$503,_calc!$E$193)))))</f>
        <v/>
      </c>
      <c r="G191" s="44">
        <f>IF(_calc!$E$193="","",IF(LEN(INDEX('Assets'!$P$4:$P$503,_calc!$E$193))=0,"",INDEX('Assets'!$P$4:$P$503,_calc!$E$193)))</f>
        <v/>
      </c>
      <c r="K191" s="44">
        <f>IF(_calc!$E$193="","",IF(LEN(INDEX('Assets'!$N$4:$N$503,_calc!$E$193))=0,"",INDEX('Assets'!$N$4:$N$503,_calc!$E$193)))</f>
        <v/>
      </c>
    </row>
    <row r="192">
      <c r="A192" s="44">
        <f>IF(_calc!$E$194="","",IF(LEN(INDEX('Assets'!$D$4:$D$503,_calc!$E$194))=0,"",INDEX('Assets'!$D$4:$D$503,_calc!$E$194))&amp;" – "&amp;IF(LEN(INDEX('Assets'!$A$4:$A$503,_calc!$E$194))=0,"",INDEX('Assets'!$A$4:$A$503,_calc!$E$194)))</f>
        <v/>
      </c>
      <c r="B192" s="44">
        <f>IF(_calc!$E$194="","",IF(ISNUMBER(INDEX('Assets'!$G$4:$G$503,_calc!$E$194)),TEXT(INDEX('Assets'!$G$4:$G$503,_calc!$E$194),"yyyy-mm-dd"),""))</f>
        <v/>
      </c>
      <c r="C192" s="44">
        <f>IF(_calc!$E$194="","","Inspection")</f>
        <v/>
      </c>
      <c r="D192" s="44">
        <f>IF(_calc!$E$194="","",IF(ISNUMBER(INDEX('Assets'!$F$4:$F$503,_calc!$E$194)),TEXT(INDEX('Assets'!$F$4:$F$503,_calc!$E$194),"yyyy-mm-dd"),""))</f>
        <v/>
      </c>
      <c r="E192" s="44">
        <f>IF(_calc!$E$194="","",IF(LEN(INDEX('Assets'!$O$4:$O$503,_calc!$E$194))=0,"",INDEX('Assets'!$O$4:$O$503,_calc!$E$194)))</f>
        <v/>
      </c>
      <c r="F192" s="44">
        <f>IF(_calc!$E$194="","",TRIM(IF(LEN(IF(LEN(INDEX('Assets'!$B$4:$B$503,_calc!$E$194))=0,"",INDEX('Assets'!$B$4:$B$503,_calc!$E$194)))=0,"","Asset ID: "&amp;IF(LEN(INDEX('Assets'!$B$4:$B$503,_calc!$E$194))=0,"",INDEX('Assets'!$B$4:$B$503,_calc!$E$194))&amp;". ")&amp;IF(LEN(IF(LEN(INDEX('Assets'!$C$4:$C$503,_calc!$E$194))=0,"",INDEX('Assets'!$C$4:$C$503,_calc!$E$194)))=0,"","Location: "&amp;IF(LEN(INDEX('Assets'!$C$4:$C$503,_calc!$E$194))=0,"",INDEX('Assets'!$C$4:$C$503,_calc!$E$194))&amp;". ")&amp;IF(LEN(IF(LEN(INDEX('Assets'!$E$4:$E$503,_calc!$E$194))=0,"",INDEX('Assets'!$E$4:$E$503,_calc!$E$194)))=0,"","Every (months): "&amp;IF(LEN(INDEX('Assets'!$E$4:$E$503,_calc!$E$194))=0,"",INDEX('Assets'!$E$4:$E$503,_calc!$E$194))&amp;". ")&amp;IF(LEN(IF(LEN(INDEX('Assets'!$M$4:$M$503,_calc!$E$194))=0,"",INDEX('Assets'!$M$4:$M$503,_calc!$E$194)))=0,"","Last result: "&amp;IF(LEN(INDEX('Assets'!$M$4:$M$503,_calc!$E$194))=0,"",INDEX('Assets'!$M$4:$M$503,_calc!$E$194))&amp;". ")&amp;IF(LEN(IF(LEN(INDEX('Assets'!$Q$4:$Q$503,_calc!$E$194))=0,"",INDEX('Assets'!$Q$4:$Q$503,_calc!$E$194)))=0,"",IF(LEN(INDEX('Assets'!$Q$4:$Q$503,_calc!$E$194))=0,"",INDEX('Assets'!$Q$4:$Q$503,_calc!$E$194)))))</f>
        <v/>
      </c>
      <c r="G192" s="44">
        <f>IF(_calc!$E$194="","",IF(LEN(INDEX('Assets'!$P$4:$P$503,_calc!$E$194))=0,"",INDEX('Assets'!$P$4:$P$503,_calc!$E$194)))</f>
        <v/>
      </c>
      <c r="K192" s="44">
        <f>IF(_calc!$E$194="","",IF(LEN(INDEX('Assets'!$N$4:$N$503,_calc!$E$194))=0,"",INDEX('Assets'!$N$4:$N$503,_calc!$E$194)))</f>
        <v/>
      </c>
    </row>
    <row r="193">
      <c r="A193" s="44">
        <f>IF(_calc!$E$195="","",IF(LEN(INDEX('Assets'!$D$4:$D$503,_calc!$E$195))=0,"",INDEX('Assets'!$D$4:$D$503,_calc!$E$195))&amp;" – "&amp;IF(LEN(INDEX('Assets'!$A$4:$A$503,_calc!$E$195))=0,"",INDEX('Assets'!$A$4:$A$503,_calc!$E$195)))</f>
        <v/>
      </c>
      <c r="B193" s="44">
        <f>IF(_calc!$E$195="","",IF(ISNUMBER(INDEX('Assets'!$G$4:$G$503,_calc!$E$195)),TEXT(INDEX('Assets'!$G$4:$G$503,_calc!$E$195),"yyyy-mm-dd"),""))</f>
        <v/>
      </c>
      <c r="C193" s="44">
        <f>IF(_calc!$E$195="","","Inspection")</f>
        <v/>
      </c>
      <c r="D193" s="44">
        <f>IF(_calc!$E$195="","",IF(ISNUMBER(INDEX('Assets'!$F$4:$F$503,_calc!$E$195)),TEXT(INDEX('Assets'!$F$4:$F$503,_calc!$E$195),"yyyy-mm-dd"),""))</f>
        <v/>
      </c>
      <c r="E193" s="44">
        <f>IF(_calc!$E$195="","",IF(LEN(INDEX('Assets'!$O$4:$O$503,_calc!$E$195))=0,"",INDEX('Assets'!$O$4:$O$503,_calc!$E$195)))</f>
        <v/>
      </c>
      <c r="F193" s="44">
        <f>IF(_calc!$E$195="","",TRIM(IF(LEN(IF(LEN(INDEX('Assets'!$B$4:$B$503,_calc!$E$195))=0,"",INDEX('Assets'!$B$4:$B$503,_calc!$E$195)))=0,"","Asset ID: "&amp;IF(LEN(INDEX('Assets'!$B$4:$B$503,_calc!$E$195))=0,"",INDEX('Assets'!$B$4:$B$503,_calc!$E$195))&amp;". ")&amp;IF(LEN(IF(LEN(INDEX('Assets'!$C$4:$C$503,_calc!$E$195))=0,"",INDEX('Assets'!$C$4:$C$503,_calc!$E$195)))=0,"","Location: "&amp;IF(LEN(INDEX('Assets'!$C$4:$C$503,_calc!$E$195))=0,"",INDEX('Assets'!$C$4:$C$503,_calc!$E$195))&amp;". ")&amp;IF(LEN(IF(LEN(INDEX('Assets'!$E$4:$E$503,_calc!$E$195))=0,"",INDEX('Assets'!$E$4:$E$503,_calc!$E$195)))=0,"","Every (months): "&amp;IF(LEN(INDEX('Assets'!$E$4:$E$503,_calc!$E$195))=0,"",INDEX('Assets'!$E$4:$E$503,_calc!$E$195))&amp;". ")&amp;IF(LEN(IF(LEN(INDEX('Assets'!$M$4:$M$503,_calc!$E$195))=0,"",INDEX('Assets'!$M$4:$M$503,_calc!$E$195)))=0,"","Last result: "&amp;IF(LEN(INDEX('Assets'!$M$4:$M$503,_calc!$E$195))=0,"",INDEX('Assets'!$M$4:$M$503,_calc!$E$195))&amp;". ")&amp;IF(LEN(IF(LEN(INDEX('Assets'!$Q$4:$Q$503,_calc!$E$195))=0,"",INDEX('Assets'!$Q$4:$Q$503,_calc!$E$195)))=0,"",IF(LEN(INDEX('Assets'!$Q$4:$Q$503,_calc!$E$195))=0,"",INDEX('Assets'!$Q$4:$Q$503,_calc!$E$195)))))</f>
        <v/>
      </c>
      <c r="G193" s="44">
        <f>IF(_calc!$E$195="","",IF(LEN(INDEX('Assets'!$P$4:$P$503,_calc!$E$195))=0,"",INDEX('Assets'!$P$4:$P$503,_calc!$E$195)))</f>
        <v/>
      </c>
      <c r="K193" s="44">
        <f>IF(_calc!$E$195="","",IF(LEN(INDEX('Assets'!$N$4:$N$503,_calc!$E$195))=0,"",INDEX('Assets'!$N$4:$N$503,_calc!$E$195)))</f>
        <v/>
      </c>
    </row>
    <row r="194">
      <c r="A194" s="44">
        <f>IF(_calc!$E$196="","",IF(LEN(INDEX('Assets'!$D$4:$D$503,_calc!$E$196))=0,"",INDEX('Assets'!$D$4:$D$503,_calc!$E$196))&amp;" – "&amp;IF(LEN(INDEX('Assets'!$A$4:$A$503,_calc!$E$196))=0,"",INDEX('Assets'!$A$4:$A$503,_calc!$E$196)))</f>
        <v/>
      </c>
      <c r="B194" s="44">
        <f>IF(_calc!$E$196="","",IF(ISNUMBER(INDEX('Assets'!$G$4:$G$503,_calc!$E$196)),TEXT(INDEX('Assets'!$G$4:$G$503,_calc!$E$196),"yyyy-mm-dd"),""))</f>
        <v/>
      </c>
      <c r="C194" s="44">
        <f>IF(_calc!$E$196="","","Inspection")</f>
        <v/>
      </c>
      <c r="D194" s="44">
        <f>IF(_calc!$E$196="","",IF(ISNUMBER(INDEX('Assets'!$F$4:$F$503,_calc!$E$196)),TEXT(INDEX('Assets'!$F$4:$F$503,_calc!$E$196),"yyyy-mm-dd"),""))</f>
        <v/>
      </c>
      <c r="E194" s="44">
        <f>IF(_calc!$E$196="","",IF(LEN(INDEX('Assets'!$O$4:$O$503,_calc!$E$196))=0,"",INDEX('Assets'!$O$4:$O$503,_calc!$E$196)))</f>
        <v/>
      </c>
      <c r="F194" s="44">
        <f>IF(_calc!$E$196="","",TRIM(IF(LEN(IF(LEN(INDEX('Assets'!$B$4:$B$503,_calc!$E$196))=0,"",INDEX('Assets'!$B$4:$B$503,_calc!$E$196)))=0,"","Asset ID: "&amp;IF(LEN(INDEX('Assets'!$B$4:$B$503,_calc!$E$196))=0,"",INDEX('Assets'!$B$4:$B$503,_calc!$E$196))&amp;". ")&amp;IF(LEN(IF(LEN(INDEX('Assets'!$C$4:$C$503,_calc!$E$196))=0,"",INDEX('Assets'!$C$4:$C$503,_calc!$E$196)))=0,"","Location: "&amp;IF(LEN(INDEX('Assets'!$C$4:$C$503,_calc!$E$196))=0,"",INDEX('Assets'!$C$4:$C$503,_calc!$E$196))&amp;". ")&amp;IF(LEN(IF(LEN(INDEX('Assets'!$E$4:$E$503,_calc!$E$196))=0,"",INDEX('Assets'!$E$4:$E$503,_calc!$E$196)))=0,"","Every (months): "&amp;IF(LEN(INDEX('Assets'!$E$4:$E$503,_calc!$E$196))=0,"",INDEX('Assets'!$E$4:$E$503,_calc!$E$196))&amp;". ")&amp;IF(LEN(IF(LEN(INDEX('Assets'!$M$4:$M$503,_calc!$E$196))=0,"",INDEX('Assets'!$M$4:$M$503,_calc!$E$196)))=0,"","Last result: "&amp;IF(LEN(INDEX('Assets'!$M$4:$M$503,_calc!$E$196))=0,"",INDEX('Assets'!$M$4:$M$503,_calc!$E$196))&amp;". ")&amp;IF(LEN(IF(LEN(INDEX('Assets'!$Q$4:$Q$503,_calc!$E$196))=0,"",INDEX('Assets'!$Q$4:$Q$503,_calc!$E$196)))=0,"",IF(LEN(INDEX('Assets'!$Q$4:$Q$503,_calc!$E$196))=0,"",INDEX('Assets'!$Q$4:$Q$503,_calc!$E$196)))))</f>
        <v/>
      </c>
      <c r="G194" s="44">
        <f>IF(_calc!$E$196="","",IF(LEN(INDEX('Assets'!$P$4:$P$503,_calc!$E$196))=0,"",INDEX('Assets'!$P$4:$P$503,_calc!$E$196)))</f>
        <v/>
      </c>
      <c r="K194" s="44">
        <f>IF(_calc!$E$196="","",IF(LEN(INDEX('Assets'!$N$4:$N$503,_calc!$E$196))=0,"",INDEX('Assets'!$N$4:$N$503,_calc!$E$196)))</f>
        <v/>
      </c>
    </row>
    <row r="195">
      <c r="A195" s="44">
        <f>IF(_calc!$E$197="","",IF(LEN(INDEX('Assets'!$D$4:$D$503,_calc!$E$197))=0,"",INDEX('Assets'!$D$4:$D$503,_calc!$E$197))&amp;" – "&amp;IF(LEN(INDEX('Assets'!$A$4:$A$503,_calc!$E$197))=0,"",INDEX('Assets'!$A$4:$A$503,_calc!$E$197)))</f>
        <v/>
      </c>
      <c r="B195" s="44">
        <f>IF(_calc!$E$197="","",IF(ISNUMBER(INDEX('Assets'!$G$4:$G$503,_calc!$E$197)),TEXT(INDEX('Assets'!$G$4:$G$503,_calc!$E$197),"yyyy-mm-dd"),""))</f>
        <v/>
      </c>
      <c r="C195" s="44">
        <f>IF(_calc!$E$197="","","Inspection")</f>
        <v/>
      </c>
      <c r="D195" s="44">
        <f>IF(_calc!$E$197="","",IF(ISNUMBER(INDEX('Assets'!$F$4:$F$503,_calc!$E$197)),TEXT(INDEX('Assets'!$F$4:$F$503,_calc!$E$197),"yyyy-mm-dd"),""))</f>
        <v/>
      </c>
      <c r="E195" s="44">
        <f>IF(_calc!$E$197="","",IF(LEN(INDEX('Assets'!$O$4:$O$503,_calc!$E$197))=0,"",INDEX('Assets'!$O$4:$O$503,_calc!$E$197)))</f>
        <v/>
      </c>
      <c r="F195" s="44">
        <f>IF(_calc!$E$197="","",TRIM(IF(LEN(IF(LEN(INDEX('Assets'!$B$4:$B$503,_calc!$E$197))=0,"",INDEX('Assets'!$B$4:$B$503,_calc!$E$197)))=0,"","Asset ID: "&amp;IF(LEN(INDEX('Assets'!$B$4:$B$503,_calc!$E$197))=0,"",INDEX('Assets'!$B$4:$B$503,_calc!$E$197))&amp;". ")&amp;IF(LEN(IF(LEN(INDEX('Assets'!$C$4:$C$503,_calc!$E$197))=0,"",INDEX('Assets'!$C$4:$C$503,_calc!$E$197)))=0,"","Location: "&amp;IF(LEN(INDEX('Assets'!$C$4:$C$503,_calc!$E$197))=0,"",INDEX('Assets'!$C$4:$C$503,_calc!$E$197))&amp;". ")&amp;IF(LEN(IF(LEN(INDEX('Assets'!$E$4:$E$503,_calc!$E$197))=0,"",INDEX('Assets'!$E$4:$E$503,_calc!$E$197)))=0,"","Every (months): "&amp;IF(LEN(INDEX('Assets'!$E$4:$E$503,_calc!$E$197))=0,"",INDEX('Assets'!$E$4:$E$503,_calc!$E$197))&amp;". ")&amp;IF(LEN(IF(LEN(INDEX('Assets'!$M$4:$M$503,_calc!$E$197))=0,"",INDEX('Assets'!$M$4:$M$503,_calc!$E$197)))=0,"","Last result: "&amp;IF(LEN(INDEX('Assets'!$M$4:$M$503,_calc!$E$197))=0,"",INDEX('Assets'!$M$4:$M$503,_calc!$E$197))&amp;". ")&amp;IF(LEN(IF(LEN(INDEX('Assets'!$Q$4:$Q$503,_calc!$E$197))=0,"",INDEX('Assets'!$Q$4:$Q$503,_calc!$E$197)))=0,"",IF(LEN(INDEX('Assets'!$Q$4:$Q$503,_calc!$E$197))=0,"",INDEX('Assets'!$Q$4:$Q$503,_calc!$E$197)))))</f>
        <v/>
      </c>
      <c r="G195" s="44">
        <f>IF(_calc!$E$197="","",IF(LEN(INDEX('Assets'!$P$4:$P$503,_calc!$E$197))=0,"",INDEX('Assets'!$P$4:$P$503,_calc!$E$197)))</f>
        <v/>
      </c>
      <c r="K195" s="44">
        <f>IF(_calc!$E$197="","",IF(LEN(INDEX('Assets'!$N$4:$N$503,_calc!$E$197))=0,"",INDEX('Assets'!$N$4:$N$503,_calc!$E$197)))</f>
        <v/>
      </c>
    </row>
    <row r="196">
      <c r="A196" s="44">
        <f>IF(_calc!$E$198="","",IF(LEN(INDEX('Assets'!$D$4:$D$503,_calc!$E$198))=0,"",INDEX('Assets'!$D$4:$D$503,_calc!$E$198))&amp;" – "&amp;IF(LEN(INDEX('Assets'!$A$4:$A$503,_calc!$E$198))=0,"",INDEX('Assets'!$A$4:$A$503,_calc!$E$198)))</f>
        <v/>
      </c>
      <c r="B196" s="44">
        <f>IF(_calc!$E$198="","",IF(ISNUMBER(INDEX('Assets'!$G$4:$G$503,_calc!$E$198)),TEXT(INDEX('Assets'!$G$4:$G$503,_calc!$E$198),"yyyy-mm-dd"),""))</f>
        <v/>
      </c>
      <c r="C196" s="44">
        <f>IF(_calc!$E$198="","","Inspection")</f>
        <v/>
      </c>
      <c r="D196" s="44">
        <f>IF(_calc!$E$198="","",IF(ISNUMBER(INDEX('Assets'!$F$4:$F$503,_calc!$E$198)),TEXT(INDEX('Assets'!$F$4:$F$503,_calc!$E$198),"yyyy-mm-dd"),""))</f>
        <v/>
      </c>
      <c r="E196" s="44">
        <f>IF(_calc!$E$198="","",IF(LEN(INDEX('Assets'!$O$4:$O$503,_calc!$E$198))=0,"",INDEX('Assets'!$O$4:$O$503,_calc!$E$198)))</f>
        <v/>
      </c>
      <c r="F196" s="44">
        <f>IF(_calc!$E$198="","",TRIM(IF(LEN(IF(LEN(INDEX('Assets'!$B$4:$B$503,_calc!$E$198))=0,"",INDEX('Assets'!$B$4:$B$503,_calc!$E$198)))=0,"","Asset ID: "&amp;IF(LEN(INDEX('Assets'!$B$4:$B$503,_calc!$E$198))=0,"",INDEX('Assets'!$B$4:$B$503,_calc!$E$198))&amp;". ")&amp;IF(LEN(IF(LEN(INDEX('Assets'!$C$4:$C$503,_calc!$E$198))=0,"",INDEX('Assets'!$C$4:$C$503,_calc!$E$198)))=0,"","Location: "&amp;IF(LEN(INDEX('Assets'!$C$4:$C$503,_calc!$E$198))=0,"",INDEX('Assets'!$C$4:$C$503,_calc!$E$198))&amp;". ")&amp;IF(LEN(IF(LEN(INDEX('Assets'!$E$4:$E$503,_calc!$E$198))=0,"",INDEX('Assets'!$E$4:$E$503,_calc!$E$198)))=0,"","Every (months): "&amp;IF(LEN(INDEX('Assets'!$E$4:$E$503,_calc!$E$198))=0,"",INDEX('Assets'!$E$4:$E$503,_calc!$E$198))&amp;". ")&amp;IF(LEN(IF(LEN(INDEX('Assets'!$M$4:$M$503,_calc!$E$198))=0,"",INDEX('Assets'!$M$4:$M$503,_calc!$E$198)))=0,"","Last result: "&amp;IF(LEN(INDEX('Assets'!$M$4:$M$503,_calc!$E$198))=0,"",INDEX('Assets'!$M$4:$M$503,_calc!$E$198))&amp;". ")&amp;IF(LEN(IF(LEN(INDEX('Assets'!$Q$4:$Q$503,_calc!$E$198))=0,"",INDEX('Assets'!$Q$4:$Q$503,_calc!$E$198)))=0,"",IF(LEN(INDEX('Assets'!$Q$4:$Q$503,_calc!$E$198))=0,"",INDEX('Assets'!$Q$4:$Q$503,_calc!$E$198)))))</f>
        <v/>
      </c>
      <c r="G196" s="44">
        <f>IF(_calc!$E$198="","",IF(LEN(INDEX('Assets'!$P$4:$P$503,_calc!$E$198))=0,"",INDEX('Assets'!$P$4:$P$503,_calc!$E$198)))</f>
        <v/>
      </c>
      <c r="K196" s="44">
        <f>IF(_calc!$E$198="","",IF(LEN(INDEX('Assets'!$N$4:$N$503,_calc!$E$198))=0,"",INDEX('Assets'!$N$4:$N$503,_calc!$E$198)))</f>
        <v/>
      </c>
    </row>
    <row r="197">
      <c r="A197" s="44">
        <f>IF(_calc!$E$199="","",IF(LEN(INDEX('Assets'!$D$4:$D$503,_calc!$E$199))=0,"",INDEX('Assets'!$D$4:$D$503,_calc!$E$199))&amp;" – "&amp;IF(LEN(INDEX('Assets'!$A$4:$A$503,_calc!$E$199))=0,"",INDEX('Assets'!$A$4:$A$503,_calc!$E$199)))</f>
        <v/>
      </c>
      <c r="B197" s="44">
        <f>IF(_calc!$E$199="","",IF(ISNUMBER(INDEX('Assets'!$G$4:$G$503,_calc!$E$199)),TEXT(INDEX('Assets'!$G$4:$G$503,_calc!$E$199),"yyyy-mm-dd"),""))</f>
        <v/>
      </c>
      <c r="C197" s="44">
        <f>IF(_calc!$E$199="","","Inspection")</f>
        <v/>
      </c>
      <c r="D197" s="44">
        <f>IF(_calc!$E$199="","",IF(ISNUMBER(INDEX('Assets'!$F$4:$F$503,_calc!$E$199)),TEXT(INDEX('Assets'!$F$4:$F$503,_calc!$E$199),"yyyy-mm-dd"),""))</f>
        <v/>
      </c>
      <c r="E197" s="44">
        <f>IF(_calc!$E$199="","",IF(LEN(INDEX('Assets'!$O$4:$O$503,_calc!$E$199))=0,"",INDEX('Assets'!$O$4:$O$503,_calc!$E$199)))</f>
        <v/>
      </c>
      <c r="F197" s="44">
        <f>IF(_calc!$E$199="","",TRIM(IF(LEN(IF(LEN(INDEX('Assets'!$B$4:$B$503,_calc!$E$199))=0,"",INDEX('Assets'!$B$4:$B$503,_calc!$E$199)))=0,"","Asset ID: "&amp;IF(LEN(INDEX('Assets'!$B$4:$B$503,_calc!$E$199))=0,"",INDEX('Assets'!$B$4:$B$503,_calc!$E$199))&amp;". ")&amp;IF(LEN(IF(LEN(INDEX('Assets'!$C$4:$C$503,_calc!$E$199))=0,"",INDEX('Assets'!$C$4:$C$503,_calc!$E$199)))=0,"","Location: "&amp;IF(LEN(INDEX('Assets'!$C$4:$C$503,_calc!$E$199))=0,"",INDEX('Assets'!$C$4:$C$503,_calc!$E$199))&amp;". ")&amp;IF(LEN(IF(LEN(INDEX('Assets'!$E$4:$E$503,_calc!$E$199))=0,"",INDEX('Assets'!$E$4:$E$503,_calc!$E$199)))=0,"","Every (months): "&amp;IF(LEN(INDEX('Assets'!$E$4:$E$503,_calc!$E$199))=0,"",INDEX('Assets'!$E$4:$E$503,_calc!$E$199))&amp;". ")&amp;IF(LEN(IF(LEN(INDEX('Assets'!$M$4:$M$503,_calc!$E$199))=0,"",INDEX('Assets'!$M$4:$M$503,_calc!$E$199)))=0,"","Last result: "&amp;IF(LEN(INDEX('Assets'!$M$4:$M$503,_calc!$E$199))=0,"",INDEX('Assets'!$M$4:$M$503,_calc!$E$199))&amp;". ")&amp;IF(LEN(IF(LEN(INDEX('Assets'!$Q$4:$Q$503,_calc!$E$199))=0,"",INDEX('Assets'!$Q$4:$Q$503,_calc!$E$199)))=0,"",IF(LEN(INDEX('Assets'!$Q$4:$Q$503,_calc!$E$199))=0,"",INDEX('Assets'!$Q$4:$Q$503,_calc!$E$199)))))</f>
        <v/>
      </c>
      <c r="G197" s="44">
        <f>IF(_calc!$E$199="","",IF(LEN(INDEX('Assets'!$P$4:$P$503,_calc!$E$199))=0,"",INDEX('Assets'!$P$4:$P$503,_calc!$E$199)))</f>
        <v/>
      </c>
      <c r="K197" s="44">
        <f>IF(_calc!$E$199="","",IF(LEN(INDEX('Assets'!$N$4:$N$503,_calc!$E$199))=0,"",INDEX('Assets'!$N$4:$N$503,_calc!$E$199)))</f>
        <v/>
      </c>
    </row>
    <row r="198">
      <c r="A198" s="44">
        <f>IF(_calc!$E$200="","",IF(LEN(INDEX('Assets'!$D$4:$D$503,_calc!$E$200))=0,"",INDEX('Assets'!$D$4:$D$503,_calc!$E$200))&amp;" – "&amp;IF(LEN(INDEX('Assets'!$A$4:$A$503,_calc!$E$200))=0,"",INDEX('Assets'!$A$4:$A$503,_calc!$E$200)))</f>
        <v/>
      </c>
      <c r="B198" s="44">
        <f>IF(_calc!$E$200="","",IF(ISNUMBER(INDEX('Assets'!$G$4:$G$503,_calc!$E$200)),TEXT(INDEX('Assets'!$G$4:$G$503,_calc!$E$200),"yyyy-mm-dd"),""))</f>
        <v/>
      </c>
      <c r="C198" s="44">
        <f>IF(_calc!$E$200="","","Inspection")</f>
        <v/>
      </c>
      <c r="D198" s="44">
        <f>IF(_calc!$E$200="","",IF(ISNUMBER(INDEX('Assets'!$F$4:$F$503,_calc!$E$200)),TEXT(INDEX('Assets'!$F$4:$F$503,_calc!$E$200),"yyyy-mm-dd"),""))</f>
        <v/>
      </c>
      <c r="E198" s="44">
        <f>IF(_calc!$E$200="","",IF(LEN(INDEX('Assets'!$O$4:$O$503,_calc!$E$200))=0,"",INDEX('Assets'!$O$4:$O$503,_calc!$E$200)))</f>
        <v/>
      </c>
      <c r="F198" s="44">
        <f>IF(_calc!$E$200="","",TRIM(IF(LEN(IF(LEN(INDEX('Assets'!$B$4:$B$503,_calc!$E$200))=0,"",INDEX('Assets'!$B$4:$B$503,_calc!$E$200)))=0,"","Asset ID: "&amp;IF(LEN(INDEX('Assets'!$B$4:$B$503,_calc!$E$200))=0,"",INDEX('Assets'!$B$4:$B$503,_calc!$E$200))&amp;". ")&amp;IF(LEN(IF(LEN(INDEX('Assets'!$C$4:$C$503,_calc!$E$200))=0,"",INDEX('Assets'!$C$4:$C$503,_calc!$E$200)))=0,"","Location: "&amp;IF(LEN(INDEX('Assets'!$C$4:$C$503,_calc!$E$200))=0,"",INDEX('Assets'!$C$4:$C$503,_calc!$E$200))&amp;". ")&amp;IF(LEN(IF(LEN(INDEX('Assets'!$E$4:$E$503,_calc!$E$200))=0,"",INDEX('Assets'!$E$4:$E$503,_calc!$E$200)))=0,"","Every (months): "&amp;IF(LEN(INDEX('Assets'!$E$4:$E$503,_calc!$E$200))=0,"",INDEX('Assets'!$E$4:$E$503,_calc!$E$200))&amp;". ")&amp;IF(LEN(IF(LEN(INDEX('Assets'!$M$4:$M$503,_calc!$E$200))=0,"",INDEX('Assets'!$M$4:$M$503,_calc!$E$200)))=0,"","Last result: "&amp;IF(LEN(INDEX('Assets'!$M$4:$M$503,_calc!$E$200))=0,"",INDEX('Assets'!$M$4:$M$503,_calc!$E$200))&amp;". ")&amp;IF(LEN(IF(LEN(INDEX('Assets'!$Q$4:$Q$503,_calc!$E$200))=0,"",INDEX('Assets'!$Q$4:$Q$503,_calc!$E$200)))=0,"",IF(LEN(INDEX('Assets'!$Q$4:$Q$503,_calc!$E$200))=0,"",INDEX('Assets'!$Q$4:$Q$503,_calc!$E$200)))))</f>
        <v/>
      </c>
      <c r="G198" s="44">
        <f>IF(_calc!$E$200="","",IF(LEN(INDEX('Assets'!$P$4:$P$503,_calc!$E$200))=0,"",INDEX('Assets'!$P$4:$P$503,_calc!$E$200)))</f>
        <v/>
      </c>
      <c r="K198" s="44">
        <f>IF(_calc!$E$200="","",IF(LEN(INDEX('Assets'!$N$4:$N$503,_calc!$E$200))=0,"",INDEX('Assets'!$N$4:$N$503,_calc!$E$200)))</f>
        <v/>
      </c>
    </row>
    <row r="199">
      <c r="A199" s="44">
        <f>IF(_calc!$E$201="","",IF(LEN(INDEX('Assets'!$D$4:$D$503,_calc!$E$201))=0,"",INDEX('Assets'!$D$4:$D$503,_calc!$E$201))&amp;" – "&amp;IF(LEN(INDEX('Assets'!$A$4:$A$503,_calc!$E$201))=0,"",INDEX('Assets'!$A$4:$A$503,_calc!$E$201)))</f>
        <v/>
      </c>
      <c r="B199" s="44">
        <f>IF(_calc!$E$201="","",IF(ISNUMBER(INDEX('Assets'!$G$4:$G$503,_calc!$E$201)),TEXT(INDEX('Assets'!$G$4:$G$503,_calc!$E$201),"yyyy-mm-dd"),""))</f>
        <v/>
      </c>
      <c r="C199" s="44">
        <f>IF(_calc!$E$201="","","Inspection")</f>
        <v/>
      </c>
      <c r="D199" s="44">
        <f>IF(_calc!$E$201="","",IF(ISNUMBER(INDEX('Assets'!$F$4:$F$503,_calc!$E$201)),TEXT(INDEX('Assets'!$F$4:$F$503,_calc!$E$201),"yyyy-mm-dd"),""))</f>
        <v/>
      </c>
      <c r="E199" s="44">
        <f>IF(_calc!$E$201="","",IF(LEN(INDEX('Assets'!$O$4:$O$503,_calc!$E$201))=0,"",INDEX('Assets'!$O$4:$O$503,_calc!$E$201)))</f>
        <v/>
      </c>
      <c r="F199" s="44">
        <f>IF(_calc!$E$201="","",TRIM(IF(LEN(IF(LEN(INDEX('Assets'!$B$4:$B$503,_calc!$E$201))=0,"",INDEX('Assets'!$B$4:$B$503,_calc!$E$201)))=0,"","Asset ID: "&amp;IF(LEN(INDEX('Assets'!$B$4:$B$503,_calc!$E$201))=0,"",INDEX('Assets'!$B$4:$B$503,_calc!$E$201))&amp;". ")&amp;IF(LEN(IF(LEN(INDEX('Assets'!$C$4:$C$503,_calc!$E$201))=0,"",INDEX('Assets'!$C$4:$C$503,_calc!$E$201)))=0,"","Location: "&amp;IF(LEN(INDEX('Assets'!$C$4:$C$503,_calc!$E$201))=0,"",INDEX('Assets'!$C$4:$C$503,_calc!$E$201))&amp;". ")&amp;IF(LEN(IF(LEN(INDEX('Assets'!$E$4:$E$503,_calc!$E$201))=0,"",INDEX('Assets'!$E$4:$E$503,_calc!$E$201)))=0,"","Every (months): "&amp;IF(LEN(INDEX('Assets'!$E$4:$E$503,_calc!$E$201))=0,"",INDEX('Assets'!$E$4:$E$503,_calc!$E$201))&amp;". ")&amp;IF(LEN(IF(LEN(INDEX('Assets'!$M$4:$M$503,_calc!$E$201))=0,"",INDEX('Assets'!$M$4:$M$503,_calc!$E$201)))=0,"","Last result: "&amp;IF(LEN(INDEX('Assets'!$M$4:$M$503,_calc!$E$201))=0,"",INDEX('Assets'!$M$4:$M$503,_calc!$E$201))&amp;". ")&amp;IF(LEN(IF(LEN(INDEX('Assets'!$Q$4:$Q$503,_calc!$E$201))=0,"",INDEX('Assets'!$Q$4:$Q$503,_calc!$E$201)))=0,"",IF(LEN(INDEX('Assets'!$Q$4:$Q$503,_calc!$E$201))=0,"",INDEX('Assets'!$Q$4:$Q$503,_calc!$E$201)))))</f>
        <v/>
      </c>
      <c r="G199" s="44">
        <f>IF(_calc!$E$201="","",IF(LEN(INDEX('Assets'!$P$4:$P$503,_calc!$E$201))=0,"",INDEX('Assets'!$P$4:$P$503,_calc!$E$201)))</f>
        <v/>
      </c>
      <c r="K199" s="44">
        <f>IF(_calc!$E$201="","",IF(LEN(INDEX('Assets'!$N$4:$N$503,_calc!$E$201))=0,"",INDEX('Assets'!$N$4:$N$503,_calc!$E$201)))</f>
        <v/>
      </c>
    </row>
    <row r="200">
      <c r="A200" s="44">
        <f>IF(_calc!$E$202="","",IF(LEN(INDEX('Assets'!$D$4:$D$503,_calc!$E$202))=0,"",INDEX('Assets'!$D$4:$D$503,_calc!$E$202))&amp;" – "&amp;IF(LEN(INDEX('Assets'!$A$4:$A$503,_calc!$E$202))=0,"",INDEX('Assets'!$A$4:$A$503,_calc!$E$202)))</f>
        <v/>
      </c>
      <c r="B200" s="44">
        <f>IF(_calc!$E$202="","",IF(ISNUMBER(INDEX('Assets'!$G$4:$G$503,_calc!$E$202)),TEXT(INDEX('Assets'!$G$4:$G$503,_calc!$E$202),"yyyy-mm-dd"),""))</f>
        <v/>
      </c>
      <c r="C200" s="44">
        <f>IF(_calc!$E$202="","","Inspection")</f>
        <v/>
      </c>
      <c r="D200" s="44">
        <f>IF(_calc!$E$202="","",IF(ISNUMBER(INDEX('Assets'!$F$4:$F$503,_calc!$E$202)),TEXT(INDEX('Assets'!$F$4:$F$503,_calc!$E$202),"yyyy-mm-dd"),""))</f>
        <v/>
      </c>
      <c r="E200" s="44">
        <f>IF(_calc!$E$202="","",IF(LEN(INDEX('Assets'!$O$4:$O$503,_calc!$E$202))=0,"",INDEX('Assets'!$O$4:$O$503,_calc!$E$202)))</f>
        <v/>
      </c>
      <c r="F200" s="44">
        <f>IF(_calc!$E$202="","",TRIM(IF(LEN(IF(LEN(INDEX('Assets'!$B$4:$B$503,_calc!$E$202))=0,"",INDEX('Assets'!$B$4:$B$503,_calc!$E$202)))=0,"","Asset ID: "&amp;IF(LEN(INDEX('Assets'!$B$4:$B$503,_calc!$E$202))=0,"",INDEX('Assets'!$B$4:$B$503,_calc!$E$202))&amp;". ")&amp;IF(LEN(IF(LEN(INDEX('Assets'!$C$4:$C$503,_calc!$E$202))=0,"",INDEX('Assets'!$C$4:$C$503,_calc!$E$202)))=0,"","Location: "&amp;IF(LEN(INDEX('Assets'!$C$4:$C$503,_calc!$E$202))=0,"",INDEX('Assets'!$C$4:$C$503,_calc!$E$202))&amp;". ")&amp;IF(LEN(IF(LEN(INDEX('Assets'!$E$4:$E$503,_calc!$E$202))=0,"",INDEX('Assets'!$E$4:$E$503,_calc!$E$202)))=0,"","Every (months): "&amp;IF(LEN(INDEX('Assets'!$E$4:$E$503,_calc!$E$202))=0,"",INDEX('Assets'!$E$4:$E$503,_calc!$E$202))&amp;". ")&amp;IF(LEN(IF(LEN(INDEX('Assets'!$M$4:$M$503,_calc!$E$202))=0,"",INDEX('Assets'!$M$4:$M$503,_calc!$E$202)))=0,"","Last result: "&amp;IF(LEN(INDEX('Assets'!$M$4:$M$503,_calc!$E$202))=0,"",INDEX('Assets'!$M$4:$M$503,_calc!$E$202))&amp;". ")&amp;IF(LEN(IF(LEN(INDEX('Assets'!$Q$4:$Q$503,_calc!$E$202))=0,"",INDEX('Assets'!$Q$4:$Q$503,_calc!$E$202)))=0,"",IF(LEN(INDEX('Assets'!$Q$4:$Q$503,_calc!$E$202))=0,"",INDEX('Assets'!$Q$4:$Q$503,_calc!$E$202)))))</f>
        <v/>
      </c>
      <c r="G200" s="44">
        <f>IF(_calc!$E$202="","",IF(LEN(INDEX('Assets'!$P$4:$P$503,_calc!$E$202))=0,"",INDEX('Assets'!$P$4:$P$503,_calc!$E$202)))</f>
        <v/>
      </c>
      <c r="K200" s="44">
        <f>IF(_calc!$E$202="","",IF(LEN(INDEX('Assets'!$N$4:$N$503,_calc!$E$202))=0,"",INDEX('Assets'!$N$4:$N$503,_calc!$E$202)))</f>
        <v/>
      </c>
    </row>
    <row r="201">
      <c r="A201" s="44">
        <f>IF(_calc!$E$203="","",IF(LEN(INDEX('Assets'!$D$4:$D$503,_calc!$E$203))=0,"",INDEX('Assets'!$D$4:$D$503,_calc!$E$203))&amp;" – "&amp;IF(LEN(INDEX('Assets'!$A$4:$A$503,_calc!$E$203))=0,"",INDEX('Assets'!$A$4:$A$503,_calc!$E$203)))</f>
        <v/>
      </c>
      <c r="B201" s="44">
        <f>IF(_calc!$E$203="","",IF(ISNUMBER(INDEX('Assets'!$G$4:$G$503,_calc!$E$203)),TEXT(INDEX('Assets'!$G$4:$G$503,_calc!$E$203),"yyyy-mm-dd"),""))</f>
        <v/>
      </c>
      <c r="C201" s="44">
        <f>IF(_calc!$E$203="","","Inspection")</f>
        <v/>
      </c>
      <c r="D201" s="44">
        <f>IF(_calc!$E$203="","",IF(ISNUMBER(INDEX('Assets'!$F$4:$F$503,_calc!$E$203)),TEXT(INDEX('Assets'!$F$4:$F$503,_calc!$E$203),"yyyy-mm-dd"),""))</f>
        <v/>
      </c>
      <c r="E201" s="44">
        <f>IF(_calc!$E$203="","",IF(LEN(INDEX('Assets'!$O$4:$O$503,_calc!$E$203))=0,"",INDEX('Assets'!$O$4:$O$503,_calc!$E$203)))</f>
        <v/>
      </c>
      <c r="F201" s="44">
        <f>IF(_calc!$E$203="","",TRIM(IF(LEN(IF(LEN(INDEX('Assets'!$B$4:$B$503,_calc!$E$203))=0,"",INDEX('Assets'!$B$4:$B$503,_calc!$E$203)))=0,"","Asset ID: "&amp;IF(LEN(INDEX('Assets'!$B$4:$B$503,_calc!$E$203))=0,"",INDEX('Assets'!$B$4:$B$503,_calc!$E$203))&amp;". ")&amp;IF(LEN(IF(LEN(INDEX('Assets'!$C$4:$C$503,_calc!$E$203))=0,"",INDEX('Assets'!$C$4:$C$503,_calc!$E$203)))=0,"","Location: "&amp;IF(LEN(INDEX('Assets'!$C$4:$C$503,_calc!$E$203))=0,"",INDEX('Assets'!$C$4:$C$503,_calc!$E$203))&amp;". ")&amp;IF(LEN(IF(LEN(INDEX('Assets'!$E$4:$E$503,_calc!$E$203))=0,"",INDEX('Assets'!$E$4:$E$503,_calc!$E$203)))=0,"","Every (months): "&amp;IF(LEN(INDEX('Assets'!$E$4:$E$503,_calc!$E$203))=0,"",INDEX('Assets'!$E$4:$E$503,_calc!$E$203))&amp;". ")&amp;IF(LEN(IF(LEN(INDEX('Assets'!$M$4:$M$503,_calc!$E$203))=0,"",INDEX('Assets'!$M$4:$M$503,_calc!$E$203)))=0,"","Last result: "&amp;IF(LEN(INDEX('Assets'!$M$4:$M$503,_calc!$E$203))=0,"",INDEX('Assets'!$M$4:$M$503,_calc!$E$203))&amp;". ")&amp;IF(LEN(IF(LEN(INDEX('Assets'!$Q$4:$Q$503,_calc!$E$203))=0,"",INDEX('Assets'!$Q$4:$Q$503,_calc!$E$203)))=0,"",IF(LEN(INDEX('Assets'!$Q$4:$Q$503,_calc!$E$203))=0,"",INDEX('Assets'!$Q$4:$Q$503,_calc!$E$203)))))</f>
        <v/>
      </c>
      <c r="G201" s="44">
        <f>IF(_calc!$E$203="","",IF(LEN(INDEX('Assets'!$P$4:$P$503,_calc!$E$203))=0,"",INDEX('Assets'!$P$4:$P$503,_calc!$E$203)))</f>
        <v/>
      </c>
      <c r="K201" s="44">
        <f>IF(_calc!$E$203="","",IF(LEN(INDEX('Assets'!$N$4:$N$503,_calc!$E$203))=0,"",INDEX('Assets'!$N$4:$N$503,_calc!$E$203)))</f>
        <v/>
      </c>
    </row>
    <row r="202">
      <c r="A202" s="44">
        <f>IF(_calc!$E$204="","",IF(LEN(INDEX('Assets'!$D$4:$D$503,_calc!$E$204))=0,"",INDEX('Assets'!$D$4:$D$503,_calc!$E$204))&amp;" – "&amp;IF(LEN(INDEX('Assets'!$A$4:$A$503,_calc!$E$204))=0,"",INDEX('Assets'!$A$4:$A$503,_calc!$E$204)))</f>
        <v/>
      </c>
      <c r="B202" s="44">
        <f>IF(_calc!$E$204="","",IF(ISNUMBER(INDEX('Assets'!$G$4:$G$503,_calc!$E$204)),TEXT(INDEX('Assets'!$G$4:$G$503,_calc!$E$204),"yyyy-mm-dd"),""))</f>
        <v/>
      </c>
      <c r="C202" s="44">
        <f>IF(_calc!$E$204="","","Inspection")</f>
        <v/>
      </c>
      <c r="D202" s="44">
        <f>IF(_calc!$E$204="","",IF(ISNUMBER(INDEX('Assets'!$F$4:$F$503,_calc!$E$204)),TEXT(INDEX('Assets'!$F$4:$F$503,_calc!$E$204),"yyyy-mm-dd"),""))</f>
        <v/>
      </c>
      <c r="E202" s="44">
        <f>IF(_calc!$E$204="","",IF(LEN(INDEX('Assets'!$O$4:$O$503,_calc!$E$204))=0,"",INDEX('Assets'!$O$4:$O$503,_calc!$E$204)))</f>
        <v/>
      </c>
      <c r="F202" s="44">
        <f>IF(_calc!$E$204="","",TRIM(IF(LEN(IF(LEN(INDEX('Assets'!$B$4:$B$503,_calc!$E$204))=0,"",INDEX('Assets'!$B$4:$B$503,_calc!$E$204)))=0,"","Asset ID: "&amp;IF(LEN(INDEX('Assets'!$B$4:$B$503,_calc!$E$204))=0,"",INDEX('Assets'!$B$4:$B$503,_calc!$E$204))&amp;". ")&amp;IF(LEN(IF(LEN(INDEX('Assets'!$C$4:$C$503,_calc!$E$204))=0,"",INDEX('Assets'!$C$4:$C$503,_calc!$E$204)))=0,"","Location: "&amp;IF(LEN(INDEX('Assets'!$C$4:$C$503,_calc!$E$204))=0,"",INDEX('Assets'!$C$4:$C$503,_calc!$E$204))&amp;". ")&amp;IF(LEN(IF(LEN(INDEX('Assets'!$E$4:$E$503,_calc!$E$204))=0,"",INDEX('Assets'!$E$4:$E$503,_calc!$E$204)))=0,"","Every (months): "&amp;IF(LEN(INDEX('Assets'!$E$4:$E$503,_calc!$E$204))=0,"",INDEX('Assets'!$E$4:$E$503,_calc!$E$204))&amp;". ")&amp;IF(LEN(IF(LEN(INDEX('Assets'!$M$4:$M$503,_calc!$E$204))=0,"",INDEX('Assets'!$M$4:$M$503,_calc!$E$204)))=0,"","Last result: "&amp;IF(LEN(INDEX('Assets'!$M$4:$M$503,_calc!$E$204))=0,"",INDEX('Assets'!$M$4:$M$503,_calc!$E$204))&amp;". ")&amp;IF(LEN(IF(LEN(INDEX('Assets'!$Q$4:$Q$503,_calc!$E$204))=0,"",INDEX('Assets'!$Q$4:$Q$503,_calc!$E$204)))=0,"",IF(LEN(INDEX('Assets'!$Q$4:$Q$503,_calc!$E$204))=0,"",INDEX('Assets'!$Q$4:$Q$503,_calc!$E$204)))))</f>
        <v/>
      </c>
      <c r="G202" s="44">
        <f>IF(_calc!$E$204="","",IF(LEN(INDEX('Assets'!$P$4:$P$503,_calc!$E$204))=0,"",INDEX('Assets'!$P$4:$P$503,_calc!$E$204)))</f>
        <v/>
      </c>
      <c r="K202" s="44">
        <f>IF(_calc!$E$204="","",IF(LEN(INDEX('Assets'!$N$4:$N$503,_calc!$E$204))=0,"",INDEX('Assets'!$N$4:$N$503,_calc!$E$204)))</f>
        <v/>
      </c>
    </row>
    <row r="203">
      <c r="A203" s="44">
        <f>IF(_calc!$E$205="","",IF(LEN(INDEX('Assets'!$D$4:$D$503,_calc!$E$205))=0,"",INDEX('Assets'!$D$4:$D$503,_calc!$E$205))&amp;" – "&amp;IF(LEN(INDEX('Assets'!$A$4:$A$503,_calc!$E$205))=0,"",INDEX('Assets'!$A$4:$A$503,_calc!$E$205)))</f>
        <v/>
      </c>
      <c r="B203" s="44">
        <f>IF(_calc!$E$205="","",IF(ISNUMBER(INDEX('Assets'!$G$4:$G$503,_calc!$E$205)),TEXT(INDEX('Assets'!$G$4:$G$503,_calc!$E$205),"yyyy-mm-dd"),""))</f>
        <v/>
      </c>
      <c r="C203" s="44">
        <f>IF(_calc!$E$205="","","Inspection")</f>
        <v/>
      </c>
      <c r="D203" s="44">
        <f>IF(_calc!$E$205="","",IF(ISNUMBER(INDEX('Assets'!$F$4:$F$503,_calc!$E$205)),TEXT(INDEX('Assets'!$F$4:$F$503,_calc!$E$205),"yyyy-mm-dd"),""))</f>
        <v/>
      </c>
      <c r="E203" s="44">
        <f>IF(_calc!$E$205="","",IF(LEN(INDEX('Assets'!$O$4:$O$503,_calc!$E$205))=0,"",INDEX('Assets'!$O$4:$O$503,_calc!$E$205)))</f>
        <v/>
      </c>
      <c r="F203" s="44">
        <f>IF(_calc!$E$205="","",TRIM(IF(LEN(IF(LEN(INDEX('Assets'!$B$4:$B$503,_calc!$E$205))=0,"",INDEX('Assets'!$B$4:$B$503,_calc!$E$205)))=0,"","Asset ID: "&amp;IF(LEN(INDEX('Assets'!$B$4:$B$503,_calc!$E$205))=0,"",INDEX('Assets'!$B$4:$B$503,_calc!$E$205))&amp;". ")&amp;IF(LEN(IF(LEN(INDEX('Assets'!$C$4:$C$503,_calc!$E$205))=0,"",INDEX('Assets'!$C$4:$C$503,_calc!$E$205)))=0,"","Location: "&amp;IF(LEN(INDEX('Assets'!$C$4:$C$503,_calc!$E$205))=0,"",INDEX('Assets'!$C$4:$C$503,_calc!$E$205))&amp;". ")&amp;IF(LEN(IF(LEN(INDEX('Assets'!$E$4:$E$503,_calc!$E$205))=0,"",INDEX('Assets'!$E$4:$E$503,_calc!$E$205)))=0,"","Every (months): "&amp;IF(LEN(INDEX('Assets'!$E$4:$E$503,_calc!$E$205))=0,"",INDEX('Assets'!$E$4:$E$503,_calc!$E$205))&amp;". ")&amp;IF(LEN(IF(LEN(INDEX('Assets'!$M$4:$M$503,_calc!$E$205))=0,"",INDEX('Assets'!$M$4:$M$503,_calc!$E$205)))=0,"","Last result: "&amp;IF(LEN(INDEX('Assets'!$M$4:$M$503,_calc!$E$205))=0,"",INDEX('Assets'!$M$4:$M$503,_calc!$E$205))&amp;". ")&amp;IF(LEN(IF(LEN(INDEX('Assets'!$Q$4:$Q$503,_calc!$E$205))=0,"",INDEX('Assets'!$Q$4:$Q$503,_calc!$E$205)))=0,"",IF(LEN(INDEX('Assets'!$Q$4:$Q$503,_calc!$E$205))=0,"",INDEX('Assets'!$Q$4:$Q$503,_calc!$E$205)))))</f>
        <v/>
      </c>
      <c r="G203" s="44">
        <f>IF(_calc!$E$205="","",IF(LEN(INDEX('Assets'!$P$4:$P$503,_calc!$E$205))=0,"",INDEX('Assets'!$P$4:$P$503,_calc!$E$205)))</f>
        <v/>
      </c>
      <c r="K203" s="44">
        <f>IF(_calc!$E$205="","",IF(LEN(INDEX('Assets'!$N$4:$N$503,_calc!$E$205))=0,"",INDEX('Assets'!$N$4:$N$503,_calc!$E$205)))</f>
        <v/>
      </c>
    </row>
    <row r="204">
      <c r="A204" s="44">
        <f>IF(_calc!$E$206="","",IF(LEN(INDEX('Assets'!$D$4:$D$503,_calc!$E$206))=0,"",INDEX('Assets'!$D$4:$D$503,_calc!$E$206))&amp;" – "&amp;IF(LEN(INDEX('Assets'!$A$4:$A$503,_calc!$E$206))=0,"",INDEX('Assets'!$A$4:$A$503,_calc!$E$206)))</f>
        <v/>
      </c>
      <c r="B204" s="44">
        <f>IF(_calc!$E$206="","",IF(ISNUMBER(INDEX('Assets'!$G$4:$G$503,_calc!$E$206)),TEXT(INDEX('Assets'!$G$4:$G$503,_calc!$E$206),"yyyy-mm-dd"),""))</f>
        <v/>
      </c>
      <c r="C204" s="44">
        <f>IF(_calc!$E$206="","","Inspection")</f>
        <v/>
      </c>
      <c r="D204" s="44">
        <f>IF(_calc!$E$206="","",IF(ISNUMBER(INDEX('Assets'!$F$4:$F$503,_calc!$E$206)),TEXT(INDEX('Assets'!$F$4:$F$503,_calc!$E$206),"yyyy-mm-dd"),""))</f>
        <v/>
      </c>
      <c r="E204" s="44">
        <f>IF(_calc!$E$206="","",IF(LEN(INDEX('Assets'!$O$4:$O$503,_calc!$E$206))=0,"",INDEX('Assets'!$O$4:$O$503,_calc!$E$206)))</f>
        <v/>
      </c>
      <c r="F204" s="44">
        <f>IF(_calc!$E$206="","",TRIM(IF(LEN(IF(LEN(INDEX('Assets'!$B$4:$B$503,_calc!$E$206))=0,"",INDEX('Assets'!$B$4:$B$503,_calc!$E$206)))=0,"","Asset ID: "&amp;IF(LEN(INDEX('Assets'!$B$4:$B$503,_calc!$E$206))=0,"",INDEX('Assets'!$B$4:$B$503,_calc!$E$206))&amp;". ")&amp;IF(LEN(IF(LEN(INDEX('Assets'!$C$4:$C$503,_calc!$E$206))=0,"",INDEX('Assets'!$C$4:$C$503,_calc!$E$206)))=0,"","Location: "&amp;IF(LEN(INDEX('Assets'!$C$4:$C$503,_calc!$E$206))=0,"",INDEX('Assets'!$C$4:$C$503,_calc!$E$206))&amp;". ")&amp;IF(LEN(IF(LEN(INDEX('Assets'!$E$4:$E$503,_calc!$E$206))=0,"",INDEX('Assets'!$E$4:$E$503,_calc!$E$206)))=0,"","Every (months): "&amp;IF(LEN(INDEX('Assets'!$E$4:$E$503,_calc!$E$206))=0,"",INDEX('Assets'!$E$4:$E$503,_calc!$E$206))&amp;". ")&amp;IF(LEN(IF(LEN(INDEX('Assets'!$M$4:$M$503,_calc!$E$206))=0,"",INDEX('Assets'!$M$4:$M$503,_calc!$E$206)))=0,"","Last result: "&amp;IF(LEN(INDEX('Assets'!$M$4:$M$503,_calc!$E$206))=0,"",INDEX('Assets'!$M$4:$M$503,_calc!$E$206))&amp;". ")&amp;IF(LEN(IF(LEN(INDEX('Assets'!$Q$4:$Q$503,_calc!$E$206))=0,"",INDEX('Assets'!$Q$4:$Q$503,_calc!$E$206)))=0,"",IF(LEN(INDEX('Assets'!$Q$4:$Q$503,_calc!$E$206))=0,"",INDEX('Assets'!$Q$4:$Q$503,_calc!$E$206)))))</f>
        <v/>
      </c>
      <c r="G204" s="44">
        <f>IF(_calc!$E$206="","",IF(LEN(INDEX('Assets'!$P$4:$P$503,_calc!$E$206))=0,"",INDEX('Assets'!$P$4:$P$503,_calc!$E$206)))</f>
        <v/>
      </c>
      <c r="K204" s="44">
        <f>IF(_calc!$E$206="","",IF(LEN(INDEX('Assets'!$N$4:$N$503,_calc!$E$206))=0,"",INDEX('Assets'!$N$4:$N$503,_calc!$E$206)))</f>
        <v/>
      </c>
    </row>
    <row r="205">
      <c r="A205" s="44">
        <f>IF(_calc!$E$207="","",IF(LEN(INDEX('Assets'!$D$4:$D$503,_calc!$E$207))=0,"",INDEX('Assets'!$D$4:$D$503,_calc!$E$207))&amp;" – "&amp;IF(LEN(INDEX('Assets'!$A$4:$A$503,_calc!$E$207))=0,"",INDEX('Assets'!$A$4:$A$503,_calc!$E$207)))</f>
        <v/>
      </c>
      <c r="B205" s="44">
        <f>IF(_calc!$E$207="","",IF(ISNUMBER(INDEX('Assets'!$G$4:$G$503,_calc!$E$207)),TEXT(INDEX('Assets'!$G$4:$G$503,_calc!$E$207),"yyyy-mm-dd"),""))</f>
        <v/>
      </c>
      <c r="C205" s="44">
        <f>IF(_calc!$E$207="","","Inspection")</f>
        <v/>
      </c>
      <c r="D205" s="44">
        <f>IF(_calc!$E$207="","",IF(ISNUMBER(INDEX('Assets'!$F$4:$F$503,_calc!$E$207)),TEXT(INDEX('Assets'!$F$4:$F$503,_calc!$E$207),"yyyy-mm-dd"),""))</f>
        <v/>
      </c>
      <c r="E205" s="44">
        <f>IF(_calc!$E$207="","",IF(LEN(INDEX('Assets'!$O$4:$O$503,_calc!$E$207))=0,"",INDEX('Assets'!$O$4:$O$503,_calc!$E$207)))</f>
        <v/>
      </c>
      <c r="F205" s="44">
        <f>IF(_calc!$E$207="","",TRIM(IF(LEN(IF(LEN(INDEX('Assets'!$B$4:$B$503,_calc!$E$207))=0,"",INDEX('Assets'!$B$4:$B$503,_calc!$E$207)))=0,"","Asset ID: "&amp;IF(LEN(INDEX('Assets'!$B$4:$B$503,_calc!$E$207))=0,"",INDEX('Assets'!$B$4:$B$503,_calc!$E$207))&amp;". ")&amp;IF(LEN(IF(LEN(INDEX('Assets'!$C$4:$C$503,_calc!$E$207))=0,"",INDEX('Assets'!$C$4:$C$503,_calc!$E$207)))=0,"","Location: "&amp;IF(LEN(INDEX('Assets'!$C$4:$C$503,_calc!$E$207))=0,"",INDEX('Assets'!$C$4:$C$503,_calc!$E$207))&amp;". ")&amp;IF(LEN(IF(LEN(INDEX('Assets'!$E$4:$E$503,_calc!$E$207))=0,"",INDEX('Assets'!$E$4:$E$503,_calc!$E$207)))=0,"","Every (months): "&amp;IF(LEN(INDEX('Assets'!$E$4:$E$503,_calc!$E$207))=0,"",INDEX('Assets'!$E$4:$E$503,_calc!$E$207))&amp;". ")&amp;IF(LEN(IF(LEN(INDEX('Assets'!$M$4:$M$503,_calc!$E$207))=0,"",INDEX('Assets'!$M$4:$M$503,_calc!$E$207)))=0,"","Last result: "&amp;IF(LEN(INDEX('Assets'!$M$4:$M$503,_calc!$E$207))=0,"",INDEX('Assets'!$M$4:$M$503,_calc!$E$207))&amp;". ")&amp;IF(LEN(IF(LEN(INDEX('Assets'!$Q$4:$Q$503,_calc!$E$207))=0,"",INDEX('Assets'!$Q$4:$Q$503,_calc!$E$207)))=0,"",IF(LEN(INDEX('Assets'!$Q$4:$Q$503,_calc!$E$207))=0,"",INDEX('Assets'!$Q$4:$Q$503,_calc!$E$207)))))</f>
        <v/>
      </c>
      <c r="G205" s="44">
        <f>IF(_calc!$E$207="","",IF(LEN(INDEX('Assets'!$P$4:$P$503,_calc!$E$207))=0,"",INDEX('Assets'!$P$4:$P$503,_calc!$E$207)))</f>
        <v/>
      </c>
      <c r="K205" s="44">
        <f>IF(_calc!$E$207="","",IF(LEN(INDEX('Assets'!$N$4:$N$503,_calc!$E$207))=0,"",INDEX('Assets'!$N$4:$N$503,_calc!$E$207)))</f>
        <v/>
      </c>
    </row>
    <row r="206">
      <c r="A206" s="44">
        <f>IF(_calc!$E$208="","",IF(LEN(INDEX('Assets'!$D$4:$D$503,_calc!$E$208))=0,"",INDEX('Assets'!$D$4:$D$503,_calc!$E$208))&amp;" – "&amp;IF(LEN(INDEX('Assets'!$A$4:$A$503,_calc!$E$208))=0,"",INDEX('Assets'!$A$4:$A$503,_calc!$E$208)))</f>
        <v/>
      </c>
      <c r="B206" s="44">
        <f>IF(_calc!$E$208="","",IF(ISNUMBER(INDEX('Assets'!$G$4:$G$503,_calc!$E$208)),TEXT(INDEX('Assets'!$G$4:$G$503,_calc!$E$208),"yyyy-mm-dd"),""))</f>
        <v/>
      </c>
      <c r="C206" s="44">
        <f>IF(_calc!$E$208="","","Inspection")</f>
        <v/>
      </c>
      <c r="D206" s="44">
        <f>IF(_calc!$E$208="","",IF(ISNUMBER(INDEX('Assets'!$F$4:$F$503,_calc!$E$208)),TEXT(INDEX('Assets'!$F$4:$F$503,_calc!$E$208),"yyyy-mm-dd"),""))</f>
        <v/>
      </c>
      <c r="E206" s="44">
        <f>IF(_calc!$E$208="","",IF(LEN(INDEX('Assets'!$O$4:$O$503,_calc!$E$208))=0,"",INDEX('Assets'!$O$4:$O$503,_calc!$E$208)))</f>
        <v/>
      </c>
      <c r="F206" s="44">
        <f>IF(_calc!$E$208="","",TRIM(IF(LEN(IF(LEN(INDEX('Assets'!$B$4:$B$503,_calc!$E$208))=0,"",INDEX('Assets'!$B$4:$B$503,_calc!$E$208)))=0,"","Asset ID: "&amp;IF(LEN(INDEX('Assets'!$B$4:$B$503,_calc!$E$208))=0,"",INDEX('Assets'!$B$4:$B$503,_calc!$E$208))&amp;". ")&amp;IF(LEN(IF(LEN(INDEX('Assets'!$C$4:$C$503,_calc!$E$208))=0,"",INDEX('Assets'!$C$4:$C$503,_calc!$E$208)))=0,"","Location: "&amp;IF(LEN(INDEX('Assets'!$C$4:$C$503,_calc!$E$208))=0,"",INDEX('Assets'!$C$4:$C$503,_calc!$E$208))&amp;". ")&amp;IF(LEN(IF(LEN(INDEX('Assets'!$E$4:$E$503,_calc!$E$208))=0,"",INDEX('Assets'!$E$4:$E$503,_calc!$E$208)))=0,"","Every (months): "&amp;IF(LEN(INDEX('Assets'!$E$4:$E$503,_calc!$E$208))=0,"",INDEX('Assets'!$E$4:$E$503,_calc!$E$208))&amp;". ")&amp;IF(LEN(IF(LEN(INDEX('Assets'!$M$4:$M$503,_calc!$E$208))=0,"",INDEX('Assets'!$M$4:$M$503,_calc!$E$208)))=0,"","Last result: "&amp;IF(LEN(INDEX('Assets'!$M$4:$M$503,_calc!$E$208))=0,"",INDEX('Assets'!$M$4:$M$503,_calc!$E$208))&amp;". ")&amp;IF(LEN(IF(LEN(INDEX('Assets'!$Q$4:$Q$503,_calc!$E$208))=0,"",INDEX('Assets'!$Q$4:$Q$503,_calc!$E$208)))=0,"",IF(LEN(INDEX('Assets'!$Q$4:$Q$503,_calc!$E$208))=0,"",INDEX('Assets'!$Q$4:$Q$503,_calc!$E$208)))))</f>
        <v/>
      </c>
      <c r="G206" s="44">
        <f>IF(_calc!$E$208="","",IF(LEN(INDEX('Assets'!$P$4:$P$503,_calc!$E$208))=0,"",INDEX('Assets'!$P$4:$P$503,_calc!$E$208)))</f>
        <v/>
      </c>
      <c r="K206" s="44">
        <f>IF(_calc!$E$208="","",IF(LEN(INDEX('Assets'!$N$4:$N$503,_calc!$E$208))=0,"",INDEX('Assets'!$N$4:$N$503,_calc!$E$208)))</f>
        <v/>
      </c>
    </row>
    <row r="207">
      <c r="A207" s="44">
        <f>IF(_calc!$E$209="","",IF(LEN(INDEX('Assets'!$D$4:$D$503,_calc!$E$209))=0,"",INDEX('Assets'!$D$4:$D$503,_calc!$E$209))&amp;" – "&amp;IF(LEN(INDEX('Assets'!$A$4:$A$503,_calc!$E$209))=0,"",INDEX('Assets'!$A$4:$A$503,_calc!$E$209)))</f>
        <v/>
      </c>
      <c r="B207" s="44">
        <f>IF(_calc!$E$209="","",IF(ISNUMBER(INDEX('Assets'!$G$4:$G$503,_calc!$E$209)),TEXT(INDEX('Assets'!$G$4:$G$503,_calc!$E$209),"yyyy-mm-dd"),""))</f>
        <v/>
      </c>
      <c r="C207" s="44">
        <f>IF(_calc!$E$209="","","Inspection")</f>
        <v/>
      </c>
      <c r="D207" s="44">
        <f>IF(_calc!$E$209="","",IF(ISNUMBER(INDEX('Assets'!$F$4:$F$503,_calc!$E$209)),TEXT(INDEX('Assets'!$F$4:$F$503,_calc!$E$209),"yyyy-mm-dd"),""))</f>
        <v/>
      </c>
      <c r="E207" s="44">
        <f>IF(_calc!$E$209="","",IF(LEN(INDEX('Assets'!$O$4:$O$503,_calc!$E$209))=0,"",INDEX('Assets'!$O$4:$O$503,_calc!$E$209)))</f>
        <v/>
      </c>
      <c r="F207" s="44">
        <f>IF(_calc!$E$209="","",TRIM(IF(LEN(IF(LEN(INDEX('Assets'!$B$4:$B$503,_calc!$E$209))=0,"",INDEX('Assets'!$B$4:$B$503,_calc!$E$209)))=0,"","Asset ID: "&amp;IF(LEN(INDEX('Assets'!$B$4:$B$503,_calc!$E$209))=0,"",INDEX('Assets'!$B$4:$B$503,_calc!$E$209))&amp;". ")&amp;IF(LEN(IF(LEN(INDEX('Assets'!$C$4:$C$503,_calc!$E$209))=0,"",INDEX('Assets'!$C$4:$C$503,_calc!$E$209)))=0,"","Location: "&amp;IF(LEN(INDEX('Assets'!$C$4:$C$503,_calc!$E$209))=0,"",INDEX('Assets'!$C$4:$C$503,_calc!$E$209))&amp;". ")&amp;IF(LEN(IF(LEN(INDEX('Assets'!$E$4:$E$503,_calc!$E$209))=0,"",INDEX('Assets'!$E$4:$E$503,_calc!$E$209)))=0,"","Every (months): "&amp;IF(LEN(INDEX('Assets'!$E$4:$E$503,_calc!$E$209))=0,"",INDEX('Assets'!$E$4:$E$503,_calc!$E$209))&amp;". ")&amp;IF(LEN(IF(LEN(INDEX('Assets'!$M$4:$M$503,_calc!$E$209))=0,"",INDEX('Assets'!$M$4:$M$503,_calc!$E$209)))=0,"","Last result: "&amp;IF(LEN(INDEX('Assets'!$M$4:$M$503,_calc!$E$209))=0,"",INDEX('Assets'!$M$4:$M$503,_calc!$E$209))&amp;". ")&amp;IF(LEN(IF(LEN(INDEX('Assets'!$Q$4:$Q$503,_calc!$E$209))=0,"",INDEX('Assets'!$Q$4:$Q$503,_calc!$E$209)))=0,"",IF(LEN(INDEX('Assets'!$Q$4:$Q$503,_calc!$E$209))=0,"",INDEX('Assets'!$Q$4:$Q$503,_calc!$E$209)))))</f>
        <v/>
      </c>
      <c r="G207" s="44">
        <f>IF(_calc!$E$209="","",IF(LEN(INDEX('Assets'!$P$4:$P$503,_calc!$E$209))=0,"",INDEX('Assets'!$P$4:$P$503,_calc!$E$209)))</f>
        <v/>
      </c>
      <c r="K207" s="44">
        <f>IF(_calc!$E$209="","",IF(LEN(INDEX('Assets'!$N$4:$N$503,_calc!$E$209))=0,"",INDEX('Assets'!$N$4:$N$503,_calc!$E$209)))</f>
        <v/>
      </c>
    </row>
    <row r="208">
      <c r="A208" s="44">
        <f>IF(_calc!$E$210="","",IF(LEN(INDEX('Assets'!$D$4:$D$503,_calc!$E$210))=0,"",INDEX('Assets'!$D$4:$D$503,_calc!$E$210))&amp;" – "&amp;IF(LEN(INDEX('Assets'!$A$4:$A$503,_calc!$E$210))=0,"",INDEX('Assets'!$A$4:$A$503,_calc!$E$210)))</f>
        <v/>
      </c>
      <c r="B208" s="44">
        <f>IF(_calc!$E$210="","",IF(ISNUMBER(INDEX('Assets'!$G$4:$G$503,_calc!$E$210)),TEXT(INDEX('Assets'!$G$4:$G$503,_calc!$E$210),"yyyy-mm-dd"),""))</f>
        <v/>
      </c>
      <c r="C208" s="44">
        <f>IF(_calc!$E$210="","","Inspection")</f>
        <v/>
      </c>
      <c r="D208" s="44">
        <f>IF(_calc!$E$210="","",IF(ISNUMBER(INDEX('Assets'!$F$4:$F$503,_calc!$E$210)),TEXT(INDEX('Assets'!$F$4:$F$503,_calc!$E$210),"yyyy-mm-dd"),""))</f>
        <v/>
      </c>
      <c r="E208" s="44">
        <f>IF(_calc!$E$210="","",IF(LEN(INDEX('Assets'!$O$4:$O$503,_calc!$E$210))=0,"",INDEX('Assets'!$O$4:$O$503,_calc!$E$210)))</f>
        <v/>
      </c>
      <c r="F208" s="44">
        <f>IF(_calc!$E$210="","",TRIM(IF(LEN(IF(LEN(INDEX('Assets'!$B$4:$B$503,_calc!$E$210))=0,"",INDEX('Assets'!$B$4:$B$503,_calc!$E$210)))=0,"","Asset ID: "&amp;IF(LEN(INDEX('Assets'!$B$4:$B$503,_calc!$E$210))=0,"",INDEX('Assets'!$B$4:$B$503,_calc!$E$210))&amp;". ")&amp;IF(LEN(IF(LEN(INDEX('Assets'!$C$4:$C$503,_calc!$E$210))=0,"",INDEX('Assets'!$C$4:$C$503,_calc!$E$210)))=0,"","Location: "&amp;IF(LEN(INDEX('Assets'!$C$4:$C$503,_calc!$E$210))=0,"",INDEX('Assets'!$C$4:$C$503,_calc!$E$210))&amp;". ")&amp;IF(LEN(IF(LEN(INDEX('Assets'!$E$4:$E$503,_calc!$E$210))=0,"",INDEX('Assets'!$E$4:$E$503,_calc!$E$210)))=0,"","Every (months): "&amp;IF(LEN(INDEX('Assets'!$E$4:$E$503,_calc!$E$210))=0,"",INDEX('Assets'!$E$4:$E$503,_calc!$E$210))&amp;". ")&amp;IF(LEN(IF(LEN(INDEX('Assets'!$M$4:$M$503,_calc!$E$210))=0,"",INDEX('Assets'!$M$4:$M$503,_calc!$E$210)))=0,"","Last result: "&amp;IF(LEN(INDEX('Assets'!$M$4:$M$503,_calc!$E$210))=0,"",INDEX('Assets'!$M$4:$M$503,_calc!$E$210))&amp;". ")&amp;IF(LEN(IF(LEN(INDEX('Assets'!$Q$4:$Q$503,_calc!$E$210))=0,"",INDEX('Assets'!$Q$4:$Q$503,_calc!$E$210)))=0,"",IF(LEN(INDEX('Assets'!$Q$4:$Q$503,_calc!$E$210))=0,"",INDEX('Assets'!$Q$4:$Q$503,_calc!$E$210)))))</f>
        <v/>
      </c>
      <c r="G208" s="44">
        <f>IF(_calc!$E$210="","",IF(LEN(INDEX('Assets'!$P$4:$P$503,_calc!$E$210))=0,"",INDEX('Assets'!$P$4:$P$503,_calc!$E$210)))</f>
        <v/>
      </c>
      <c r="K208" s="44">
        <f>IF(_calc!$E$210="","",IF(LEN(INDEX('Assets'!$N$4:$N$503,_calc!$E$210))=0,"",INDEX('Assets'!$N$4:$N$503,_calc!$E$210)))</f>
        <v/>
      </c>
    </row>
    <row r="209">
      <c r="A209" s="44">
        <f>IF(_calc!$E$211="","",IF(LEN(INDEX('Assets'!$D$4:$D$503,_calc!$E$211))=0,"",INDEX('Assets'!$D$4:$D$503,_calc!$E$211))&amp;" – "&amp;IF(LEN(INDEX('Assets'!$A$4:$A$503,_calc!$E$211))=0,"",INDEX('Assets'!$A$4:$A$503,_calc!$E$211)))</f>
        <v/>
      </c>
      <c r="B209" s="44">
        <f>IF(_calc!$E$211="","",IF(ISNUMBER(INDEX('Assets'!$G$4:$G$503,_calc!$E$211)),TEXT(INDEX('Assets'!$G$4:$G$503,_calc!$E$211),"yyyy-mm-dd"),""))</f>
        <v/>
      </c>
      <c r="C209" s="44">
        <f>IF(_calc!$E$211="","","Inspection")</f>
        <v/>
      </c>
      <c r="D209" s="44">
        <f>IF(_calc!$E$211="","",IF(ISNUMBER(INDEX('Assets'!$F$4:$F$503,_calc!$E$211)),TEXT(INDEX('Assets'!$F$4:$F$503,_calc!$E$211),"yyyy-mm-dd"),""))</f>
        <v/>
      </c>
      <c r="E209" s="44">
        <f>IF(_calc!$E$211="","",IF(LEN(INDEX('Assets'!$O$4:$O$503,_calc!$E$211))=0,"",INDEX('Assets'!$O$4:$O$503,_calc!$E$211)))</f>
        <v/>
      </c>
      <c r="F209" s="44">
        <f>IF(_calc!$E$211="","",TRIM(IF(LEN(IF(LEN(INDEX('Assets'!$B$4:$B$503,_calc!$E$211))=0,"",INDEX('Assets'!$B$4:$B$503,_calc!$E$211)))=0,"","Asset ID: "&amp;IF(LEN(INDEX('Assets'!$B$4:$B$503,_calc!$E$211))=0,"",INDEX('Assets'!$B$4:$B$503,_calc!$E$211))&amp;". ")&amp;IF(LEN(IF(LEN(INDEX('Assets'!$C$4:$C$503,_calc!$E$211))=0,"",INDEX('Assets'!$C$4:$C$503,_calc!$E$211)))=0,"","Location: "&amp;IF(LEN(INDEX('Assets'!$C$4:$C$503,_calc!$E$211))=0,"",INDEX('Assets'!$C$4:$C$503,_calc!$E$211))&amp;". ")&amp;IF(LEN(IF(LEN(INDEX('Assets'!$E$4:$E$503,_calc!$E$211))=0,"",INDEX('Assets'!$E$4:$E$503,_calc!$E$211)))=0,"","Every (months): "&amp;IF(LEN(INDEX('Assets'!$E$4:$E$503,_calc!$E$211))=0,"",INDEX('Assets'!$E$4:$E$503,_calc!$E$211))&amp;". ")&amp;IF(LEN(IF(LEN(INDEX('Assets'!$M$4:$M$503,_calc!$E$211))=0,"",INDEX('Assets'!$M$4:$M$503,_calc!$E$211)))=0,"","Last result: "&amp;IF(LEN(INDEX('Assets'!$M$4:$M$503,_calc!$E$211))=0,"",INDEX('Assets'!$M$4:$M$503,_calc!$E$211))&amp;". ")&amp;IF(LEN(IF(LEN(INDEX('Assets'!$Q$4:$Q$503,_calc!$E$211))=0,"",INDEX('Assets'!$Q$4:$Q$503,_calc!$E$211)))=0,"",IF(LEN(INDEX('Assets'!$Q$4:$Q$503,_calc!$E$211))=0,"",INDEX('Assets'!$Q$4:$Q$503,_calc!$E$211)))))</f>
        <v/>
      </c>
      <c r="G209" s="44">
        <f>IF(_calc!$E$211="","",IF(LEN(INDEX('Assets'!$P$4:$P$503,_calc!$E$211))=0,"",INDEX('Assets'!$P$4:$P$503,_calc!$E$211)))</f>
        <v/>
      </c>
      <c r="K209" s="44">
        <f>IF(_calc!$E$211="","",IF(LEN(INDEX('Assets'!$N$4:$N$503,_calc!$E$211))=0,"",INDEX('Assets'!$N$4:$N$503,_calc!$E$211)))</f>
        <v/>
      </c>
    </row>
    <row r="210">
      <c r="A210" s="44">
        <f>IF(_calc!$E$212="","",IF(LEN(INDEX('Assets'!$D$4:$D$503,_calc!$E$212))=0,"",INDEX('Assets'!$D$4:$D$503,_calc!$E$212))&amp;" – "&amp;IF(LEN(INDEX('Assets'!$A$4:$A$503,_calc!$E$212))=0,"",INDEX('Assets'!$A$4:$A$503,_calc!$E$212)))</f>
        <v/>
      </c>
      <c r="B210" s="44">
        <f>IF(_calc!$E$212="","",IF(ISNUMBER(INDEX('Assets'!$G$4:$G$503,_calc!$E$212)),TEXT(INDEX('Assets'!$G$4:$G$503,_calc!$E$212),"yyyy-mm-dd"),""))</f>
        <v/>
      </c>
      <c r="C210" s="44">
        <f>IF(_calc!$E$212="","","Inspection")</f>
        <v/>
      </c>
      <c r="D210" s="44">
        <f>IF(_calc!$E$212="","",IF(ISNUMBER(INDEX('Assets'!$F$4:$F$503,_calc!$E$212)),TEXT(INDEX('Assets'!$F$4:$F$503,_calc!$E$212),"yyyy-mm-dd"),""))</f>
        <v/>
      </c>
      <c r="E210" s="44">
        <f>IF(_calc!$E$212="","",IF(LEN(INDEX('Assets'!$O$4:$O$503,_calc!$E$212))=0,"",INDEX('Assets'!$O$4:$O$503,_calc!$E$212)))</f>
        <v/>
      </c>
      <c r="F210" s="44">
        <f>IF(_calc!$E$212="","",TRIM(IF(LEN(IF(LEN(INDEX('Assets'!$B$4:$B$503,_calc!$E$212))=0,"",INDEX('Assets'!$B$4:$B$503,_calc!$E$212)))=0,"","Asset ID: "&amp;IF(LEN(INDEX('Assets'!$B$4:$B$503,_calc!$E$212))=0,"",INDEX('Assets'!$B$4:$B$503,_calc!$E$212))&amp;". ")&amp;IF(LEN(IF(LEN(INDEX('Assets'!$C$4:$C$503,_calc!$E$212))=0,"",INDEX('Assets'!$C$4:$C$503,_calc!$E$212)))=0,"","Location: "&amp;IF(LEN(INDEX('Assets'!$C$4:$C$503,_calc!$E$212))=0,"",INDEX('Assets'!$C$4:$C$503,_calc!$E$212))&amp;". ")&amp;IF(LEN(IF(LEN(INDEX('Assets'!$E$4:$E$503,_calc!$E$212))=0,"",INDEX('Assets'!$E$4:$E$503,_calc!$E$212)))=0,"","Every (months): "&amp;IF(LEN(INDEX('Assets'!$E$4:$E$503,_calc!$E$212))=0,"",INDEX('Assets'!$E$4:$E$503,_calc!$E$212))&amp;". ")&amp;IF(LEN(IF(LEN(INDEX('Assets'!$M$4:$M$503,_calc!$E$212))=0,"",INDEX('Assets'!$M$4:$M$503,_calc!$E$212)))=0,"","Last result: "&amp;IF(LEN(INDEX('Assets'!$M$4:$M$503,_calc!$E$212))=0,"",INDEX('Assets'!$M$4:$M$503,_calc!$E$212))&amp;". ")&amp;IF(LEN(IF(LEN(INDEX('Assets'!$Q$4:$Q$503,_calc!$E$212))=0,"",INDEX('Assets'!$Q$4:$Q$503,_calc!$E$212)))=0,"",IF(LEN(INDEX('Assets'!$Q$4:$Q$503,_calc!$E$212))=0,"",INDEX('Assets'!$Q$4:$Q$503,_calc!$E$212)))))</f>
        <v/>
      </c>
      <c r="G210" s="44">
        <f>IF(_calc!$E$212="","",IF(LEN(INDEX('Assets'!$P$4:$P$503,_calc!$E$212))=0,"",INDEX('Assets'!$P$4:$P$503,_calc!$E$212)))</f>
        <v/>
      </c>
      <c r="K210" s="44">
        <f>IF(_calc!$E$212="","",IF(LEN(INDEX('Assets'!$N$4:$N$503,_calc!$E$212))=0,"",INDEX('Assets'!$N$4:$N$503,_calc!$E$212)))</f>
        <v/>
      </c>
    </row>
    <row r="211">
      <c r="A211" s="44">
        <f>IF(_calc!$E$213="","",IF(LEN(INDEX('Assets'!$D$4:$D$503,_calc!$E$213))=0,"",INDEX('Assets'!$D$4:$D$503,_calc!$E$213))&amp;" – "&amp;IF(LEN(INDEX('Assets'!$A$4:$A$503,_calc!$E$213))=0,"",INDEX('Assets'!$A$4:$A$503,_calc!$E$213)))</f>
        <v/>
      </c>
      <c r="B211" s="44">
        <f>IF(_calc!$E$213="","",IF(ISNUMBER(INDEX('Assets'!$G$4:$G$503,_calc!$E$213)),TEXT(INDEX('Assets'!$G$4:$G$503,_calc!$E$213),"yyyy-mm-dd"),""))</f>
        <v/>
      </c>
      <c r="C211" s="44">
        <f>IF(_calc!$E$213="","","Inspection")</f>
        <v/>
      </c>
      <c r="D211" s="44">
        <f>IF(_calc!$E$213="","",IF(ISNUMBER(INDEX('Assets'!$F$4:$F$503,_calc!$E$213)),TEXT(INDEX('Assets'!$F$4:$F$503,_calc!$E$213),"yyyy-mm-dd"),""))</f>
        <v/>
      </c>
      <c r="E211" s="44">
        <f>IF(_calc!$E$213="","",IF(LEN(INDEX('Assets'!$O$4:$O$503,_calc!$E$213))=0,"",INDEX('Assets'!$O$4:$O$503,_calc!$E$213)))</f>
        <v/>
      </c>
      <c r="F211" s="44">
        <f>IF(_calc!$E$213="","",TRIM(IF(LEN(IF(LEN(INDEX('Assets'!$B$4:$B$503,_calc!$E$213))=0,"",INDEX('Assets'!$B$4:$B$503,_calc!$E$213)))=0,"","Asset ID: "&amp;IF(LEN(INDEX('Assets'!$B$4:$B$503,_calc!$E$213))=0,"",INDEX('Assets'!$B$4:$B$503,_calc!$E$213))&amp;". ")&amp;IF(LEN(IF(LEN(INDEX('Assets'!$C$4:$C$503,_calc!$E$213))=0,"",INDEX('Assets'!$C$4:$C$503,_calc!$E$213)))=0,"","Location: "&amp;IF(LEN(INDEX('Assets'!$C$4:$C$503,_calc!$E$213))=0,"",INDEX('Assets'!$C$4:$C$503,_calc!$E$213))&amp;". ")&amp;IF(LEN(IF(LEN(INDEX('Assets'!$E$4:$E$503,_calc!$E$213))=0,"",INDEX('Assets'!$E$4:$E$503,_calc!$E$213)))=0,"","Every (months): "&amp;IF(LEN(INDEX('Assets'!$E$4:$E$503,_calc!$E$213))=0,"",INDEX('Assets'!$E$4:$E$503,_calc!$E$213))&amp;". ")&amp;IF(LEN(IF(LEN(INDEX('Assets'!$M$4:$M$503,_calc!$E$213))=0,"",INDEX('Assets'!$M$4:$M$503,_calc!$E$213)))=0,"","Last result: "&amp;IF(LEN(INDEX('Assets'!$M$4:$M$503,_calc!$E$213))=0,"",INDEX('Assets'!$M$4:$M$503,_calc!$E$213))&amp;". ")&amp;IF(LEN(IF(LEN(INDEX('Assets'!$Q$4:$Q$503,_calc!$E$213))=0,"",INDEX('Assets'!$Q$4:$Q$503,_calc!$E$213)))=0,"",IF(LEN(INDEX('Assets'!$Q$4:$Q$503,_calc!$E$213))=0,"",INDEX('Assets'!$Q$4:$Q$503,_calc!$E$213)))))</f>
        <v/>
      </c>
      <c r="G211" s="44">
        <f>IF(_calc!$E$213="","",IF(LEN(INDEX('Assets'!$P$4:$P$503,_calc!$E$213))=0,"",INDEX('Assets'!$P$4:$P$503,_calc!$E$213)))</f>
        <v/>
      </c>
      <c r="K211" s="44">
        <f>IF(_calc!$E$213="","",IF(LEN(INDEX('Assets'!$N$4:$N$503,_calc!$E$213))=0,"",INDEX('Assets'!$N$4:$N$503,_calc!$E$213)))</f>
        <v/>
      </c>
    </row>
    <row r="212">
      <c r="A212" s="44">
        <f>IF(_calc!$E$214="","",IF(LEN(INDEX('Assets'!$D$4:$D$503,_calc!$E$214))=0,"",INDEX('Assets'!$D$4:$D$503,_calc!$E$214))&amp;" – "&amp;IF(LEN(INDEX('Assets'!$A$4:$A$503,_calc!$E$214))=0,"",INDEX('Assets'!$A$4:$A$503,_calc!$E$214)))</f>
        <v/>
      </c>
      <c r="B212" s="44">
        <f>IF(_calc!$E$214="","",IF(ISNUMBER(INDEX('Assets'!$G$4:$G$503,_calc!$E$214)),TEXT(INDEX('Assets'!$G$4:$G$503,_calc!$E$214),"yyyy-mm-dd"),""))</f>
        <v/>
      </c>
      <c r="C212" s="44">
        <f>IF(_calc!$E$214="","","Inspection")</f>
        <v/>
      </c>
      <c r="D212" s="44">
        <f>IF(_calc!$E$214="","",IF(ISNUMBER(INDEX('Assets'!$F$4:$F$503,_calc!$E$214)),TEXT(INDEX('Assets'!$F$4:$F$503,_calc!$E$214),"yyyy-mm-dd"),""))</f>
        <v/>
      </c>
      <c r="E212" s="44">
        <f>IF(_calc!$E$214="","",IF(LEN(INDEX('Assets'!$O$4:$O$503,_calc!$E$214))=0,"",INDEX('Assets'!$O$4:$O$503,_calc!$E$214)))</f>
        <v/>
      </c>
      <c r="F212" s="44">
        <f>IF(_calc!$E$214="","",TRIM(IF(LEN(IF(LEN(INDEX('Assets'!$B$4:$B$503,_calc!$E$214))=0,"",INDEX('Assets'!$B$4:$B$503,_calc!$E$214)))=0,"","Asset ID: "&amp;IF(LEN(INDEX('Assets'!$B$4:$B$503,_calc!$E$214))=0,"",INDEX('Assets'!$B$4:$B$503,_calc!$E$214))&amp;". ")&amp;IF(LEN(IF(LEN(INDEX('Assets'!$C$4:$C$503,_calc!$E$214))=0,"",INDEX('Assets'!$C$4:$C$503,_calc!$E$214)))=0,"","Location: "&amp;IF(LEN(INDEX('Assets'!$C$4:$C$503,_calc!$E$214))=0,"",INDEX('Assets'!$C$4:$C$503,_calc!$E$214))&amp;". ")&amp;IF(LEN(IF(LEN(INDEX('Assets'!$E$4:$E$503,_calc!$E$214))=0,"",INDEX('Assets'!$E$4:$E$503,_calc!$E$214)))=0,"","Every (months): "&amp;IF(LEN(INDEX('Assets'!$E$4:$E$503,_calc!$E$214))=0,"",INDEX('Assets'!$E$4:$E$503,_calc!$E$214))&amp;". ")&amp;IF(LEN(IF(LEN(INDEX('Assets'!$M$4:$M$503,_calc!$E$214))=0,"",INDEX('Assets'!$M$4:$M$503,_calc!$E$214)))=0,"","Last result: "&amp;IF(LEN(INDEX('Assets'!$M$4:$M$503,_calc!$E$214))=0,"",INDEX('Assets'!$M$4:$M$503,_calc!$E$214))&amp;". ")&amp;IF(LEN(IF(LEN(INDEX('Assets'!$Q$4:$Q$503,_calc!$E$214))=0,"",INDEX('Assets'!$Q$4:$Q$503,_calc!$E$214)))=0,"",IF(LEN(INDEX('Assets'!$Q$4:$Q$503,_calc!$E$214))=0,"",INDEX('Assets'!$Q$4:$Q$503,_calc!$E$214)))))</f>
        <v/>
      </c>
      <c r="G212" s="44">
        <f>IF(_calc!$E$214="","",IF(LEN(INDEX('Assets'!$P$4:$P$503,_calc!$E$214))=0,"",INDEX('Assets'!$P$4:$P$503,_calc!$E$214)))</f>
        <v/>
      </c>
      <c r="K212" s="44">
        <f>IF(_calc!$E$214="","",IF(LEN(INDEX('Assets'!$N$4:$N$503,_calc!$E$214))=0,"",INDEX('Assets'!$N$4:$N$503,_calc!$E$214)))</f>
        <v/>
      </c>
    </row>
    <row r="213">
      <c r="A213" s="44">
        <f>IF(_calc!$E$215="","",IF(LEN(INDEX('Assets'!$D$4:$D$503,_calc!$E$215))=0,"",INDEX('Assets'!$D$4:$D$503,_calc!$E$215))&amp;" – "&amp;IF(LEN(INDEX('Assets'!$A$4:$A$503,_calc!$E$215))=0,"",INDEX('Assets'!$A$4:$A$503,_calc!$E$215)))</f>
        <v/>
      </c>
      <c r="B213" s="44">
        <f>IF(_calc!$E$215="","",IF(ISNUMBER(INDEX('Assets'!$G$4:$G$503,_calc!$E$215)),TEXT(INDEX('Assets'!$G$4:$G$503,_calc!$E$215),"yyyy-mm-dd"),""))</f>
        <v/>
      </c>
      <c r="C213" s="44">
        <f>IF(_calc!$E$215="","","Inspection")</f>
        <v/>
      </c>
      <c r="D213" s="44">
        <f>IF(_calc!$E$215="","",IF(ISNUMBER(INDEX('Assets'!$F$4:$F$503,_calc!$E$215)),TEXT(INDEX('Assets'!$F$4:$F$503,_calc!$E$215),"yyyy-mm-dd"),""))</f>
        <v/>
      </c>
      <c r="E213" s="44">
        <f>IF(_calc!$E$215="","",IF(LEN(INDEX('Assets'!$O$4:$O$503,_calc!$E$215))=0,"",INDEX('Assets'!$O$4:$O$503,_calc!$E$215)))</f>
        <v/>
      </c>
      <c r="F213" s="44">
        <f>IF(_calc!$E$215="","",TRIM(IF(LEN(IF(LEN(INDEX('Assets'!$B$4:$B$503,_calc!$E$215))=0,"",INDEX('Assets'!$B$4:$B$503,_calc!$E$215)))=0,"","Asset ID: "&amp;IF(LEN(INDEX('Assets'!$B$4:$B$503,_calc!$E$215))=0,"",INDEX('Assets'!$B$4:$B$503,_calc!$E$215))&amp;". ")&amp;IF(LEN(IF(LEN(INDEX('Assets'!$C$4:$C$503,_calc!$E$215))=0,"",INDEX('Assets'!$C$4:$C$503,_calc!$E$215)))=0,"","Location: "&amp;IF(LEN(INDEX('Assets'!$C$4:$C$503,_calc!$E$215))=0,"",INDEX('Assets'!$C$4:$C$503,_calc!$E$215))&amp;". ")&amp;IF(LEN(IF(LEN(INDEX('Assets'!$E$4:$E$503,_calc!$E$215))=0,"",INDEX('Assets'!$E$4:$E$503,_calc!$E$215)))=0,"","Every (months): "&amp;IF(LEN(INDEX('Assets'!$E$4:$E$503,_calc!$E$215))=0,"",INDEX('Assets'!$E$4:$E$503,_calc!$E$215))&amp;". ")&amp;IF(LEN(IF(LEN(INDEX('Assets'!$M$4:$M$503,_calc!$E$215))=0,"",INDEX('Assets'!$M$4:$M$503,_calc!$E$215)))=0,"","Last result: "&amp;IF(LEN(INDEX('Assets'!$M$4:$M$503,_calc!$E$215))=0,"",INDEX('Assets'!$M$4:$M$503,_calc!$E$215))&amp;". ")&amp;IF(LEN(IF(LEN(INDEX('Assets'!$Q$4:$Q$503,_calc!$E$215))=0,"",INDEX('Assets'!$Q$4:$Q$503,_calc!$E$215)))=0,"",IF(LEN(INDEX('Assets'!$Q$4:$Q$503,_calc!$E$215))=0,"",INDEX('Assets'!$Q$4:$Q$503,_calc!$E$215)))))</f>
        <v/>
      </c>
      <c r="G213" s="44">
        <f>IF(_calc!$E$215="","",IF(LEN(INDEX('Assets'!$P$4:$P$503,_calc!$E$215))=0,"",INDEX('Assets'!$P$4:$P$503,_calc!$E$215)))</f>
        <v/>
      </c>
      <c r="K213" s="44">
        <f>IF(_calc!$E$215="","",IF(LEN(INDEX('Assets'!$N$4:$N$503,_calc!$E$215))=0,"",INDEX('Assets'!$N$4:$N$503,_calc!$E$215)))</f>
        <v/>
      </c>
    </row>
    <row r="214">
      <c r="A214" s="44">
        <f>IF(_calc!$E$216="","",IF(LEN(INDEX('Assets'!$D$4:$D$503,_calc!$E$216))=0,"",INDEX('Assets'!$D$4:$D$503,_calc!$E$216))&amp;" – "&amp;IF(LEN(INDEX('Assets'!$A$4:$A$503,_calc!$E$216))=0,"",INDEX('Assets'!$A$4:$A$503,_calc!$E$216)))</f>
        <v/>
      </c>
      <c r="B214" s="44">
        <f>IF(_calc!$E$216="","",IF(ISNUMBER(INDEX('Assets'!$G$4:$G$503,_calc!$E$216)),TEXT(INDEX('Assets'!$G$4:$G$503,_calc!$E$216),"yyyy-mm-dd"),""))</f>
        <v/>
      </c>
      <c r="C214" s="44">
        <f>IF(_calc!$E$216="","","Inspection")</f>
        <v/>
      </c>
      <c r="D214" s="44">
        <f>IF(_calc!$E$216="","",IF(ISNUMBER(INDEX('Assets'!$F$4:$F$503,_calc!$E$216)),TEXT(INDEX('Assets'!$F$4:$F$503,_calc!$E$216),"yyyy-mm-dd"),""))</f>
        <v/>
      </c>
      <c r="E214" s="44">
        <f>IF(_calc!$E$216="","",IF(LEN(INDEX('Assets'!$O$4:$O$503,_calc!$E$216))=0,"",INDEX('Assets'!$O$4:$O$503,_calc!$E$216)))</f>
        <v/>
      </c>
      <c r="F214" s="44">
        <f>IF(_calc!$E$216="","",TRIM(IF(LEN(IF(LEN(INDEX('Assets'!$B$4:$B$503,_calc!$E$216))=0,"",INDEX('Assets'!$B$4:$B$503,_calc!$E$216)))=0,"","Asset ID: "&amp;IF(LEN(INDEX('Assets'!$B$4:$B$503,_calc!$E$216))=0,"",INDEX('Assets'!$B$4:$B$503,_calc!$E$216))&amp;". ")&amp;IF(LEN(IF(LEN(INDEX('Assets'!$C$4:$C$503,_calc!$E$216))=0,"",INDEX('Assets'!$C$4:$C$503,_calc!$E$216)))=0,"","Location: "&amp;IF(LEN(INDEX('Assets'!$C$4:$C$503,_calc!$E$216))=0,"",INDEX('Assets'!$C$4:$C$503,_calc!$E$216))&amp;". ")&amp;IF(LEN(IF(LEN(INDEX('Assets'!$E$4:$E$503,_calc!$E$216))=0,"",INDEX('Assets'!$E$4:$E$503,_calc!$E$216)))=0,"","Every (months): "&amp;IF(LEN(INDEX('Assets'!$E$4:$E$503,_calc!$E$216))=0,"",INDEX('Assets'!$E$4:$E$503,_calc!$E$216))&amp;". ")&amp;IF(LEN(IF(LEN(INDEX('Assets'!$M$4:$M$503,_calc!$E$216))=0,"",INDEX('Assets'!$M$4:$M$503,_calc!$E$216)))=0,"","Last result: "&amp;IF(LEN(INDEX('Assets'!$M$4:$M$503,_calc!$E$216))=0,"",INDEX('Assets'!$M$4:$M$503,_calc!$E$216))&amp;". ")&amp;IF(LEN(IF(LEN(INDEX('Assets'!$Q$4:$Q$503,_calc!$E$216))=0,"",INDEX('Assets'!$Q$4:$Q$503,_calc!$E$216)))=0,"",IF(LEN(INDEX('Assets'!$Q$4:$Q$503,_calc!$E$216))=0,"",INDEX('Assets'!$Q$4:$Q$503,_calc!$E$216)))))</f>
        <v/>
      </c>
      <c r="G214" s="44">
        <f>IF(_calc!$E$216="","",IF(LEN(INDEX('Assets'!$P$4:$P$503,_calc!$E$216))=0,"",INDEX('Assets'!$P$4:$P$503,_calc!$E$216)))</f>
        <v/>
      </c>
      <c r="K214" s="44">
        <f>IF(_calc!$E$216="","",IF(LEN(INDEX('Assets'!$N$4:$N$503,_calc!$E$216))=0,"",INDEX('Assets'!$N$4:$N$503,_calc!$E$216)))</f>
        <v/>
      </c>
    </row>
    <row r="215">
      <c r="A215" s="44">
        <f>IF(_calc!$E$217="","",IF(LEN(INDEX('Assets'!$D$4:$D$503,_calc!$E$217))=0,"",INDEX('Assets'!$D$4:$D$503,_calc!$E$217))&amp;" – "&amp;IF(LEN(INDEX('Assets'!$A$4:$A$503,_calc!$E$217))=0,"",INDEX('Assets'!$A$4:$A$503,_calc!$E$217)))</f>
        <v/>
      </c>
      <c r="B215" s="44">
        <f>IF(_calc!$E$217="","",IF(ISNUMBER(INDEX('Assets'!$G$4:$G$503,_calc!$E$217)),TEXT(INDEX('Assets'!$G$4:$G$503,_calc!$E$217),"yyyy-mm-dd"),""))</f>
        <v/>
      </c>
      <c r="C215" s="44">
        <f>IF(_calc!$E$217="","","Inspection")</f>
        <v/>
      </c>
      <c r="D215" s="44">
        <f>IF(_calc!$E$217="","",IF(ISNUMBER(INDEX('Assets'!$F$4:$F$503,_calc!$E$217)),TEXT(INDEX('Assets'!$F$4:$F$503,_calc!$E$217),"yyyy-mm-dd"),""))</f>
        <v/>
      </c>
      <c r="E215" s="44">
        <f>IF(_calc!$E$217="","",IF(LEN(INDEX('Assets'!$O$4:$O$503,_calc!$E$217))=0,"",INDEX('Assets'!$O$4:$O$503,_calc!$E$217)))</f>
        <v/>
      </c>
      <c r="F215" s="44">
        <f>IF(_calc!$E$217="","",TRIM(IF(LEN(IF(LEN(INDEX('Assets'!$B$4:$B$503,_calc!$E$217))=0,"",INDEX('Assets'!$B$4:$B$503,_calc!$E$217)))=0,"","Asset ID: "&amp;IF(LEN(INDEX('Assets'!$B$4:$B$503,_calc!$E$217))=0,"",INDEX('Assets'!$B$4:$B$503,_calc!$E$217))&amp;". ")&amp;IF(LEN(IF(LEN(INDEX('Assets'!$C$4:$C$503,_calc!$E$217))=0,"",INDEX('Assets'!$C$4:$C$503,_calc!$E$217)))=0,"","Location: "&amp;IF(LEN(INDEX('Assets'!$C$4:$C$503,_calc!$E$217))=0,"",INDEX('Assets'!$C$4:$C$503,_calc!$E$217))&amp;". ")&amp;IF(LEN(IF(LEN(INDEX('Assets'!$E$4:$E$503,_calc!$E$217))=0,"",INDEX('Assets'!$E$4:$E$503,_calc!$E$217)))=0,"","Every (months): "&amp;IF(LEN(INDEX('Assets'!$E$4:$E$503,_calc!$E$217))=0,"",INDEX('Assets'!$E$4:$E$503,_calc!$E$217))&amp;". ")&amp;IF(LEN(IF(LEN(INDEX('Assets'!$M$4:$M$503,_calc!$E$217))=0,"",INDEX('Assets'!$M$4:$M$503,_calc!$E$217)))=0,"","Last result: "&amp;IF(LEN(INDEX('Assets'!$M$4:$M$503,_calc!$E$217))=0,"",INDEX('Assets'!$M$4:$M$503,_calc!$E$217))&amp;". ")&amp;IF(LEN(IF(LEN(INDEX('Assets'!$Q$4:$Q$503,_calc!$E$217))=0,"",INDEX('Assets'!$Q$4:$Q$503,_calc!$E$217)))=0,"",IF(LEN(INDEX('Assets'!$Q$4:$Q$503,_calc!$E$217))=0,"",INDEX('Assets'!$Q$4:$Q$503,_calc!$E$217)))))</f>
        <v/>
      </c>
      <c r="G215" s="44">
        <f>IF(_calc!$E$217="","",IF(LEN(INDEX('Assets'!$P$4:$P$503,_calc!$E$217))=0,"",INDEX('Assets'!$P$4:$P$503,_calc!$E$217)))</f>
        <v/>
      </c>
      <c r="K215" s="44">
        <f>IF(_calc!$E$217="","",IF(LEN(INDEX('Assets'!$N$4:$N$503,_calc!$E$217))=0,"",INDEX('Assets'!$N$4:$N$503,_calc!$E$217)))</f>
        <v/>
      </c>
    </row>
    <row r="216">
      <c r="A216" s="44">
        <f>IF(_calc!$E$218="","",IF(LEN(INDEX('Assets'!$D$4:$D$503,_calc!$E$218))=0,"",INDEX('Assets'!$D$4:$D$503,_calc!$E$218))&amp;" – "&amp;IF(LEN(INDEX('Assets'!$A$4:$A$503,_calc!$E$218))=0,"",INDEX('Assets'!$A$4:$A$503,_calc!$E$218)))</f>
        <v/>
      </c>
      <c r="B216" s="44">
        <f>IF(_calc!$E$218="","",IF(ISNUMBER(INDEX('Assets'!$G$4:$G$503,_calc!$E$218)),TEXT(INDEX('Assets'!$G$4:$G$503,_calc!$E$218),"yyyy-mm-dd"),""))</f>
        <v/>
      </c>
      <c r="C216" s="44">
        <f>IF(_calc!$E$218="","","Inspection")</f>
        <v/>
      </c>
      <c r="D216" s="44">
        <f>IF(_calc!$E$218="","",IF(ISNUMBER(INDEX('Assets'!$F$4:$F$503,_calc!$E$218)),TEXT(INDEX('Assets'!$F$4:$F$503,_calc!$E$218),"yyyy-mm-dd"),""))</f>
        <v/>
      </c>
      <c r="E216" s="44">
        <f>IF(_calc!$E$218="","",IF(LEN(INDEX('Assets'!$O$4:$O$503,_calc!$E$218))=0,"",INDEX('Assets'!$O$4:$O$503,_calc!$E$218)))</f>
        <v/>
      </c>
      <c r="F216" s="44">
        <f>IF(_calc!$E$218="","",TRIM(IF(LEN(IF(LEN(INDEX('Assets'!$B$4:$B$503,_calc!$E$218))=0,"",INDEX('Assets'!$B$4:$B$503,_calc!$E$218)))=0,"","Asset ID: "&amp;IF(LEN(INDEX('Assets'!$B$4:$B$503,_calc!$E$218))=0,"",INDEX('Assets'!$B$4:$B$503,_calc!$E$218))&amp;". ")&amp;IF(LEN(IF(LEN(INDEX('Assets'!$C$4:$C$503,_calc!$E$218))=0,"",INDEX('Assets'!$C$4:$C$503,_calc!$E$218)))=0,"","Location: "&amp;IF(LEN(INDEX('Assets'!$C$4:$C$503,_calc!$E$218))=0,"",INDEX('Assets'!$C$4:$C$503,_calc!$E$218))&amp;". ")&amp;IF(LEN(IF(LEN(INDEX('Assets'!$E$4:$E$503,_calc!$E$218))=0,"",INDEX('Assets'!$E$4:$E$503,_calc!$E$218)))=0,"","Every (months): "&amp;IF(LEN(INDEX('Assets'!$E$4:$E$503,_calc!$E$218))=0,"",INDEX('Assets'!$E$4:$E$503,_calc!$E$218))&amp;". ")&amp;IF(LEN(IF(LEN(INDEX('Assets'!$M$4:$M$503,_calc!$E$218))=0,"",INDEX('Assets'!$M$4:$M$503,_calc!$E$218)))=0,"","Last result: "&amp;IF(LEN(INDEX('Assets'!$M$4:$M$503,_calc!$E$218))=0,"",INDEX('Assets'!$M$4:$M$503,_calc!$E$218))&amp;". ")&amp;IF(LEN(IF(LEN(INDEX('Assets'!$Q$4:$Q$503,_calc!$E$218))=0,"",INDEX('Assets'!$Q$4:$Q$503,_calc!$E$218)))=0,"",IF(LEN(INDEX('Assets'!$Q$4:$Q$503,_calc!$E$218))=0,"",INDEX('Assets'!$Q$4:$Q$503,_calc!$E$218)))))</f>
        <v/>
      </c>
      <c r="G216" s="44">
        <f>IF(_calc!$E$218="","",IF(LEN(INDEX('Assets'!$P$4:$P$503,_calc!$E$218))=0,"",INDEX('Assets'!$P$4:$P$503,_calc!$E$218)))</f>
        <v/>
      </c>
      <c r="K216" s="44">
        <f>IF(_calc!$E$218="","",IF(LEN(INDEX('Assets'!$N$4:$N$503,_calc!$E$218))=0,"",INDEX('Assets'!$N$4:$N$503,_calc!$E$218)))</f>
        <v/>
      </c>
    </row>
    <row r="217">
      <c r="A217" s="44">
        <f>IF(_calc!$E$219="","",IF(LEN(INDEX('Assets'!$D$4:$D$503,_calc!$E$219))=0,"",INDEX('Assets'!$D$4:$D$503,_calc!$E$219))&amp;" – "&amp;IF(LEN(INDEX('Assets'!$A$4:$A$503,_calc!$E$219))=0,"",INDEX('Assets'!$A$4:$A$503,_calc!$E$219)))</f>
        <v/>
      </c>
      <c r="B217" s="44">
        <f>IF(_calc!$E$219="","",IF(ISNUMBER(INDEX('Assets'!$G$4:$G$503,_calc!$E$219)),TEXT(INDEX('Assets'!$G$4:$G$503,_calc!$E$219),"yyyy-mm-dd"),""))</f>
        <v/>
      </c>
      <c r="C217" s="44">
        <f>IF(_calc!$E$219="","","Inspection")</f>
        <v/>
      </c>
      <c r="D217" s="44">
        <f>IF(_calc!$E$219="","",IF(ISNUMBER(INDEX('Assets'!$F$4:$F$503,_calc!$E$219)),TEXT(INDEX('Assets'!$F$4:$F$503,_calc!$E$219),"yyyy-mm-dd"),""))</f>
        <v/>
      </c>
      <c r="E217" s="44">
        <f>IF(_calc!$E$219="","",IF(LEN(INDEX('Assets'!$O$4:$O$503,_calc!$E$219))=0,"",INDEX('Assets'!$O$4:$O$503,_calc!$E$219)))</f>
        <v/>
      </c>
      <c r="F217" s="44">
        <f>IF(_calc!$E$219="","",TRIM(IF(LEN(IF(LEN(INDEX('Assets'!$B$4:$B$503,_calc!$E$219))=0,"",INDEX('Assets'!$B$4:$B$503,_calc!$E$219)))=0,"","Asset ID: "&amp;IF(LEN(INDEX('Assets'!$B$4:$B$503,_calc!$E$219))=0,"",INDEX('Assets'!$B$4:$B$503,_calc!$E$219))&amp;". ")&amp;IF(LEN(IF(LEN(INDEX('Assets'!$C$4:$C$503,_calc!$E$219))=0,"",INDEX('Assets'!$C$4:$C$503,_calc!$E$219)))=0,"","Location: "&amp;IF(LEN(INDEX('Assets'!$C$4:$C$503,_calc!$E$219))=0,"",INDEX('Assets'!$C$4:$C$503,_calc!$E$219))&amp;". ")&amp;IF(LEN(IF(LEN(INDEX('Assets'!$E$4:$E$503,_calc!$E$219))=0,"",INDEX('Assets'!$E$4:$E$503,_calc!$E$219)))=0,"","Every (months): "&amp;IF(LEN(INDEX('Assets'!$E$4:$E$503,_calc!$E$219))=0,"",INDEX('Assets'!$E$4:$E$503,_calc!$E$219))&amp;". ")&amp;IF(LEN(IF(LEN(INDEX('Assets'!$M$4:$M$503,_calc!$E$219))=0,"",INDEX('Assets'!$M$4:$M$503,_calc!$E$219)))=0,"","Last result: "&amp;IF(LEN(INDEX('Assets'!$M$4:$M$503,_calc!$E$219))=0,"",INDEX('Assets'!$M$4:$M$503,_calc!$E$219))&amp;". ")&amp;IF(LEN(IF(LEN(INDEX('Assets'!$Q$4:$Q$503,_calc!$E$219))=0,"",INDEX('Assets'!$Q$4:$Q$503,_calc!$E$219)))=0,"",IF(LEN(INDEX('Assets'!$Q$4:$Q$503,_calc!$E$219))=0,"",INDEX('Assets'!$Q$4:$Q$503,_calc!$E$219)))))</f>
        <v/>
      </c>
      <c r="G217" s="44">
        <f>IF(_calc!$E$219="","",IF(LEN(INDEX('Assets'!$P$4:$P$503,_calc!$E$219))=0,"",INDEX('Assets'!$P$4:$P$503,_calc!$E$219)))</f>
        <v/>
      </c>
      <c r="K217" s="44">
        <f>IF(_calc!$E$219="","",IF(LEN(INDEX('Assets'!$N$4:$N$503,_calc!$E$219))=0,"",INDEX('Assets'!$N$4:$N$503,_calc!$E$219)))</f>
        <v/>
      </c>
    </row>
    <row r="218">
      <c r="A218" s="44">
        <f>IF(_calc!$E$220="","",IF(LEN(INDEX('Assets'!$D$4:$D$503,_calc!$E$220))=0,"",INDEX('Assets'!$D$4:$D$503,_calc!$E$220))&amp;" – "&amp;IF(LEN(INDEX('Assets'!$A$4:$A$503,_calc!$E$220))=0,"",INDEX('Assets'!$A$4:$A$503,_calc!$E$220)))</f>
        <v/>
      </c>
      <c r="B218" s="44">
        <f>IF(_calc!$E$220="","",IF(ISNUMBER(INDEX('Assets'!$G$4:$G$503,_calc!$E$220)),TEXT(INDEX('Assets'!$G$4:$G$503,_calc!$E$220),"yyyy-mm-dd"),""))</f>
        <v/>
      </c>
      <c r="C218" s="44">
        <f>IF(_calc!$E$220="","","Inspection")</f>
        <v/>
      </c>
      <c r="D218" s="44">
        <f>IF(_calc!$E$220="","",IF(ISNUMBER(INDEX('Assets'!$F$4:$F$503,_calc!$E$220)),TEXT(INDEX('Assets'!$F$4:$F$503,_calc!$E$220),"yyyy-mm-dd"),""))</f>
        <v/>
      </c>
      <c r="E218" s="44">
        <f>IF(_calc!$E$220="","",IF(LEN(INDEX('Assets'!$O$4:$O$503,_calc!$E$220))=0,"",INDEX('Assets'!$O$4:$O$503,_calc!$E$220)))</f>
        <v/>
      </c>
      <c r="F218" s="44">
        <f>IF(_calc!$E$220="","",TRIM(IF(LEN(IF(LEN(INDEX('Assets'!$B$4:$B$503,_calc!$E$220))=0,"",INDEX('Assets'!$B$4:$B$503,_calc!$E$220)))=0,"","Asset ID: "&amp;IF(LEN(INDEX('Assets'!$B$4:$B$503,_calc!$E$220))=0,"",INDEX('Assets'!$B$4:$B$503,_calc!$E$220))&amp;". ")&amp;IF(LEN(IF(LEN(INDEX('Assets'!$C$4:$C$503,_calc!$E$220))=0,"",INDEX('Assets'!$C$4:$C$503,_calc!$E$220)))=0,"","Location: "&amp;IF(LEN(INDEX('Assets'!$C$4:$C$503,_calc!$E$220))=0,"",INDEX('Assets'!$C$4:$C$503,_calc!$E$220))&amp;". ")&amp;IF(LEN(IF(LEN(INDEX('Assets'!$E$4:$E$503,_calc!$E$220))=0,"",INDEX('Assets'!$E$4:$E$503,_calc!$E$220)))=0,"","Every (months): "&amp;IF(LEN(INDEX('Assets'!$E$4:$E$503,_calc!$E$220))=0,"",INDEX('Assets'!$E$4:$E$503,_calc!$E$220))&amp;". ")&amp;IF(LEN(IF(LEN(INDEX('Assets'!$M$4:$M$503,_calc!$E$220))=0,"",INDEX('Assets'!$M$4:$M$503,_calc!$E$220)))=0,"","Last result: "&amp;IF(LEN(INDEX('Assets'!$M$4:$M$503,_calc!$E$220))=0,"",INDEX('Assets'!$M$4:$M$503,_calc!$E$220))&amp;". ")&amp;IF(LEN(IF(LEN(INDEX('Assets'!$Q$4:$Q$503,_calc!$E$220))=0,"",INDEX('Assets'!$Q$4:$Q$503,_calc!$E$220)))=0,"",IF(LEN(INDEX('Assets'!$Q$4:$Q$503,_calc!$E$220))=0,"",INDEX('Assets'!$Q$4:$Q$503,_calc!$E$220)))))</f>
        <v/>
      </c>
      <c r="G218" s="44">
        <f>IF(_calc!$E$220="","",IF(LEN(INDEX('Assets'!$P$4:$P$503,_calc!$E$220))=0,"",INDEX('Assets'!$P$4:$P$503,_calc!$E$220)))</f>
        <v/>
      </c>
      <c r="K218" s="44">
        <f>IF(_calc!$E$220="","",IF(LEN(INDEX('Assets'!$N$4:$N$503,_calc!$E$220))=0,"",INDEX('Assets'!$N$4:$N$503,_calc!$E$220)))</f>
        <v/>
      </c>
    </row>
    <row r="219">
      <c r="A219" s="44">
        <f>IF(_calc!$E$221="","",IF(LEN(INDEX('Assets'!$D$4:$D$503,_calc!$E$221))=0,"",INDEX('Assets'!$D$4:$D$503,_calc!$E$221))&amp;" – "&amp;IF(LEN(INDEX('Assets'!$A$4:$A$503,_calc!$E$221))=0,"",INDEX('Assets'!$A$4:$A$503,_calc!$E$221)))</f>
        <v/>
      </c>
      <c r="B219" s="44">
        <f>IF(_calc!$E$221="","",IF(ISNUMBER(INDEX('Assets'!$G$4:$G$503,_calc!$E$221)),TEXT(INDEX('Assets'!$G$4:$G$503,_calc!$E$221),"yyyy-mm-dd"),""))</f>
        <v/>
      </c>
      <c r="C219" s="44">
        <f>IF(_calc!$E$221="","","Inspection")</f>
        <v/>
      </c>
      <c r="D219" s="44">
        <f>IF(_calc!$E$221="","",IF(ISNUMBER(INDEX('Assets'!$F$4:$F$503,_calc!$E$221)),TEXT(INDEX('Assets'!$F$4:$F$503,_calc!$E$221),"yyyy-mm-dd"),""))</f>
        <v/>
      </c>
      <c r="E219" s="44">
        <f>IF(_calc!$E$221="","",IF(LEN(INDEX('Assets'!$O$4:$O$503,_calc!$E$221))=0,"",INDEX('Assets'!$O$4:$O$503,_calc!$E$221)))</f>
        <v/>
      </c>
      <c r="F219" s="44">
        <f>IF(_calc!$E$221="","",TRIM(IF(LEN(IF(LEN(INDEX('Assets'!$B$4:$B$503,_calc!$E$221))=0,"",INDEX('Assets'!$B$4:$B$503,_calc!$E$221)))=0,"","Asset ID: "&amp;IF(LEN(INDEX('Assets'!$B$4:$B$503,_calc!$E$221))=0,"",INDEX('Assets'!$B$4:$B$503,_calc!$E$221))&amp;". ")&amp;IF(LEN(IF(LEN(INDEX('Assets'!$C$4:$C$503,_calc!$E$221))=0,"",INDEX('Assets'!$C$4:$C$503,_calc!$E$221)))=0,"","Location: "&amp;IF(LEN(INDEX('Assets'!$C$4:$C$503,_calc!$E$221))=0,"",INDEX('Assets'!$C$4:$C$503,_calc!$E$221))&amp;". ")&amp;IF(LEN(IF(LEN(INDEX('Assets'!$E$4:$E$503,_calc!$E$221))=0,"",INDEX('Assets'!$E$4:$E$503,_calc!$E$221)))=0,"","Every (months): "&amp;IF(LEN(INDEX('Assets'!$E$4:$E$503,_calc!$E$221))=0,"",INDEX('Assets'!$E$4:$E$503,_calc!$E$221))&amp;". ")&amp;IF(LEN(IF(LEN(INDEX('Assets'!$M$4:$M$503,_calc!$E$221))=0,"",INDEX('Assets'!$M$4:$M$503,_calc!$E$221)))=0,"","Last result: "&amp;IF(LEN(INDEX('Assets'!$M$4:$M$503,_calc!$E$221))=0,"",INDEX('Assets'!$M$4:$M$503,_calc!$E$221))&amp;". ")&amp;IF(LEN(IF(LEN(INDEX('Assets'!$Q$4:$Q$503,_calc!$E$221))=0,"",INDEX('Assets'!$Q$4:$Q$503,_calc!$E$221)))=0,"",IF(LEN(INDEX('Assets'!$Q$4:$Q$503,_calc!$E$221))=0,"",INDEX('Assets'!$Q$4:$Q$503,_calc!$E$221)))))</f>
        <v/>
      </c>
      <c r="G219" s="44">
        <f>IF(_calc!$E$221="","",IF(LEN(INDEX('Assets'!$P$4:$P$503,_calc!$E$221))=0,"",INDEX('Assets'!$P$4:$P$503,_calc!$E$221)))</f>
        <v/>
      </c>
      <c r="K219" s="44">
        <f>IF(_calc!$E$221="","",IF(LEN(INDEX('Assets'!$N$4:$N$503,_calc!$E$221))=0,"",INDEX('Assets'!$N$4:$N$503,_calc!$E$221)))</f>
        <v/>
      </c>
    </row>
    <row r="220">
      <c r="A220" s="44">
        <f>IF(_calc!$E$222="","",IF(LEN(INDEX('Assets'!$D$4:$D$503,_calc!$E$222))=0,"",INDEX('Assets'!$D$4:$D$503,_calc!$E$222))&amp;" – "&amp;IF(LEN(INDEX('Assets'!$A$4:$A$503,_calc!$E$222))=0,"",INDEX('Assets'!$A$4:$A$503,_calc!$E$222)))</f>
        <v/>
      </c>
      <c r="B220" s="44">
        <f>IF(_calc!$E$222="","",IF(ISNUMBER(INDEX('Assets'!$G$4:$G$503,_calc!$E$222)),TEXT(INDEX('Assets'!$G$4:$G$503,_calc!$E$222),"yyyy-mm-dd"),""))</f>
        <v/>
      </c>
      <c r="C220" s="44">
        <f>IF(_calc!$E$222="","","Inspection")</f>
        <v/>
      </c>
      <c r="D220" s="44">
        <f>IF(_calc!$E$222="","",IF(ISNUMBER(INDEX('Assets'!$F$4:$F$503,_calc!$E$222)),TEXT(INDEX('Assets'!$F$4:$F$503,_calc!$E$222),"yyyy-mm-dd"),""))</f>
        <v/>
      </c>
      <c r="E220" s="44">
        <f>IF(_calc!$E$222="","",IF(LEN(INDEX('Assets'!$O$4:$O$503,_calc!$E$222))=0,"",INDEX('Assets'!$O$4:$O$503,_calc!$E$222)))</f>
        <v/>
      </c>
      <c r="F220" s="44">
        <f>IF(_calc!$E$222="","",TRIM(IF(LEN(IF(LEN(INDEX('Assets'!$B$4:$B$503,_calc!$E$222))=0,"",INDEX('Assets'!$B$4:$B$503,_calc!$E$222)))=0,"","Asset ID: "&amp;IF(LEN(INDEX('Assets'!$B$4:$B$503,_calc!$E$222))=0,"",INDEX('Assets'!$B$4:$B$503,_calc!$E$222))&amp;". ")&amp;IF(LEN(IF(LEN(INDEX('Assets'!$C$4:$C$503,_calc!$E$222))=0,"",INDEX('Assets'!$C$4:$C$503,_calc!$E$222)))=0,"","Location: "&amp;IF(LEN(INDEX('Assets'!$C$4:$C$503,_calc!$E$222))=0,"",INDEX('Assets'!$C$4:$C$503,_calc!$E$222))&amp;". ")&amp;IF(LEN(IF(LEN(INDEX('Assets'!$E$4:$E$503,_calc!$E$222))=0,"",INDEX('Assets'!$E$4:$E$503,_calc!$E$222)))=0,"","Every (months): "&amp;IF(LEN(INDEX('Assets'!$E$4:$E$503,_calc!$E$222))=0,"",INDEX('Assets'!$E$4:$E$503,_calc!$E$222))&amp;". ")&amp;IF(LEN(IF(LEN(INDEX('Assets'!$M$4:$M$503,_calc!$E$222))=0,"",INDEX('Assets'!$M$4:$M$503,_calc!$E$222)))=0,"","Last result: "&amp;IF(LEN(INDEX('Assets'!$M$4:$M$503,_calc!$E$222))=0,"",INDEX('Assets'!$M$4:$M$503,_calc!$E$222))&amp;". ")&amp;IF(LEN(IF(LEN(INDEX('Assets'!$Q$4:$Q$503,_calc!$E$222))=0,"",INDEX('Assets'!$Q$4:$Q$503,_calc!$E$222)))=0,"",IF(LEN(INDEX('Assets'!$Q$4:$Q$503,_calc!$E$222))=0,"",INDEX('Assets'!$Q$4:$Q$503,_calc!$E$222)))))</f>
        <v/>
      </c>
      <c r="G220" s="44">
        <f>IF(_calc!$E$222="","",IF(LEN(INDEX('Assets'!$P$4:$P$503,_calc!$E$222))=0,"",INDEX('Assets'!$P$4:$P$503,_calc!$E$222)))</f>
        <v/>
      </c>
      <c r="K220" s="44">
        <f>IF(_calc!$E$222="","",IF(LEN(INDEX('Assets'!$N$4:$N$503,_calc!$E$222))=0,"",INDEX('Assets'!$N$4:$N$503,_calc!$E$222)))</f>
        <v/>
      </c>
    </row>
    <row r="221">
      <c r="A221" s="44">
        <f>IF(_calc!$E$223="","",IF(LEN(INDEX('Assets'!$D$4:$D$503,_calc!$E$223))=0,"",INDEX('Assets'!$D$4:$D$503,_calc!$E$223))&amp;" – "&amp;IF(LEN(INDEX('Assets'!$A$4:$A$503,_calc!$E$223))=0,"",INDEX('Assets'!$A$4:$A$503,_calc!$E$223)))</f>
        <v/>
      </c>
      <c r="B221" s="44">
        <f>IF(_calc!$E$223="","",IF(ISNUMBER(INDEX('Assets'!$G$4:$G$503,_calc!$E$223)),TEXT(INDEX('Assets'!$G$4:$G$503,_calc!$E$223),"yyyy-mm-dd"),""))</f>
        <v/>
      </c>
      <c r="C221" s="44">
        <f>IF(_calc!$E$223="","","Inspection")</f>
        <v/>
      </c>
      <c r="D221" s="44">
        <f>IF(_calc!$E$223="","",IF(ISNUMBER(INDEX('Assets'!$F$4:$F$503,_calc!$E$223)),TEXT(INDEX('Assets'!$F$4:$F$503,_calc!$E$223),"yyyy-mm-dd"),""))</f>
        <v/>
      </c>
      <c r="E221" s="44">
        <f>IF(_calc!$E$223="","",IF(LEN(INDEX('Assets'!$O$4:$O$503,_calc!$E$223))=0,"",INDEX('Assets'!$O$4:$O$503,_calc!$E$223)))</f>
        <v/>
      </c>
      <c r="F221" s="44">
        <f>IF(_calc!$E$223="","",TRIM(IF(LEN(IF(LEN(INDEX('Assets'!$B$4:$B$503,_calc!$E$223))=0,"",INDEX('Assets'!$B$4:$B$503,_calc!$E$223)))=0,"","Asset ID: "&amp;IF(LEN(INDEX('Assets'!$B$4:$B$503,_calc!$E$223))=0,"",INDEX('Assets'!$B$4:$B$503,_calc!$E$223))&amp;". ")&amp;IF(LEN(IF(LEN(INDEX('Assets'!$C$4:$C$503,_calc!$E$223))=0,"",INDEX('Assets'!$C$4:$C$503,_calc!$E$223)))=0,"","Location: "&amp;IF(LEN(INDEX('Assets'!$C$4:$C$503,_calc!$E$223))=0,"",INDEX('Assets'!$C$4:$C$503,_calc!$E$223))&amp;". ")&amp;IF(LEN(IF(LEN(INDEX('Assets'!$E$4:$E$503,_calc!$E$223))=0,"",INDEX('Assets'!$E$4:$E$503,_calc!$E$223)))=0,"","Every (months): "&amp;IF(LEN(INDEX('Assets'!$E$4:$E$503,_calc!$E$223))=0,"",INDEX('Assets'!$E$4:$E$503,_calc!$E$223))&amp;". ")&amp;IF(LEN(IF(LEN(INDEX('Assets'!$M$4:$M$503,_calc!$E$223))=0,"",INDEX('Assets'!$M$4:$M$503,_calc!$E$223)))=0,"","Last result: "&amp;IF(LEN(INDEX('Assets'!$M$4:$M$503,_calc!$E$223))=0,"",INDEX('Assets'!$M$4:$M$503,_calc!$E$223))&amp;". ")&amp;IF(LEN(IF(LEN(INDEX('Assets'!$Q$4:$Q$503,_calc!$E$223))=0,"",INDEX('Assets'!$Q$4:$Q$503,_calc!$E$223)))=0,"",IF(LEN(INDEX('Assets'!$Q$4:$Q$503,_calc!$E$223))=0,"",INDEX('Assets'!$Q$4:$Q$503,_calc!$E$223)))))</f>
        <v/>
      </c>
      <c r="G221" s="44">
        <f>IF(_calc!$E$223="","",IF(LEN(INDEX('Assets'!$P$4:$P$503,_calc!$E$223))=0,"",INDEX('Assets'!$P$4:$P$503,_calc!$E$223)))</f>
        <v/>
      </c>
      <c r="K221" s="44">
        <f>IF(_calc!$E$223="","",IF(LEN(INDEX('Assets'!$N$4:$N$503,_calc!$E$223))=0,"",INDEX('Assets'!$N$4:$N$503,_calc!$E$223)))</f>
        <v/>
      </c>
    </row>
    <row r="222">
      <c r="A222" s="44">
        <f>IF(_calc!$E$224="","",IF(LEN(INDEX('Assets'!$D$4:$D$503,_calc!$E$224))=0,"",INDEX('Assets'!$D$4:$D$503,_calc!$E$224))&amp;" – "&amp;IF(LEN(INDEX('Assets'!$A$4:$A$503,_calc!$E$224))=0,"",INDEX('Assets'!$A$4:$A$503,_calc!$E$224)))</f>
        <v/>
      </c>
      <c r="B222" s="44">
        <f>IF(_calc!$E$224="","",IF(ISNUMBER(INDEX('Assets'!$G$4:$G$503,_calc!$E$224)),TEXT(INDEX('Assets'!$G$4:$G$503,_calc!$E$224),"yyyy-mm-dd"),""))</f>
        <v/>
      </c>
      <c r="C222" s="44">
        <f>IF(_calc!$E$224="","","Inspection")</f>
        <v/>
      </c>
      <c r="D222" s="44">
        <f>IF(_calc!$E$224="","",IF(ISNUMBER(INDEX('Assets'!$F$4:$F$503,_calc!$E$224)),TEXT(INDEX('Assets'!$F$4:$F$503,_calc!$E$224),"yyyy-mm-dd"),""))</f>
        <v/>
      </c>
      <c r="E222" s="44">
        <f>IF(_calc!$E$224="","",IF(LEN(INDEX('Assets'!$O$4:$O$503,_calc!$E$224))=0,"",INDEX('Assets'!$O$4:$O$503,_calc!$E$224)))</f>
        <v/>
      </c>
      <c r="F222" s="44">
        <f>IF(_calc!$E$224="","",TRIM(IF(LEN(IF(LEN(INDEX('Assets'!$B$4:$B$503,_calc!$E$224))=0,"",INDEX('Assets'!$B$4:$B$503,_calc!$E$224)))=0,"","Asset ID: "&amp;IF(LEN(INDEX('Assets'!$B$4:$B$503,_calc!$E$224))=0,"",INDEX('Assets'!$B$4:$B$503,_calc!$E$224))&amp;". ")&amp;IF(LEN(IF(LEN(INDEX('Assets'!$C$4:$C$503,_calc!$E$224))=0,"",INDEX('Assets'!$C$4:$C$503,_calc!$E$224)))=0,"","Location: "&amp;IF(LEN(INDEX('Assets'!$C$4:$C$503,_calc!$E$224))=0,"",INDEX('Assets'!$C$4:$C$503,_calc!$E$224))&amp;". ")&amp;IF(LEN(IF(LEN(INDEX('Assets'!$E$4:$E$503,_calc!$E$224))=0,"",INDEX('Assets'!$E$4:$E$503,_calc!$E$224)))=0,"","Every (months): "&amp;IF(LEN(INDEX('Assets'!$E$4:$E$503,_calc!$E$224))=0,"",INDEX('Assets'!$E$4:$E$503,_calc!$E$224))&amp;". ")&amp;IF(LEN(IF(LEN(INDEX('Assets'!$M$4:$M$503,_calc!$E$224))=0,"",INDEX('Assets'!$M$4:$M$503,_calc!$E$224)))=0,"","Last result: "&amp;IF(LEN(INDEX('Assets'!$M$4:$M$503,_calc!$E$224))=0,"",INDEX('Assets'!$M$4:$M$503,_calc!$E$224))&amp;". ")&amp;IF(LEN(IF(LEN(INDEX('Assets'!$Q$4:$Q$503,_calc!$E$224))=0,"",INDEX('Assets'!$Q$4:$Q$503,_calc!$E$224)))=0,"",IF(LEN(INDEX('Assets'!$Q$4:$Q$503,_calc!$E$224))=0,"",INDEX('Assets'!$Q$4:$Q$503,_calc!$E$224)))))</f>
        <v/>
      </c>
      <c r="G222" s="44">
        <f>IF(_calc!$E$224="","",IF(LEN(INDEX('Assets'!$P$4:$P$503,_calc!$E$224))=0,"",INDEX('Assets'!$P$4:$P$503,_calc!$E$224)))</f>
        <v/>
      </c>
      <c r="K222" s="44">
        <f>IF(_calc!$E$224="","",IF(LEN(INDEX('Assets'!$N$4:$N$503,_calc!$E$224))=0,"",INDEX('Assets'!$N$4:$N$503,_calc!$E$224)))</f>
        <v/>
      </c>
    </row>
    <row r="223">
      <c r="A223" s="44">
        <f>IF(_calc!$E$225="","",IF(LEN(INDEX('Assets'!$D$4:$D$503,_calc!$E$225))=0,"",INDEX('Assets'!$D$4:$D$503,_calc!$E$225))&amp;" – "&amp;IF(LEN(INDEX('Assets'!$A$4:$A$503,_calc!$E$225))=0,"",INDEX('Assets'!$A$4:$A$503,_calc!$E$225)))</f>
        <v/>
      </c>
      <c r="B223" s="44">
        <f>IF(_calc!$E$225="","",IF(ISNUMBER(INDEX('Assets'!$G$4:$G$503,_calc!$E$225)),TEXT(INDEX('Assets'!$G$4:$G$503,_calc!$E$225),"yyyy-mm-dd"),""))</f>
        <v/>
      </c>
      <c r="C223" s="44">
        <f>IF(_calc!$E$225="","","Inspection")</f>
        <v/>
      </c>
      <c r="D223" s="44">
        <f>IF(_calc!$E$225="","",IF(ISNUMBER(INDEX('Assets'!$F$4:$F$503,_calc!$E$225)),TEXT(INDEX('Assets'!$F$4:$F$503,_calc!$E$225),"yyyy-mm-dd"),""))</f>
        <v/>
      </c>
      <c r="E223" s="44">
        <f>IF(_calc!$E$225="","",IF(LEN(INDEX('Assets'!$O$4:$O$503,_calc!$E$225))=0,"",INDEX('Assets'!$O$4:$O$503,_calc!$E$225)))</f>
        <v/>
      </c>
      <c r="F223" s="44">
        <f>IF(_calc!$E$225="","",TRIM(IF(LEN(IF(LEN(INDEX('Assets'!$B$4:$B$503,_calc!$E$225))=0,"",INDEX('Assets'!$B$4:$B$503,_calc!$E$225)))=0,"","Asset ID: "&amp;IF(LEN(INDEX('Assets'!$B$4:$B$503,_calc!$E$225))=0,"",INDEX('Assets'!$B$4:$B$503,_calc!$E$225))&amp;". ")&amp;IF(LEN(IF(LEN(INDEX('Assets'!$C$4:$C$503,_calc!$E$225))=0,"",INDEX('Assets'!$C$4:$C$503,_calc!$E$225)))=0,"","Location: "&amp;IF(LEN(INDEX('Assets'!$C$4:$C$503,_calc!$E$225))=0,"",INDEX('Assets'!$C$4:$C$503,_calc!$E$225))&amp;". ")&amp;IF(LEN(IF(LEN(INDEX('Assets'!$E$4:$E$503,_calc!$E$225))=0,"",INDEX('Assets'!$E$4:$E$503,_calc!$E$225)))=0,"","Every (months): "&amp;IF(LEN(INDEX('Assets'!$E$4:$E$503,_calc!$E$225))=0,"",INDEX('Assets'!$E$4:$E$503,_calc!$E$225))&amp;". ")&amp;IF(LEN(IF(LEN(INDEX('Assets'!$M$4:$M$503,_calc!$E$225))=0,"",INDEX('Assets'!$M$4:$M$503,_calc!$E$225)))=0,"","Last result: "&amp;IF(LEN(INDEX('Assets'!$M$4:$M$503,_calc!$E$225))=0,"",INDEX('Assets'!$M$4:$M$503,_calc!$E$225))&amp;". ")&amp;IF(LEN(IF(LEN(INDEX('Assets'!$Q$4:$Q$503,_calc!$E$225))=0,"",INDEX('Assets'!$Q$4:$Q$503,_calc!$E$225)))=0,"",IF(LEN(INDEX('Assets'!$Q$4:$Q$503,_calc!$E$225))=0,"",INDEX('Assets'!$Q$4:$Q$503,_calc!$E$225)))))</f>
        <v/>
      </c>
      <c r="G223" s="44">
        <f>IF(_calc!$E$225="","",IF(LEN(INDEX('Assets'!$P$4:$P$503,_calc!$E$225))=0,"",INDEX('Assets'!$P$4:$P$503,_calc!$E$225)))</f>
        <v/>
      </c>
      <c r="K223" s="44">
        <f>IF(_calc!$E$225="","",IF(LEN(INDEX('Assets'!$N$4:$N$503,_calc!$E$225))=0,"",INDEX('Assets'!$N$4:$N$503,_calc!$E$225)))</f>
        <v/>
      </c>
    </row>
    <row r="224">
      <c r="A224" s="44">
        <f>IF(_calc!$E$226="","",IF(LEN(INDEX('Assets'!$D$4:$D$503,_calc!$E$226))=0,"",INDEX('Assets'!$D$4:$D$503,_calc!$E$226))&amp;" – "&amp;IF(LEN(INDEX('Assets'!$A$4:$A$503,_calc!$E$226))=0,"",INDEX('Assets'!$A$4:$A$503,_calc!$E$226)))</f>
        <v/>
      </c>
      <c r="B224" s="44">
        <f>IF(_calc!$E$226="","",IF(ISNUMBER(INDEX('Assets'!$G$4:$G$503,_calc!$E$226)),TEXT(INDEX('Assets'!$G$4:$G$503,_calc!$E$226),"yyyy-mm-dd"),""))</f>
        <v/>
      </c>
      <c r="C224" s="44">
        <f>IF(_calc!$E$226="","","Inspection")</f>
        <v/>
      </c>
      <c r="D224" s="44">
        <f>IF(_calc!$E$226="","",IF(ISNUMBER(INDEX('Assets'!$F$4:$F$503,_calc!$E$226)),TEXT(INDEX('Assets'!$F$4:$F$503,_calc!$E$226),"yyyy-mm-dd"),""))</f>
        <v/>
      </c>
      <c r="E224" s="44">
        <f>IF(_calc!$E$226="","",IF(LEN(INDEX('Assets'!$O$4:$O$503,_calc!$E$226))=0,"",INDEX('Assets'!$O$4:$O$503,_calc!$E$226)))</f>
        <v/>
      </c>
      <c r="F224" s="44">
        <f>IF(_calc!$E$226="","",TRIM(IF(LEN(IF(LEN(INDEX('Assets'!$B$4:$B$503,_calc!$E$226))=0,"",INDEX('Assets'!$B$4:$B$503,_calc!$E$226)))=0,"","Asset ID: "&amp;IF(LEN(INDEX('Assets'!$B$4:$B$503,_calc!$E$226))=0,"",INDEX('Assets'!$B$4:$B$503,_calc!$E$226))&amp;". ")&amp;IF(LEN(IF(LEN(INDEX('Assets'!$C$4:$C$503,_calc!$E$226))=0,"",INDEX('Assets'!$C$4:$C$503,_calc!$E$226)))=0,"","Location: "&amp;IF(LEN(INDEX('Assets'!$C$4:$C$503,_calc!$E$226))=0,"",INDEX('Assets'!$C$4:$C$503,_calc!$E$226))&amp;". ")&amp;IF(LEN(IF(LEN(INDEX('Assets'!$E$4:$E$503,_calc!$E$226))=0,"",INDEX('Assets'!$E$4:$E$503,_calc!$E$226)))=0,"","Every (months): "&amp;IF(LEN(INDEX('Assets'!$E$4:$E$503,_calc!$E$226))=0,"",INDEX('Assets'!$E$4:$E$503,_calc!$E$226))&amp;". ")&amp;IF(LEN(IF(LEN(INDEX('Assets'!$M$4:$M$503,_calc!$E$226))=0,"",INDEX('Assets'!$M$4:$M$503,_calc!$E$226)))=0,"","Last result: "&amp;IF(LEN(INDEX('Assets'!$M$4:$M$503,_calc!$E$226))=0,"",INDEX('Assets'!$M$4:$M$503,_calc!$E$226))&amp;". ")&amp;IF(LEN(IF(LEN(INDEX('Assets'!$Q$4:$Q$503,_calc!$E$226))=0,"",INDEX('Assets'!$Q$4:$Q$503,_calc!$E$226)))=0,"",IF(LEN(INDEX('Assets'!$Q$4:$Q$503,_calc!$E$226))=0,"",INDEX('Assets'!$Q$4:$Q$503,_calc!$E$226)))))</f>
        <v/>
      </c>
      <c r="G224" s="44">
        <f>IF(_calc!$E$226="","",IF(LEN(INDEX('Assets'!$P$4:$P$503,_calc!$E$226))=0,"",INDEX('Assets'!$P$4:$P$503,_calc!$E$226)))</f>
        <v/>
      </c>
      <c r="K224" s="44">
        <f>IF(_calc!$E$226="","",IF(LEN(INDEX('Assets'!$N$4:$N$503,_calc!$E$226))=0,"",INDEX('Assets'!$N$4:$N$503,_calc!$E$226)))</f>
        <v/>
      </c>
    </row>
    <row r="225">
      <c r="A225" s="44">
        <f>IF(_calc!$E$227="","",IF(LEN(INDEX('Assets'!$D$4:$D$503,_calc!$E$227))=0,"",INDEX('Assets'!$D$4:$D$503,_calc!$E$227))&amp;" – "&amp;IF(LEN(INDEX('Assets'!$A$4:$A$503,_calc!$E$227))=0,"",INDEX('Assets'!$A$4:$A$503,_calc!$E$227)))</f>
        <v/>
      </c>
      <c r="B225" s="44">
        <f>IF(_calc!$E$227="","",IF(ISNUMBER(INDEX('Assets'!$G$4:$G$503,_calc!$E$227)),TEXT(INDEX('Assets'!$G$4:$G$503,_calc!$E$227),"yyyy-mm-dd"),""))</f>
        <v/>
      </c>
      <c r="C225" s="44">
        <f>IF(_calc!$E$227="","","Inspection")</f>
        <v/>
      </c>
      <c r="D225" s="44">
        <f>IF(_calc!$E$227="","",IF(ISNUMBER(INDEX('Assets'!$F$4:$F$503,_calc!$E$227)),TEXT(INDEX('Assets'!$F$4:$F$503,_calc!$E$227),"yyyy-mm-dd"),""))</f>
        <v/>
      </c>
      <c r="E225" s="44">
        <f>IF(_calc!$E$227="","",IF(LEN(INDEX('Assets'!$O$4:$O$503,_calc!$E$227))=0,"",INDEX('Assets'!$O$4:$O$503,_calc!$E$227)))</f>
        <v/>
      </c>
      <c r="F225" s="44">
        <f>IF(_calc!$E$227="","",TRIM(IF(LEN(IF(LEN(INDEX('Assets'!$B$4:$B$503,_calc!$E$227))=0,"",INDEX('Assets'!$B$4:$B$503,_calc!$E$227)))=0,"","Asset ID: "&amp;IF(LEN(INDEX('Assets'!$B$4:$B$503,_calc!$E$227))=0,"",INDEX('Assets'!$B$4:$B$503,_calc!$E$227))&amp;". ")&amp;IF(LEN(IF(LEN(INDEX('Assets'!$C$4:$C$503,_calc!$E$227))=0,"",INDEX('Assets'!$C$4:$C$503,_calc!$E$227)))=0,"","Location: "&amp;IF(LEN(INDEX('Assets'!$C$4:$C$503,_calc!$E$227))=0,"",INDEX('Assets'!$C$4:$C$503,_calc!$E$227))&amp;". ")&amp;IF(LEN(IF(LEN(INDEX('Assets'!$E$4:$E$503,_calc!$E$227))=0,"",INDEX('Assets'!$E$4:$E$503,_calc!$E$227)))=0,"","Every (months): "&amp;IF(LEN(INDEX('Assets'!$E$4:$E$503,_calc!$E$227))=0,"",INDEX('Assets'!$E$4:$E$503,_calc!$E$227))&amp;". ")&amp;IF(LEN(IF(LEN(INDEX('Assets'!$M$4:$M$503,_calc!$E$227))=0,"",INDEX('Assets'!$M$4:$M$503,_calc!$E$227)))=0,"","Last result: "&amp;IF(LEN(INDEX('Assets'!$M$4:$M$503,_calc!$E$227))=0,"",INDEX('Assets'!$M$4:$M$503,_calc!$E$227))&amp;". ")&amp;IF(LEN(IF(LEN(INDEX('Assets'!$Q$4:$Q$503,_calc!$E$227))=0,"",INDEX('Assets'!$Q$4:$Q$503,_calc!$E$227)))=0,"",IF(LEN(INDEX('Assets'!$Q$4:$Q$503,_calc!$E$227))=0,"",INDEX('Assets'!$Q$4:$Q$503,_calc!$E$227)))))</f>
        <v/>
      </c>
      <c r="G225" s="44">
        <f>IF(_calc!$E$227="","",IF(LEN(INDEX('Assets'!$P$4:$P$503,_calc!$E$227))=0,"",INDEX('Assets'!$P$4:$P$503,_calc!$E$227)))</f>
        <v/>
      </c>
      <c r="K225" s="44">
        <f>IF(_calc!$E$227="","",IF(LEN(INDEX('Assets'!$N$4:$N$503,_calc!$E$227))=0,"",INDEX('Assets'!$N$4:$N$503,_calc!$E$227)))</f>
        <v/>
      </c>
    </row>
    <row r="226">
      <c r="A226" s="44">
        <f>IF(_calc!$E$228="","",IF(LEN(INDEX('Assets'!$D$4:$D$503,_calc!$E$228))=0,"",INDEX('Assets'!$D$4:$D$503,_calc!$E$228))&amp;" – "&amp;IF(LEN(INDEX('Assets'!$A$4:$A$503,_calc!$E$228))=0,"",INDEX('Assets'!$A$4:$A$503,_calc!$E$228)))</f>
        <v/>
      </c>
      <c r="B226" s="44">
        <f>IF(_calc!$E$228="","",IF(ISNUMBER(INDEX('Assets'!$G$4:$G$503,_calc!$E$228)),TEXT(INDEX('Assets'!$G$4:$G$503,_calc!$E$228),"yyyy-mm-dd"),""))</f>
        <v/>
      </c>
      <c r="C226" s="44">
        <f>IF(_calc!$E$228="","","Inspection")</f>
        <v/>
      </c>
      <c r="D226" s="44">
        <f>IF(_calc!$E$228="","",IF(ISNUMBER(INDEX('Assets'!$F$4:$F$503,_calc!$E$228)),TEXT(INDEX('Assets'!$F$4:$F$503,_calc!$E$228),"yyyy-mm-dd"),""))</f>
        <v/>
      </c>
      <c r="E226" s="44">
        <f>IF(_calc!$E$228="","",IF(LEN(INDEX('Assets'!$O$4:$O$503,_calc!$E$228))=0,"",INDEX('Assets'!$O$4:$O$503,_calc!$E$228)))</f>
        <v/>
      </c>
      <c r="F226" s="44">
        <f>IF(_calc!$E$228="","",TRIM(IF(LEN(IF(LEN(INDEX('Assets'!$B$4:$B$503,_calc!$E$228))=0,"",INDEX('Assets'!$B$4:$B$503,_calc!$E$228)))=0,"","Asset ID: "&amp;IF(LEN(INDEX('Assets'!$B$4:$B$503,_calc!$E$228))=0,"",INDEX('Assets'!$B$4:$B$503,_calc!$E$228))&amp;". ")&amp;IF(LEN(IF(LEN(INDEX('Assets'!$C$4:$C$503,_calc!$E$228))=0,"",INDEX('Assets'!$C$4:$C$503,_calc!$E$228)))=0,"","Location: "&amp;IF(LEN(INDEX('Assets'!$C$4:$C$503,_calc!$E$228))=0,"",INDEX('Assets'!$C$4:$C$503,_calc!$E$228))&amp;". ")&amp;IF(LEN(IF(LEN(INDEX('Assets'!$E$4:$E$503,_calc!$E$228))=0,"",INDEX('Assets'!$E$4:$E$503,_calc!$E$228)))=0,"","Every (months): "&amp;IF(LEN(INDEX('Assets'!$E$4:$E$503,_calc!$E$228))=0,"",INDEX('Assets'!$E$4:$E$503,_calc!$E$228))&amp;". ")&amp;IF(LEN(IF(LEN(INDEX('Assets'!$M$4:$M$503,_calc!$E$228))=0,"",INDEX('Assets'!$M$4:$M$503,_calc!$E$228)))=0,"","Last result: "&amp;IF(LEN(INDEX('Assets'!$M$4:$M$503,_calc!$E$228))=0,"",INDEX('Assets'!$M$4:$M$503,_calc!$E$228))&amp;". ")&amp;IF(LEN(IF(LEN(INDEX('Assets'!$Q$4:$Q$503,_calc!$E$228))=0,"",INDEX('Assets'!$Q$4:$Q$503,_calc!$E$228)))=0,"",IF(LEN(INDEX('Assets'!$Q$4:$Q$503,_calc!$E$228))=0,"",INDEX('Assets'!$Q$4:$Q$503,_calc!$E$228)))))</f>
        <v/>
      </c>
      <c r="G226" s="44">
        <f>IF(_calc!$E$228="","",IF(LEN(INDEX('Assets'!$P$4:$P$503,_calc!$E$228))=0,"",INDEX('Assets'!$P$4:$P$503,_calc!$E$228)))</f>
        <v/>
      </c>
      <c r="K226" s="44">
        <f>IF(_calc!$E$228="","",IF(LEN(INDEX('Assets'!$N$4:$N$503,_calc!$E$228))=0,"",INDEX('Assets'!$N$4:$N$503,_calc!$E$228)))</f>
        <v/>
      </c>
    </row>
    <row r="227">
      <c r="A227" s="44">
        <f>IF(_calc!$E$229="","",IF(LEN(INDEX('Assets'!$D$4:$D$503,_calc!$E$229))=0,"",INDEX('Assets'!$D$4:$D$503,_calc!$E$229))&amp;" – "&amp;IF(LEN(INDEX('Assets'!$A$4:$A$503,_calc!$E$229))=0,"",INDEX('Assets'!$A$4:$A$503,_calc!$E$229)))</f>
        <v/>
      </c>
      <c r="B227" s="44">
        <f>IF(_calc!$E$229="","",IF(ISNUMBER(INDEX('Assets'!$G$4:$G$503,_calc!$E$229)),TEXT(INDEX('Assets'!$G$4:$G$503,_calc!$E$229),"yyyy-mm-dd"),""))</f>
        <v/>
      </c>
      <c r="C227" s="44">
        <f>IF(_calc!$E$229="","","Inspection")</f>
        <v/>
      </c>
      <c r="D227" s="44">
        <f>IF(_calc!$E$229="","",IF(ISNUMBER(INDEX('Assets'!$F$4:$F$503,_calc!$E$229)),TEXT(INDEX('Assets'!$F$4:$F$503,_calc!$E$229),"yyyy-mm-dd"),""))</f>
        <v/>
      </c>
      <c r="E227" s="44">
        <f>IF(_calc!$E$229="","",IF(LEN(INDEX('Assets'!$O$4:$O$503,_calc!$E$229))=0,"",INDEX('Assets'!$O$4:$O$503,_calc!$E$229)))</f>
        <v/>
      </c>
      <c r="F227" s="44">
        <f>IF(_calc!$E$229="","",TRIM(IF(LEN(IF(LEN(INDEX('Assets'!$B$4:$B$503,_calc!$E$229))=0,"",INDEX('Assets'!$B$4:$B$503,_calc!$E$229)))=0,"","Asset ID: "&amp;IF(LEN(INDEX('Assets'!$B$4:$B$503,_calc!$E$229))=0,"",INDEX('Assets'!$B$4:$B$503,_calc!$E$229))&amp;". ")&amp;IF(LEN(IF(LEN(INDEX('Assets'!$C$4:$C$503,_calc!$E$229))=0,"",INDEX('Assets'!$C$4:$C$503,_calc!$E$229)))=0,"","Location: "&amp;IF(LEN(INDEX('Assets'!$C$4:$C$503,_calc!$E$229))=0,"",INDEX('Assets'!$C$4:$C$503,_calc!$E$229))&amp;". ")&amp;IF(LEN(IF(LEN(INDEX('Assets'!$E$4:$E$503,_calc!$E$229))=0,"",INDEX('Assets'!$E$4:$E$503,_calc!$E$229)))=0,"","Every (months): "&amp;IF(LEN(INDEX('Assets'!$E$4:$E$503,_calc!$E$229))=0,"",INDEX('Assets'!$E$4:$E$503,_calc!$E$229))&amp;". ")&amp;IF(LEN(IF(LEN(INDEX('Assets'!$M$4:$M$503,_calc!$E$229))=0,"",INDEX('Assets'!$M$4:$M$503,_calc!$E$229)))=0,"","Last result: "&amp;IF(LEN(INDEX('Assets'!$M$4:$M$503,_calc!$E$229))=0,"",INDEX('Assets'!$M$4:$M$503,_calc!$E$229))&amp;". ")&amp;IF(LEN(IF(LEN(INDEX('Assets'!$Q$4:$Q$503,_calc!$E$229))=0,"",INDEX('Assets'!$Q$4:$Q$503,_calc!$E$229)))=0,"",IF(LEN(INDEX('Assets'!$Q$4:$Q$503,_calc!$E$229))=0,"",INDEX('Assets'!$Q$4:$Q$503,_calc!$E$229)))))</f>
        <v/>
      </c>
      <c r="G227" s="44">
        <f>IF(_calc!$E$229="","",IF(LEN(INDEX('Assets'!$P$4:$P$503,_calc!$E$229))=0,"",INDEX('Assets'!$P$4:$P$503,_calc!$E$229)))</f>
        <v/>
      </c>
      <c r="K227" s="44">
        <f>IF(_calc!$E$229="","",IF(LEN(INDEX('Assets'!$N$4:$N$503,_calc!$E$229))=0,"",INDEX('Assets'!$N$4:$N$503,_calc!$E$229)))</f>
        <v/>
      </c>
    </row>
    <row r="228">
      <c r="A228" s="44">
        <f>IF(_calc!$E$230="","",IF(LEN(INDEX('Assets'!$D$4:$D$503,_calc!$E$230))=0,"",INDEX('Assets'!$D$4:$D$503,_calc!$E$230))&amp;" – "&amp;IF(LEN(INDEX('Assets'!$A$4:$A$503,_calc!$E$230))=0,"",INDEX('Assets'!$A$4:$A$503,_calc!$E$230)))</f>
        <v/>
      </c>
      <c r="B228" s="44">
        <f>IF(_calc!$E$230="","",IF(ISNUMBER(INDEX('Assets'!$G$4:$G$503,_calc!$E$230)),TEXT(INDEX('Assets'!$G$4:$G$503,_calc!$E$230),"yyyy-mm-dd"),""))</f>
        <v/>
      </c>
      <c r="C228" s="44">
        <f>IF(_calc!$E$230="","","Inspection")</f>
        <v/>
      </c>
      <c r="D228" s="44">
        <f>IF(_calc!$E$230="","",IF(ISNUMBER(INDEX('Assets'!$F$4:$F$503,_calc!$E$230)),TEXT(INDEX('Assets'!$F$4:$F$503,_calc!$E$230),"yyyy-mm-dd"),""))</f>
        <v/>
      </c>
      <c r="E228" s="44">
        <f>IF(_calc!$E$230="","",IF(LEN(INDEX('Assets'!$O$4:$O$503,_calc!$E$230))=0,"",INDEX('Assets'!$O$4:$O$503,_calc!$E$230)))</f>
        <v/>
      </c>
      <c r="F228" s="44">
        <f>IF(_calc!$E$230="","",TRIM(IF(LEN(IF(LEN(INDEX('Assets'!$B$4:$B$503,_calc!$E$230))=0,"",INDEX('Assets'!$B$4:$B$503,_calc!$E$230)))=0,"","Asset ID: "&amp;IF(LEN(INDEX('Assets'!$B$4:$B$503,_calc!$E$230))=0,"",INDEX('Assets'!$B$4:$B$503,_calc!$E$230))&amp;". ")&amp;IF(LEN(IF(LEN(INDEX('Assets'!$C$4:$C$503,_calc!$E$230))=0,"",INDEX('Assets'!$C$4:$C$503,_calc!$E$230)))=0,"","Location: "&amp;IF(LEN(INDEX('Assets'!$C$4:$C$503,_calc!$E$230))=0,"",INDEX('Assets'!$C$4:$C$503,_calc!$E$230))&amp;". ")&amp;IF(LEN(IF(LEN(INDEX('Assets'!$E$4:$E$503,_calc!$E$230))=0,"",INDEX('Assets'!$E$4:$E$503,_calc!$E$230)))=0,"","Every (months): "&amp;IF(LEN(INDEX('Assets'!$E$4:$E$503,_calc!$E$230))=0,"",INDEX('Assets'!$E$4:$E$503,_calc!$E$230))&amp;". ")&amp;IF(LEN(IF(LEN(INDEX('Assets'!$M$4:$M$503,_calc!$E$230))=0,"",INDEX('Assets'!$M$4:$M$503,_calc!$E$230)))=0,"","Last result: "&amp;IF(LEN(INDEX('Assets'!$M$4:$M$503,_calc!$E$230))=0,"",INDEX('Assets'!$M$4:$M$503,_calc!$E$230))&amp;". ")&amp;IF(LEN(IF(LEN(INDEX('Assets'!$Q$4:$Q$503,_calc!$E$230))=0,"",INDEX('Assets'!$Q$4:$Q$503,_calc!$E$230)))=0,"",IF(LEN(INDEX('Assets'!$Q$4:$Q$503,_calc!$E$230))=0,"",INDEX('Assets'!$Q$4:$Q$503,_calc!$E$230)))))</f>
        <v/>
      </c>
      <c r="G228" s="44">
        <f>IF(_calc!$E$230="","",IF(LEN(INDEX('Assets'!$P$4:$P$503,_calc!$E$230))=0,"",INDEX('Assets'!$P$4:$P$503,_calc!$E$230)))</f>
        <v/>
      </c>
      <c r="K228" s="44">
        <f>IF(_calc!$E$230="","",IF(LEN(INDEX('Assets'!$N$4:$N$503,_calc!$E$230))=0,"",INDEX('Assets'!$N$4:$N$503,_calc!$E$230)))</f>
        <v/>
      </c>
    </row>
    <row r="229">
      <c r="A229" s="44">
        <f>IF(_calc!$E$231="","",IF(LEN(INDEX('Assets'!$D$4:$D$503,_calc!$E$231))=0,"",INDEX('Assets'!$D$4:$D$503,_calc!$E$231))&amp;" – "&amp;IF(LEN(INDEX('Assets'!$A$4:$A$503,_calc!$E$231))=0,"",INDEX('Assets'!$A$4:$A$503,_calc!$E$231)))</f>
        <v/>
      </c>
      <c r="B229" s="44">
        <f>IF(_calc!$E$231="","",IF(ISNUMBER(INDEX('Assets'!$G$4:$G$503,_calc!$E$231)),TEXT(INDEX('Assets'!$G$4:$G$503,_calc!$E$231),"yyyy-mm-dd"),""))</f>
        <v/>
      </c>
      <c r="C229" s="44">
        <f>IF(_calc!$E$231="","","Inspection")</f>
        <v/>
      </c>
      <c r="D229" s="44">
        <f>IF(_calc!$E$231="","",IF(ISNUMBER(INDEX('Assets'!$F$4:$F$503,_calc!$E$231)),TEXT(INDEX('Assets'!$F$4:$F$503,_calc!$E$231),"yyyy-mm-dd"),""))</f>
        <v/>
      </c>
      <c r="E229" s="44">
        <f>IF(_calc!$E$231="","",IF(LEN(INDEX('Assets'!$O$4:$O$503,_calc!$E$231))=0,"",INDEX('Assets'!$O$4:$O$503,_calc!$E$231)))</f>
        <v/>
      </c>
      <c r="F229" s="44">
        <f>IF(_calc!$E$231="","",TRIM(IF(LEN(IF(LEN(INDEX('Assets'!$B$4:$B$503,_calc!$E$231))=0,"",INDEX('Assets'!$B$4:$B$503,_calc!$E$231)))=0,"","Asset ID: "&amp;IF(LEN(INDEX('Assets'!$B$4:$B$503,_calc!$E$231))=0,"",INDEX('Assets'!$B$4:$B$503,_calc!$E$231))&amp;". ")&amp;IF(LEN(IF(LEN(INDEX('Assets'!$C$4:$C$503,_calc!$E$231))=0,"",INDEX('Assets'!$C$4:$C$503,_calc!$E$231)))=0,"","Location: "&amp;IF(LEN(INDEX('Assets'!$C$4:$C$503,_calc!$E$231))=0,"",INDEX('Assets'!$C$4:$C$503,_calc!$E$231))&amp;". ")&amp;IF(LEN(IF(LEN(INDEX('Assets'!$E$4:$E$503,_calc!$E$231))=0,"",INDEX('Assets'!$E$4:$E$503,_calc!$E$231)))=0,"","Every (months): "&amp;IF(LEN(INDEX('Assets'!$E$4:$E$503,_calc!$E$231))=0,"",INDEX('Assets'!$E$4:$E$503,_calc!$E$231))&amp;". ")&amp;IF(LEN(IF(LEN(INDEX('Assets'!$M$4:$M$503,_calc!$E$231))=0,"",INDEX('Assets'!$M$4:$M$503,_calc!$E$231)))=0,"","Last result: "&amp;IF(LEN(INDEX('Assets'!$M$4:$M$503,_calc!$E$231))=0,"",INDEX('Assets'!$M$4:$M$503,_calc!$E$231))&amp;". ")&amp;IF(LEN(IF(LEN(INDEX('Assets'!$Q$4:$Q$503,_calc!$E$231))=0,"",INDEX('Assets'!$Q$4:$Q$503,_calc!$E$231)))=0,"",IF(LEN(INDEX('Assets'!$Q$4:$Q$503,_calc!$E$231))=0,"",INDEX('Assets'!$Q$4:$Q$503,_calc!$E$231)))))</f>
        <v/>
      </c>
      <c r="G229" s="44">
        <f>IF(_calc!$E$231="","",IF(LEN(INDEX('Assets'!$P$4:$P$503,_calc!$E$231))=0,"",INDEX('Assets'!$P$4:$P$503,_calc!$E$231)))</f>
        <v/>
      </c>
      <c r="K229" s="44">
        <f>IF(_calc!$E$231="","",IF(LEN(INDEX('Assets'!$N$4:$N$503,_calc!$E$231))=0,"",INDEX('Assets'!$N$4:$N$503,_calc!$E$231)))</f>
        <v/>
      </c>
    </row>
    <row r="230">
      <c r="A230" s="44">
        <f>IF(_calc!$E$232="","",IF(LEN(INDEX('Assets'!$D$4:$D$503,_calc!$E$232))=0,"",INDEX('Assets'!$D$4:$D$503,_calc!$E$232))&amp;" – "&amp;IF(LEN(INDEX('Assets'!$A$4:$A$503,_calc!$E$232))=0,"",INDEX('Assets'!$A$4:$A$503,_calc!$E$232)))</f>
        <v/>
      </c>
      <c r="B230" s="44">
        <f>IF(_calc!$E$232="","",IF(ISNUMBER(INDEX('Assets'!$G$4:$G$503,_calc!$E$232)),TEXT(INDEX('Assets'!$G$4:$G$503,_calc!$E$232),"yyyy-mm-dd"),""))</f>
        <v/>
      </c>
      <c r="C230" s="44">
        <f>IF(_calc!$E$232="","","Inspection")</f>
        <v/>
      </c>
      <c r="D230" s="44">
        <f>IF(_calc!$E$232="","",IF(ISNUMBER(INDEX('Assets'!$F$4:$F$503,_calc!$E$232)),TEXT(INDEX('Assets'!$F$4:$F$503,_calc!$E$232),"yyyy-mm-dd"),""))</f>
        <v/>
      </c>
      <c r="E230" s="44">
        <f>IF(_calc!$E$232="","",IF(LEN(INDEX('Assets'!$O$4:$O$503,_calc!$E$232))=0,"",INDEX('Assets'!$O$4:$O$503,_calc!$E$232)))</f>
        <v/>
      </c>
      <c r="F230" s="44">
        <f>IF(_calc!$E$232="","",TRIM(IF(LEN(IF(LEN(INDEX('Assets'!$B$4:$B$503,_calc!$E$232))=0,"",INDEX('Assets'!$B$4:$B$503,_calc!$E$232)))=0,"","Asset ID: "&amp;IF(LEN(INDEX('Assets'!$B$4:$B$503,_calc!$E$232))=0,"",INDEX('Assets'!$B$4:$B$503,_calc!$E$232))&amp;". ")&amp;IF(LEN(IF(LEN(INDEX('Assets'!$C$4:$C$503,_calc!$E$232))=0,"",INDEX('Assets'!$C$4:$C$503,_calc!$E$232)))=0,"","Location: "&amp;IF(LEN(INDEX('Assets'!$C$4:$C$503,_calc!$E$232))=0,"",INDEX('Assets'!$C$4:$C$503,_calc!$E$232))&amp;". ")&amp;IF(LEN(IF(LEN(INDEX('Assets'!$E$4:$E$503,_calc!$E$232))=0,"",INDEX('Assets'!$E$4:$E$503,_calc!$E$232)))=0,"","Every (months): "&amp;IF(LEN(INDEX('Assets'!$E$4:$E$503,_calc!$E$232))=0,"",INDEX('Assets'!$E$4:$E$503,_calc!$E$232))&amp;". ")&amp;IF(LEN(IF(LEN(INDEX('Assets'!$M$4:$M$503,_calc!$E$232))=0,"",INDEX('Assets'!$M$4:$M$503,_calc!$E$232)))=0,"","Last result: "&amp;IF(LEN(INDEX('Assets'!$M$4:$M$503,_calc!$E$232))=0,"",INDEX('Assets'!$M$4:$M$503,_calc!$E$232))&amp;". ")&amp;IF(LEN(IF(LEN(INDEX('Assets'!$Q$4:$Q$503,_calc!$E$232))=0,"",INDEX('Assets'!$Q$4:$Q$503,_calc!$E$232)))=0,"",IF(LEN(INDEX('Assets'!$Q$4:$Q$503,_calc!$E$232))=0,"",INDEX('Assets'!$Q$4:$Q$503,_calc!$E$232)))))</f>
        <v/>
      </c>
      <c r="G230" s="44">
        <f>IF(_calc!$E$232="","",IF(LEN(INDEX('Assets'!$P$4:$P$503,_calc!$E$232))=0,"",INDEX('Assets'!$P$4:$P$503,_calc!$E$232)))</f>
        <v/>
      </c>
      <c r="K230" s="44">
        <f>IF(_calc!$E$232="","",IF(LEN(INDEX('Assets'!$N$4:$N$503,_calc!$E$232))=0,"",INDEX('Assets'!$N$4:$N$503,_calc!$E$232)))</f>
        <v/>
      </c>
    </row>
    <row r="231">
      <c r="A231" s="44">
        <f>IF(_calc!$E$233="","",IF(LEN(INDEX('Assets'!$D$4:$D$503,_calc!$E$233))=0,"",INDEX('Assets'!$D$4:$D$503,_calc!$E$233))&amp;" – "&amp;IF(LEN(INDEX('Assets'!$A$4:$A$503,_calc!$E$233))=0,"",INDEX('Assets'!$A$4:$A$503,_calc!$E$233)))</f>
        <v/>
      </c>
      <c r="B231" s="44">
        <f>IF(_calc!$E$233="","",IF(ISNUMBER(INDEX('Assets'!$G$4:$G$503,_calc!$E$233)),TEXT(INDEX('Assets'!$G$4:$G$503,_calc!$E$233),"yyyy-mm-dd"),""))</f>
        <v/>
      </c>
      <c r="C231" s="44">
        <f>IF(_calc!$E$233="","","Inspection")</f>
        <v/>
      </c>
      <c r="D231" s="44">
        <f>IF(_calc!$E$233="","",IF(ISNUMBER(INDEX('Assets'!$F$4:$F$503,_calc!$E$233)),TEXT(INDEX('Assets'!$F$4:$F$503,_calc!$E$233),"yyyy-mm-dd"),""))</f>
        <v/>
      </c>
      <c r="E231" s="44">
        <f>IF(_calc!$E$233="","",IF(LEN(INDEX('Assets'!$O$4:$O$503,_calc!$E$233))=0,"",INDEX('Assets'!$O$4:$O$503,_calc!$E$233)))</f>
        <v/>
      </c>
      <c r="F231" s="44">
        <f>IF(_calc!$E$233="","",TRIM(IF(LEN(IF(LEN(INDEX('Assets'!$B$4:$B$503,_calc!$E$233))=0,"",INDEX('Assets'!$B$4:$B$503,_calc!$E$233)))=0,"","Asset ID: "&amp;IF(LEN(INDEX('Assets'!$B$4:$B$503,_calc!$E$233))=0,"",INDEX('Assets'!$B$4:$B$503,_calc!$E$233))&amp;". ")&amp;IF(LEN(IF(LEN(INDEX('Assets'!$C$4:$C$503,_calc!$E$233))=0,"",INDEX('Assets'!$C$4:$C$503,_calc!$E$233)))=0,"","Location: "&amp;IF(LEN(INDEX('Assets'!$C$4:$C$503,_calc!$E$233))=0,"",INDEX('Assets'!$C$4:$C$503,_calc!$E$233))&amp;". ")&amp;IF(LEN(IF(LEN(INDEX('Assets'!$E$4:$E$503,_calc!$E$233))=0,"",INDEX('Assets'!$E$4:$E$503,_calc!$E$233)))=0,"","Every (months): "&amp;IF(LEN(INDEX('Assets'!$E$4:$E$503,_calc!$E$233))=0,"",INDEX('Assets'!$E$4:$E$503,_calc!$E$233))&amp;". ")&amp;IF(LEN(IF(LEN(INDEX('Assets'!$M$4:$M$503,_calc!$E$233))=0,"",INDEX('Assets'!$M$4:$M$503,_calc!$E$233)))=0,"","Last result: "&amp;IF(LEN(INDEX('Assets'!$M$4:$M$503,_calc!$E$233))=0,"",INDEX('Assets'!$M$4:$M$503,_calc!$E$233))&amp;". ")&amp;IF(LEN(IF(LEN(INDEX('Assets'!$Q$4:$Q$503,_calc!$E$233))=0,"",INDEX('Assets'!$Q$4:$Q$503,_calc!$E$233)))=0,"",IF(LEN(INDEX('Assets'!$Q$4:$Q$503,_calc!$E$233))=0,"",INDEX('Assets'!$Q$4:$Q$503,_calc!$E$233)))))</f>
        <v/>
      </c>
      <c r="G231" s="44">
        <f>IF(_calc!$E$233="","",IF(LEN(INDEX('Assets'!$P$4:$P$503,_calc!$E$233))=0,"",INDEX('Assets'!$P$4:$P$503,_calc!$E$233)))</f>
        <v/>
      </c>
      <c r="K231" s="44">
        <f>IF(_calc!$E$233="","",IF(LEN(INDEX('Assets'!$N$4:$N$503,_calc!$E$233))=0,"",INDEX('Assets'!$N$4:$N$503,_calc!$E$233)))</f>
        <v/>
      </c>
    </row>
    <row r="232">
      <c r="A232" s="44">
        <f>IF(_calc!$E$234="","",IF(LEN(INDEX('Assets'!$D$4:$D$503,_calc!$E$234))=0,"",INDEX('Assets'!$D$4:$D$503,_calc!$E$234))&amp;" – "&amp;IF(LEN(INDEX('Assets'!$A$4:$A$503,_calc!$E$234))=0,"",INDEX('Assets'!$A$4:$A$503,_calc!$E$234)))</f>
        <v/>
      </c>
      <c r="B232" s="44">
        <f>IF(_calc!$E$234="","",IF(ISNUMBER(INDEX('Assets'!$G$4:$G$503,_calc!$E$234)),TEXT(INDEX('Assets'!$G$4:$G$503,_calc!$E$234),"yyyy-mm-dd"),""))</f>
        <v/>
      </c>
      <c r="C232" s="44">
        <f>IF(_calc!$E$234="","","Inspection")</f>
        <v/>
      </c>
      <c r="D232" s="44">
        <f>IF(_calc!$E$234="","",IF(ISNUMBER(INDEX('Assets'!$F$4:$F$503,_calc!$E$234)),TEXT(INDEX('Assets'!$F$4:$F$503,_calc!$E$234),"yyyy-mm-dd"),""))</f>
        <v/>
      </c>
      <c r="E232" s="44">
        <f>IF(_calc!$E$234="","",IF(LEN(INDEX('Assets'!$O$4:$O$503,_calc!$E$234))=0,"",INDEX('Assets'!$O$4:$O$503,_calc!$E$234)))</f>
        <v/>
      </c>
      <c r="F232" s="44">
        <f>IF(_calc!$E$234="","",TRIM(IF(LEN(IF(LEN(INDEX('Assets'!$B$4:$B$503,_calc!$E$234))=0,"",INDEX('Assets'!$B$4:$B$503,_calc!$E$234)))=0,"","Asset ID: "&amp;IF(LEN(INDEX('Assets'!$B$4:$B$503,_calc!$E$234))=0,"",INDEX('Assets'!$B$4:$B$503,_calc!$E$234))&amp;". ")&amp;IF(LEN(IF(LEN(INDEX('Assets'!$C$4:$C$503,_calc!$E$234))=0,"",INDEX('Assets'!$C$4:$C$503,_calc!$E$234)))=0,"","Location: "&amp;IF(LEN(INDEX('Assets'!$C$4:$C$503,_calc!$E$234))=0,"",INDEX('Assets'!$C$4:$C$503,_calc!$E$234))&amp;". ")&amp;IF(LEN(IF(LEN(INDEX('Assets'!$E$4:$E$503,_calc!$E$234))=0,"",INDEX('Assets'!$E$4:$E$503,_calc!$E$234)))=0,"","Every (months): "&amp;IF(LEN(INDEX('Assets'!$E$4:$E$503,_calc!$E$234))=0,"",INDEX('Assets'!$E$4:$E$503,_calc!$E$234))&amp;". ")&amp;IF(LEN(IF(LEN(INDEX('Assets'!$M$4:$M$503,_calc!$E$234))=0,"",INDEX('Assets'!$M$4:$M$503,_calc!$E$234)))=0,"","Last result: "&amp;IF(LEN(INDEX('Assets'!$M$4:$M$503,_calc!$E$234))=0,"",INDEX('Assets'!$M$4:$M$503,_calc!$E$234))&amp;". ")&amp;IF(LEN(IF(LEN(INDEX('Assets'!$Q$4:$Q$503,_calc!$E$234))=0,"",INDEX('Assets'!$Q$4:$Q$503,_calc!$E$234)))=0,"",IF(LEN(INDEX('Assets'!$Q$4:$Q$503,_calc!$E$234))=0,"",INDEX('Assets'!$Q$4:$Q$503,_calc!$E$234)))))</f>
        <v/>
      </c>
      <c r="G232" s="44">
        <f>IF(_calc!$E$234="","",IF(LEN(INDEX('Assets'!$P$4:$P$503,_calc!$E$234))=0,"",INDEX('Assets'!$P$4:$P$503,_calc!$E$234)))</f>
        <v/>
      </c>
      <c r="K232" s="44">
        <f>IF(_calc!$E$234="","",IF(LEN(INDEX('Assets'!$N$4:$N$503,_calc!$E$234))=0,"",INDEX('Assets'!$N$4:$N$503,_calc!$E$234)))</f>
        <v/>
      </c>
    </row>
    <row r="233">
      <c r="A233" s="44">
        <f>IF(_calc!$E$235="","",IF(LEN(INDEX('Assets'!$D$4:$D$503,_calc!$E$235))=0,"",INDEX('Assets'!$D$4:$D$503,_calc!$E$235))&amp;" – "&amp;IF(LEN(INDEX('Assets'!$A$4:$A$503,_calc!$E$235))=0,"",INDEX('Assets'!$A$4:$A$503,_calc!$E$235)))</f>
        <v/>
      </c>
      <c r="B233" s="44">
        <f>IF(_calc!$E$235="","",IF(ISNUMBER(INDEX('Assets'!$G$4:$G$503,_calc!$E$235)),TEXT(INDEX('Assets'!$G$4:$G$503,_calc!$E$235),"yyyy-mm-dd"),""))</f>
        <v/>
      </c>
      <c r="C233" s="44">
        <f>IF(_calc!$E$235="","","Inspection")</f>
        <v/>
      </c>
      <c r="D233" s="44">
        <f>IF(_calc!$E$235="","",IF(ISNUMBER(INDEX('Assets'!$F$4:$F$503,_calc!$E$235)),TEXT(INDEX('Assets'!$F$4:$F$503,_calc!$E$235),"yyyy-mm-dd"),""))</f>
        <v/>
      </c>
      <c r="E233" s="44">
        <f>IF(_calc!$E$235="","",IF(LEN(INDEX('Assets'!$O$4:$O$503,_calc!$E$235))=0,"",INDEX('Assets'!$O$4:$O$503,_calc!$E$235)))</f>
        <v/>
      </c>
      <c r="F233" s="44">
        <f>IF(_calc!$E$235="","",TRIM(IF(LEN(IF(LEN(INDEX('Assets'!$B$4:$B$503,_calc!$E$235))=0,"",INDEX('Assets'!$B$4:$B$503,_calc!$E$235)))=0,"","Asset ID: "&amp;IF(LEN(INDEX('Assets'!$B$4:$B$503,_calc!$E$235))=0,"",INDEX('Assets'!$B$4:$B$503,_calc!$E$235))&amp;". ")&amp;IF(LEN(IF(LEN(INDEX('Assets'!$C$4:$C$503,_calc!$E$235))=0,"",INDEX('Assets'!$C$4:$C$503,_calc!$E$235)))=0,"","Location: "&amp;IF(LEN(INDEX('Assets'!$C$4:$C$503,_calc!$E$235))=0,"",INDEX('Assets'!$C$4:$C$503,_calc!$E$235))&amp;". ")&amp;IF(LEN(IF(LEN(INDEX('Assets'!$E$4:$E$503,_calc!$E$235))=0,"",INDEX('Assets'!$E$4:$E$503,_calc!$E$235)))=0,"","Every (months): "&amp;IF(LEN(INDEX('Assets'!$E$4:$E$503,_calc!$E$235))=0,"",INDEX('Assets'!$E$4:$E$503,_calc!$E$235))&amp;". ")&amp;IF(LEN(IF(LEN(INDEX('Assets'!$M$4:$M$503,_calc!$E$235))=0,"",INDEX('Assets'!$M$4:$M$503,_calc!$E$235)))=0,"","Last result: "&amp;IF(LEN(INDEX('Assets'!$M$4:$M$503,_calc!$E$235))=0,"",INDEX('Assets'!$M$4:$M$503,_calc!$E$235))&amp;". ")&amp;IF(LEN(IF(LEN(INDEX('Assets'!$Q$4:$Q$503,_calc!$E$235))=0,"",INDEX('Assets'!$Q$4:$Q$503,_calc!$E$235)))=0,"",IF(LEN(INDEX('Assets'!$Q$4:$Q$503,_calc!$E$235))=0,"",INDEX('Assets'!$Q$4:$Q$503,_calc!$E$235)))))</f>
        <v/>
      </c>
      <c r="G233" s="44">
        <f>IF(_calc!$E$235="","",IF(LEN(INDEX('Assets'!$P$4:$P$503,_calc!$E$235))=0,"",INDEX('Assets'!$P$4:$P$503,_calc!$E$235)))</f>
        <v/>
      </c>
      <c r="K233" s="44">
        <f>IF(_calc!$E$235="","",IF(LEN(INDEX('Assets'!$N$4:$N$503,_calc!$E$235))=0,"",INDEX('Assets'!$N$4:$N$503,_calc!$E$235)))</f>
        <v/>
      </c>
    </row>
    <row r="234">
      <c r="A234" s="44">
        <f>IF(_calc!$E$236="","",IF(LEN(INDEX('Assets'!$D$4:$D$503,_calc!$E$236))=0,"",INDEX('Assets'!$D$4:$D$503,_calc!$E$236))&amp;" – "&amp;IF(LEN(INDEX('Assets'!$A$4:$A$503,_calc!$E$236))=0,"",INDEX('Assets'!$A$4:$A$503,_calc!$E$236)))</f>
        <v/>
      </c>
      <c r="B234" s="44">
        <f>IF(_calc!$E$236="","",IF(ISNUMBER(INDEX('Assets'!$G$4:$G$503,_calc!$E$236)),TEXT(INDEX('Assets'!$G$4:$G$503,_calc!$E$236),"yyyy-mm-dd"),""))</f>
        <v/>
      </c>
      <c r="C234" s="44">
        <f>IF(_calc!$E$236="","","Inspection")</f>
        <v/>
      </c>
      <c r="D234" s="44">
        <f>IF(_calc!$E$236="","",IF(ISNUMBER(INDEX('Assets'!$F$4:$F$503,_calc!$E$236)),TEXT(INDEX('Assets'!$F$4:$F$503,_calc!$E$236),"yyyy-mm-dd"),""))</f>
        <v/>
      </c>
      <c r="E234" s="44">
        <f>IF(_calc!$E$236="","",IF(LEN(INDEX('Assets'!$O$4:$O$503,_calc!$E$236))=0,"",INDEX('Assets'!$O$4:$O$503,_calc!$E$236)))</f>
        <v/>
      </c>
      <c r="F234" s="44">
        <f>IF(_calc!$E$236="","",TRIM(IF(LEN(IF(LEN(INDEX('Assets'!$B$4:$B$503,_calc!$E$236))=0,"",INDEX('Assets'!$B$4:$B$503,_calc!$E$236)))=0,"","Asset ID: "&amp;IF(LEN(INDEX('Assets'!$B$4:$B$503,_calc!$E$236))=0,"",INDEX('Assets'!$B$4:$B$503,_calc!$E$236))&amp;". ")&amp;IF(LEN(IF(LEN(INDEX('Assets'!$C$4:$C$503,_calc!$E$236))=0,"",INDEX('Assets'!$C$4:$C$503,_calc!$E$236)))=0,"","Location: "&amp;IF(LEN(INDEX('Assets'!$C$4:$C$503,_calc!$E$236))=0,"",INDEX('Assets'!$C$4:$C$503,_calc!$E$236))&amp;". ")&amp;IF(LEN(IF(LEN(INDEX('Assets'!$E$4:$E$503,_calc!$E$236))=0,"",INDEX('Assets'!$E$4:$E$503,_calc!$E$236)))=0,"","Every (months): "&amp;IF(LEN(INDEX('Assets'!$E$4:$E$503,_calc!$E$236))=0,"",INDEX('Assets'!$E$4:$E$503,_calc!$E$236))&amp;". ")&amp;IF(LEN(IF(LEN(INDEX('Assets'!$M$4:$M$503,_calc!$E$236))=0,"",INDEX('Assets'!$M$4:$M$503,_calc!$E$236)))=0,"","Last result: "&amp;IF(LEN(INDEX('Assets'!$M$4:$M$503,_calc!$E$236))=0,"",INDEX('Assets'!$M$4:$M$503,_calc!$E$236))&amp;". ")&amp;IF(LEN(IF(LEN(INDEX('Assets'!$Q$4:$Q$503,_calc!$E$236))=0,"",INDEX('Assets'!$Q$4:$Q$503,_calc!$E$236)))=0,"",IF(LEN(INDEX('Assets'!$Q$4:$Q$503,_calc!$E$236))=0,"",INDEX('Assets'!$Q$4:$Q$503,_calc!$E$236)))))</f>
        <v/>
      </c>
      <c r="G234" s="44">
        <f>IF(_calc!$E$236="","",IF(LEN(INDEX('Assets'!$P$4:$P$503,_calc!$E$236))=0,"",INDEX('Assets'!$P$4:$P$503,_calc!$E$236)))</f>
        <v/>
      </c>
      <c r="K234" s="44">
        <f>IF(_calc!$E$236="","",IF(LEN(INDEX('Assets'!$N$4:$N$503,_calc!$E$236))=0,"",INDEX('Assets'!$N$4:$N$503,_calc!$E$236)))</f>
        <v/>
      </c>
    </row>
    <row r="235">
      <c r="A235" s="44">
        <f>IF(_calc!$E$237="","",IF(LEN(INDEX('Assets'!$D$4:$D$503,_calc!$E$237))=0,"",INDEX('Assets'!$D$4:$D$503,_calc!$E$237))&amp;" – "&amp;IF(LEN(INDEX('Assets'!$A$4:$A$503,_calc!$E$237))=0,"",INDEX('Assets'!$A$4:$A$503,_calc!$E$237)))</f>
        <v/>
      </c>
      <c r="B235" s="44">
        <f>IF(_calc!$E$237="","",IF(ISNUMBER(INDEX('Assets'!$G$4:$G$503,_calc!$E$237)),TEXT(INDEX('Assets'!$G$4:$G$503,_calc!$E$237),"yyyy-mm-dd"),""))</f>
        <v/>
      </c>
      <c r="C235" s="44">
        <f>IF(_calc!$E$237="","","Inspection")</f>
        <v/>
      </c>
      <c r="D235" s="44">
        <f>IF(_calc!$E$237="","",IF(ISNUMBER(INDEX('Assets'!$F$4:$F$503,_calc!$E$237)),TEXT(INDEX('Assets'!$F$4:$F$503,_calc!$E$237),"yyyy-mm-dd"),""))</f>
        <v/>
      </c>
      <c r="E235" s="44">
        <f>IF(_calc!$E$237="","",IF(LEN(INDEX('Assets'!$O$4:$O$503,_calc!$E$237))=0,"",INDEX('Assets'!$O$4:$O$503,_calc!$E$237)))</f>
        <v/>
      </c>
      <c r="F235" s="44">
        <f>IF(_calc!$E$237="","",TRIM(IF(LEN(IF(LEN(INDEX('Assets'!$B$4:$B$503,_calc!$E$237))=0,"",INDEX('Assets'!$B$4:$B$503,_calc!$E$237)))=0,"","Asset ID: "&amp;IF(LEN(INDEX('Assets'!$B$4:$B$503,_calc!$E$237))=0,"",INDEX('Assets'!$B$4:$B$503,_calc!$E$237))&amp;". ")&amp;IF(LEN(IF(LEN(INDEX('Assets'!$C$4:$C$503,_calc!$E$237))=0,"",INDEX('Assets'!$C$4:$C$503,_calc!$E$237)))=0,"","Location: "&amp;IF(LEN(INDEX('Assets'!$C$4:$C$503,_calc!$E$237))=0,"",INDEX('Assets'!$C$4:$C$503,_calc!$E$237))&amp;". ")&amp;IF(LEN(IF(LEN(INDEX('Assets'!$E$4:$E$503,_calc!$E$237))=0,"",INDEX('Assets'!$E$4:$E$503,_calc!$E$237)))=0,"","Every (months): "&amp;IF(LEN(INDEX('Assets'!$E$4:$E$503,_calc!$E$237))=0,"",INDEX('Assets'!$E$4:$E$503,_calc!$E$237))&amp;". ")&amp;IF(LEN(IF(LEN(INDEX('Assets'!$M$4:$M$503,_calc!$E$237))=0,"",INDEX('Assets'!$M$4:$M$503,_calc!$E$237)))=0,"","Last result: "&amp;IF(LEN(INDEX('Assets'!$M$4:$M$503,_calc!$E$237))=0,"",INDEX('Assets'!$M$4:$M$503,_calc!$E$237))&amp;". ")&amp;IF(LEN(IF(LEN(INDEX('Assets'!$Q$4:$Q$503,_calc!$E$237))=0,"",INDEX('Assets'!$Q$4:$Q$503,_calc!$E$237)))=0,"",IF(LEN(INDEX('Assets'!$Q$4:$Q$503,_calc!$E$237))=0,"",INDEX('Assets'!$Q$4:$Q$503,_calc!$E$237)))))</f>
        <v/>
      </c>
      <c r="G235" s="44">
        <f>IF(_calc!$E$237="","",IF(LEN(INDEX('Assets'!$P$4:$P$503,_calc!$E$237))=0,"",INDEX('Assets'!$P$4:$P$503,_calc!$E$237)))</f>
        <v/>
      </c>
      <c r="K235" s="44">
        <f>IF(_calc!$E$237="","",IF(LEN(INDEX('Assets'!$N$4:$N$503,_calc!$E$237))=0,"",INDEX('Assets'!$N$4:$N$503,_calc!$E$237)))</f>
        <v/>
      </c>
    </row>
    <row r="236">
      <c r="A236" s="44">
        <f>IF(_calc!$E$238="","",IF(LEN(INDEX('Assets'!$D$4:$D$503,_calc!$E$238))=0,"",INDEX('Assets'!$D$4:$D$503,_calc!$E$238))&amp;" – "&amp;IF(LEN(INDEX('Assets'!$A$4:$A$503,_calc!$E$238))=0,"",INDEX('Assets'!$A$4:$A$503,_calc!$E$238)))</f>
        <v/>
      </c>
      <c r="B236" s="44">
        <f>IF(_calc!$E$238="","",IF(ISNUMBER(INDEX('Assets'!$G$4:$G$503,_calc!$E$238)),TEXT(INDEX('Assets'!$G$4:$G$503,_calc!$E$238),"yyyy-mm-dd"),""))</f>
        <v/>
      </c>
      <c r="C236" s="44">
        <f>IF(_calc!$E$238="","","Inspection")</f>
        <v/>
      </c>
      <c r="D236" s="44">
        <f>IF(_calc!$E$238="","",IF(ISNUMBER(INDEX('Assets'!$F$4:$F$503,_calc!$E$238)),TEXT(INDEX('Assets'!$F$4:$F$503,_calc!$E$238),"yyyy-mm-dd"),""))</f>
        <v/>
      </c>
      <c r="E236" s="44">
        <f>IF(_calc!$E$238="","",IF(LEN(INDEX('Assets'!$O$4:$O$503,_calc!$E$238))=0,"",INDEX('Assets'!$O$4:$O$503,_calc!$E$238)))</f>
        <v/>
      </c>
      <c r="F236" s="44">
        <f>IF(_calc!$E$238="","",TRIM(IF(LEN(IF(LEN(INDEX('Assets'!$B$4:$B$503,_calc!$E$238))=0,"",INDEX('Assets'!$B$4:$B$503,_calc!$E$238)))=0,"","Asset ID: "&amp;IF(LEN(INDEX('Assets'!$B$4:$B$503,_calc!$E$238))=0,"",INDEX('Assets'!$B$4:$B$503,_calc!$E$238))&amp;". ")&amp;IF(LEN(IF(LEN(INDEX('Assets'!$C$4:$C$503,_calc!$E$238))=0,"",INDEX('Assets'!$C$4:$C$503,_calc!$E$238)))=0,"","Location: "&amp;IF(LEN(INDEX('Assets'!$C$4:$C$503,_calc!$E$238))=0,"",INDEX('Assets'!$C$4:$C$503,_calc!$E$238))&amp;". ")&amp;IF(LEN(IF(LEN(INDEX('Assets'!$E$4:$E$503,_calc!$E$238))=0,"",INDEX('Assets'!$E$4:$E$503,_calc!$E$238)))=0,"","Every (months): "&amp;IF(LEN(INDEX('Assets'!$E$4:$E$503,_calc!$E$238))=0,"",INDEX('Assets'!$E$4:$E$503,_calc!$E$238))&amp;". ")&amp;IF(LEN(IF(LEN(INDEX('Assets'!$M$4:$M$503,_calc!$E$238))=0,"",INDEX('Assets'!$M$4:$M$503,_calc!$E$238)))=0,"","Last result: "&amp;IF(LEN(INDEX('Assets'!$M$4:$M$503,_calc!$E$238))=0,"",INDEX('Assets'!$M$4:$M$503,_calc!$E$238))&amp;". ")&amp;IF(LEN(IF(LEN(INDEX('Assets'!$Q$4:$Q$503,_calc!$E$238))=0,"",INDEX('Assets'!$Q$4:$Q$503,_calc!$E$238)))=0,"",IF(LEN(INDEX('Assets'!$Q$4:$Q$503,_calc!$E$238))=0,"",INDEX('Assets'!$Q$4:$Q$503,_calc!$E$238)))))</f>
        <v/>
      </c>
      <c r="G236" s="44">
        <f>IF(_calc!$E$238="","",IF(LEN(INDEX('Assets'!$P$4:$P$503,_calc!$E$238))=0,"",INDEX('Assets'!$P$4:$P$503,_calc!$E$238)))</f>
        <v/>
      </c>
      <c r="K236" s="44">
        <f>IF(_calc!$E$238="","",IF(LEN(INDEX('Assets'!$N$4:$N$503,_calc!$E$238))=0,"",INDEX('Assets'!$N$4:$N$503,_calc!$E$238)))</f>
        <v/>
      </c>
    </row>
    <row r="237">
      <c r="A237" s="44">
        <f>IF(_calc!$E$239="","",IF(LEN(INDEX('Assets'!$D$4:$D$503,_calc!$E$239))=0,"",INDEX('Assets'!$D$4:$D$503,_calc!$E$239))&amp;" – "&amp;IF(LEN(INDEX('Assets'!$A$4:$A$503,_calc!$E$239))=0,"",INDEX('Assets'!$A$4:$A$503,_calc!$E$239)))</f>
        <v/>
      </c>
      <c r="B237" s="44">
        <f>IF(_calc!$E$239="","",IF(ISNUMBER(INDEX('Assets'!$G$4:$G$503,_calc!$E$239)),TEXT(INDEX('Assets'!$G$4:$G$503,_calc!$E$239),"yyyy-mm-dd"),""))</f>
        <v/>
      </c>
      <c r="C237" s="44">
        <f>IF(_calc!$E$239="","","Inspection")</f>
        <v/>
      </c>
      <c r="D237" s="44">
        <f>IF(_calc!$E$239="","",IF(ISNUMBER(INDEX('Assets'!$F$4:$F$503,_calc!$E$239)),TEXT(INDEX('Assets'!$F$4:$F$503,_calc!$E$239),"yyyy-mm-dd"),""))</f>
        <v/>
      </c>
      <c r="E237" s="44">
        <f>IF(_calc!$E$239="","",IF(LEN(INDEX('Assets'!$O$4:$O$503,_calc!$E$239))=0,"",INDEX('Assets'!$O$4:$O$503,_calc!$E$239)))</f>
        <v/>
      </c>
      <c r="F237" s="44">
        <f>IF(_calc!$E$239="","",TRIM(IF(LEN(IF(LEN(INDEX('Assets'!$B$4:$B$503,_calc!$E$239))=0,"",INDEX('Assets'!$B$4:$B$503,_calc!$E$239)))=0,"","Asset ID: "&amp;IF(LEN(INDEX('Assets'!$B$4:$B$503,_calc!$E$239))=0,"",INDEX('Assets'!$B$4:$B$503,_calc!$E$239))&amp;". ")&amp;IF(LEN(IF(LEN(INDEX('Assets'!$C$4:$C$503,_calc!$E$239))=0,"",INDEX('Assets'!$C$4:$C$503,_calc!$E$239)))=0,"","Location: "&amp;IF(LEN(INDEX('Assets'!$C$4:$C$503,_calc!$E$239))=0,"",INDEX('Assets'!$C$4:$C$503,_calc!$E$239))&amp;". ")&amp;IF(LEN(IF(LEN(INDEX('Assets'!$E$4:$E$503,_calc!$E$239))=0,"",INDEX('Assets'!$E$4:$E$503,_calc!$E$239)))=0,"","Every (months): "&amp;IF(LEN(INDEX('Assets'!$E$4:$E$503,_calc!$E$239))=0,"",INDEX('Assets'!$E$4:$E$503,_calc!$E$239))&amp;". ")&amp;IF(LEN(IF(LEN(INDEX('Assets'!$M$4:$M$503,_calc!$E$239))=0,"",INDEX('Assets'!$M$4:$M$503,_calc!$E$239)))=0,"","Last result: "&amp;IF(LEN(INDEX('Assets'!$M$4:$M$503,_calc!$E$239))=0,"",INDEX('Assets'!$M$4:$M$503,_calc!$E$239))&amp;". ")&amp;IF(LEN(IF(LEN(INDEX('Assets'!$Q$4:$Q$503,_calc!$E$239))=0,"",INDEX('Assets'!$Q$4:$Q$503,_calc!$E$239)))=0,"",IF(LEN(INDEX('Assets'!$Q$4:$Q$503,_calc!$E$239))=0,"",INDEX('Assets'!$Q$4:$Q$503,_calc!$E$239)))))</f>
        <v/>
      </c>
      <c r="G237" s="44">
        <f>IF(_calc!$E$239="","",IF(LEN(INDEX('Assets'!$P$4:$P$503,_calc!$E$239))=0,"",INDEX('Assets'!$P$4:$P$503,_calc!$E$239)))</f>
        <v/>
      </c>
      <c r="K237" s="44">
        <f>IF(_calc!$E$239="","",IF(LEN(INDEX('Assets'!$N$4:$N$503,_calc!$E$239))=0,"",INDEX('Assets'!$N$4:$N$503,_calc!$E$239)))</f>
        <v/>
      </c>
    </row>
    <row r="238">
      <c r="A238" s="44">
        <f>IF(_calc!$E$240="","",IF(LEN(INDEX('Assets'!$D$4:$D$503,_calc!$E$240))=0,"",INDEX('Assets'!$D$4:$D$503,_calc!$E$240))&amp;" – "&amp;IF(LEN(INDEX('Assets'!$A$4:$A$503,_calc!$E$240))=0,"",INDEX('Assets'!$A$4:$A$503,_calc!$E$240)))</f>
        <v/>
      </c>
      <c r="B238" s="44">
        <f>IF(_calc!$E$240="","",IF(ISNUMBER(INDEX('Assets'!$G$4:$G$503,_calc!$E$240)),TEXT(INDEX('Assets'!$G$4:$G$503,_calc!$E$240),"yyyy-mm-dd"),""))</f>
        <v/>
      </c>
      <c r="C238" s="44">
        <f>IF(_calc!$E$240="","","Inspection")</f>
        <v/>
      </c>
      <c r="D238" s="44">
        <f>IF(_calc!$E$240="","",IF(ISNUMBER(INDEX('Assets'!$F$4:$F$503,_calc!$E$240)),TEXT(INDEX('Assets'!$F$4:$F$503,_calc!$E$240),"yyyy-mm-dd"),""))</f>
        <v/>
      </c>
      <c r="E238" s="44">
        <f>IF(_calc!$E$240="","",IF(LEN(INDEX('Assets'!$O$4:$O$503,_calc!$E$240))=0,"",INDEX('Assets'!$O$4:$O$503,_calc!$E$240)))</f>
        <v/>
      </c>
      <c r="F238" s="44">
        <f>IF(_calc!$E$240="","",TRIM(IF(LEN(IF(LEN(INDEX('Assets'!$B$4:$B$503,_calc!$E$240))=0,"",INDEX('Assets'!$B$4:$B$503,_calc!$E$240)))=0,"","Asset ID: "&amp;IF(LEN(INDEX('Assets'!$B$4:$B$503,_calc!$E$240))=0,"",INDEX('Assets'!$B$4:$B$503,_calc!$E$240))&amp;". ")&amp;IF(LEN(IF(LEN(INDEX('Assets'!$C$4:$C$503,_calc!$E$240))=0,"",INDEX('Assets'!$C$4:$C$503,_calc!$E$240)))=0,"","Location: "&amp;IF(LEN(INDEX('Assets'!$C$4:$C$503,_calc!$E$240))=0,"",INDEX('Assets'!$C$4:$C$503,_calc!$E$240))&amp;". ")&amp;IF(LEN(IF(LEN(INDEX('Assets'!$E$4:$E$503,_calc!$E$240))=0,"",INDEX('Assets'!$E$4:$E$503,_calc!$E$240)))=0,"","Every (months): "&amp;IF(LEN(INDEX('Assets'!$E$4:$E$503,_calc!$E$240))=0,"",INDEX('Assets'!$E$4:$E$503,_calc!$E$240))&amp;". ")&amp;IF(LEN(IF(LEN(INDEX('Assets'!$M$4:$M$503,_calc!$E$240))=0,"",INDEX('Assets'!$M$4:$M$503,_calc!$E$240)))=0,"","Last result: "&amp;IF(LEN(INDEX('Assets'!$M$4:$M$503,_calc!$E$240))=0,"",INDEX('Assets'!$M$4:$M$503,_calc!$E$240))&amp;". ")&amp;IF(LEN(IF(LEN(INDEX('Assets'!$Q$4:$Q$503,_calc!$E$240))=0,"",INDEX('Assets'!$Q$4:$Q$503,_calc!$E$240)))=0,"",IF(LEN(INDEX('Assets'!$Q$4:$Q$503,_calc!$E$240))=0,"",INDEX('Assets'!$Q$4:$Q$503,_calc!$E$240)))))</f>
        <v/>
      </c>
      <c r="G238" s="44">
        <f>IF(_calc!$E$240="","",IF(LEN(INDEX('Assets'!$P$4:$P$503,_calc!$E$240))=0,"",INDEX('Assets'!$P$4:$P$503,_calc!$E$240)))</f>
        <v/>
      </c>
      <c r="K238" s="44">
        <f>IF(_calc!$E$240="","",IF(LEN(INDEX('Assets'!$N$4:$N$503,_calc!$E$240))=0,"",INDEX('Assets'!$N$4:$N$503,_calc!$E$240)))</f>
        <v/>
      </c>
    </row>
    <row r="239">
      <c r="A239" s="44">
        <f>IF(_calc!$E$241="","",IF(LEN(INDEX('Assets'!$D$4:$D$503,_calc!$E$241))=0,"",INDEX('Assets'!$D$4:$D$503,_calc!$E$241))&amp;" – "&amp;IF(LEN(INDEX('Assets'!$A$4:$A$503,_calc!$E$241))=0,"",INDEX('Assets'!$A$4:$A$503,_calc!$E$241)))</f>
        <v/>
      </c>
      <c r="B239" s="44">
        <f>IF(_calc!$E$241="","",IF(ISNUMBER(INDEX('Assets'!$G$4:$G$503,_calc!$E$241)),TEXT(INDEX('Assets'!$G$4:$G$503,_calc!$E$241),"yyyy-mm-dd"),""))</f>
        <v/>
      </c>
      <c r="C239" s="44">
        <f>IF(_calc!$E$241="","","Inspection")</f>
        <v/>
      </c>
      <c r="D239" s="44">
        <f>IF(_calc!$E$241="","",IF(ISNUMBER(INDEX('Assets'!$F$4:$F$503,_calc!$E$241)),TEXT(INDEX('Assets'!$F$4:$F$503,_calc!$E$241),"yyyy-mm-dd"),""))</f>
        <v/>
      </c>
      <c r="E239" s="44">
        <f>IF(_calc!$E$241="","",IF(LEN(INDEX('Assets'!$O$4:$O$503,_calc!$E$241))=0,"",INDEX('Assets'!$O$4:$O$503,_calc!$E$241)))</f>
        <v/>
      </c>
      <c r="F239" s="44">
        <f>IF(_calc!$E$241="","",TRIM(IF(LEN(IF(LEN(INDEX('Assets'!$B$4:$B$503,_calc!$E$241))=0,"",INDEX('Assets'!$B$4:$B$503,_calc!$E$241)))=0,"","Asset ID: "&amp;IF(LEN(INDEX('Assets'!$B$4:$B$503,_calc!$E$241))=0,"",INDEX('Assets'!$B$4:$B$503,_calc!$E$241))&amp;". ")&amp;IF(LEN(IF(LEN(INDEX('Assets'!$C$4:$C$503,_calc!$E$241))=0,"",INDEX('Assets'!$C$4:$C$503,_calc!$E$241)))=0,"","Location: "&amp;IF(LEN(INDEX('Assets'!$C$4:$C$503,_calc!$E$241))=0,"",INDEX('Assets'!$C$4:$C$503,_calc!$E$241))&amp;". ")&amp;IF(LEN(IF(LEN(INDEX('Assets'!$E$4:$E$503,_calc!$E$241))=0,"",INDEX('Assets'!$E$4:$E$503,_calc!$E$241)))=0,"","Every (months): "&amp;IF(LEN(INDEX('Assets'!$E$4:$E$503,_calc!$E$241))=0,"",INDEX('Assets'!$E$4:$E$503,_calc!$E$241))&amp;". ")&amp;IF(LEN(IF(LEN(INDEX('Assets'!$M$4:$M$503,_calc!$E$241))=0,"",INDEX('Assets'!$M$4:$M$503,_calc!$E$241)))=0,"","Last result: "&amp;IF(LEN(INDEX('Assets'!$M$4:$M$503,_calc!$E$241))=0,"",INDEX('Assets'!$M$4:$M$503,_calc!$E$241))&amp;". ")&amp;IF(LEN(IF(LEN(INDEX('Assets'!$Q$4:$Q$503,_calc!$E$241))=0,"",INDEX('Assets'!$Q$4:$Q$503,_calc!$E$241)))=0,"",IF(LEN(INDEX('Assets'!$Q$4:$Q$503,_calc!$E$241))=0,"",INDEX('Assets'!$Q$4:$Q$503,_calc!$E$241)))))</f>
        <v/>
      </c>
      <c r="G239" s="44">
        <f>IF(_calc!$E$241="","",IF(LEN(INDEX('Assets'!$P$4:$P$503,_calc!$E$241))=0,"",INDEX('Assets'!$P$4:$P$503,_calc!$E$241)))</f>
        <v/>
      </c>
      <c r="K239" s="44">
        <f>IF(_calc!$E$241="","",IF(LEN(INDEX('Assets'!$N$4:$N$503,_calc!$E$241))=0,"",INDEX('Assets'!$N$4:$N$503,_calc!$E$241)))</f>
        <v/>
      </c>
    </row>
    <row r="240">
      <c r="A240" s="44">
        <f>IF(_calc!$E$242="","",IF(LEN(INDEX('Assets'!$D$4:$D$503,_calc!$E$242))=0,"",INDEX('Assets'!$D$4:$D$503,_calc!$E$242))&amp;" – "&amp;IF(LEN(INDEX('Assets'!$A$4:$A$503,_calc!$E$242))=0,"",INDEX('Assets'!$A$4:$A$503,_calc!$E$242)))</f>
        <v/>
      </c>
      <c r="B240" s="44">
        <f>IF(_calc!$E$242="","",IF(ISNUMBER(INDEX('Assets'!$G$4:$G$503,_calc!$E$242)),TEXT(INDEX('Assets'!$G$4:$G$503,_calc!$E$242),"yyyy-mm-dd"),""))</f>
        <v/>
      </c>
      <c r="C240" s="44">
        <f>IF(_calc!$E$242="","","Inspection")</f>
        <v/>
      </c>
      <c r="D240" s="44">
        <f>IF(_calc!$E$242="","",IF(ISNUMBER(INDEX('Assets'!$F$4:$F$503,_calc!$E$242)),TEXT(INDEX('Assets'!$F$4:$F$503,_calc!$E$242),"yyyy-mm-dd"),""))</f>
        <v/>
      </c>
      <c r="E240" s="44">
        <f>IF(_calc!$E$242="","",IF(LEN(INDEX('Assets'!$O$4:$O$503,_calc!$E$242))=0,"",INDEX('Assets'!$O$4:$O$503,_calc!$E$242)))</f>
        <v/>
      </c>
      <c r="F240" s="44">
        <f>IF(_calc!$E$242="","",TRIM(IF(LEN(IF(LEN(INDEX('Assets'!$B$4:$B$503,_calc!$E$242))=0,"",INDEX('Assets'!$B$4:$B$503,_calc!$E$242)))=0,"","Asset ID: "&amp;IF(LEN(INDEX('Assets'!$B$4:$B$503,_calc!$E$242))=0,"",INDEX('Assets'!$B$4:$B$503,_calc!$E$242))&amp;". ")&amp;IF(LEN(IF(LEN(INDEX('Assets'!$C$4:$C$503,_calc!$E$242))=0,"",INDEX('Assets'!$C$4:$C$503,_calc!$E$242)))=0,"","Location: "&amp;IF(LEN(INDEX('Assets'!$C$4:$C$503,_calc!$E$242))=0,"",INDEX('Assets'!$C$4:$C$503,_calc!$E$242))&amp;". ")&amp;IF(LEN(IF(LEN(INDEX('Assets'!$E$4:$E$503,_calc!$E$242))=0,"",INDEX('Assets'!$E$4:$E$503,_calc!$E$242)))=0,"","Every (months): "&amp;IF(LEN(INDEX('Assets'!$E$4:$E$503,_calc!$E$242))=0,"",INDEX('Assets'!$E$4:$E$503,_calc!$E$242))&amp;". ")&amp;IF(LEN(IF(LEN(INDEX('Assets'!$M$4:$M$503,_calc!$E$242))=0,"",INDEX('Assets'!$M$4:$M$503,_calc!$E$242)))=0,"","Last result: "&amp;IF(LEN(INDEX('Assets'!$M$4:$M$503,_calc!$E$242))=0,"",INDEX('Assets'!$M$4:$M$503,_calc!$E$242))&amp;". ")&amp;IF(LEN(IF(LEN(INDEX('Assets'!$Q$4:$Q$503,_calc!$E$242))=0,"",INDEX('Assets'!$Q$4:$Q$503,_calc!$E$242)))=0,"",IF(LEN(INDEX('Assets'!$Q$4:$Q$503,_calc!$E$242))=0,"",INDEX('Assets'!$Q$4:$Q$503,_calc!$E$242)))))</f>
        <v/>
      </c>
      <c r="G240" s="44">
        <f>IF(_calc!$E$242="","",IF(LEN(INDEX('Assets'!$P$4:$P$503,_calc!$E$242))=0,"",INDEX('Assets'!$P$4:$P$503,_calc!$E$242)))</f>
        <v/>
      </c>
      <c r="K240" s="44">
        <f>IF(_calc!$E$242="","",IF(LEN(INDEX('Assets'!$N$4:$N$503,_calc!$E$242))=0,"",INDEX('Assets'!$N$4:$N$503,_calc!$E$242)))</f>
        <v/>
      </c>
    </row>
    <row r="241">
      <c r="A241" s="44">
        <f>IF(_calc!$E$243="","",IF(LEN(INDEX('Assets'!$D$4:$D$503,_calc!$E$243))=0,"",INDEX('Assets'!$D$4:$D$503,_calc!$E$243))&amp;" – "&amp;IF(LEN(INDEX('Assets'!$A$4:$A$503,_calc!$E$243))=0,"",INDEX('Assets'!$A$4:$A$503,_calc!$E$243)))</f>
        <v/>
      </c>
      <c r="B241" s="44">
        <f>IF(_calc!$E$243="","",IF(ISNUMBER(INDEX('Assets'!$G$4:$G$503,_calc!$E$243)),TEXT(INDEX('Assets'!$G$4:$G$503,_calc!$E$243),"yyyy-mm-dd"),""))</f>
        <v/>
      </c>
      <c r="C241" s="44">
        <f>IF(_calc!$E$243="","","Inspection")</f>
        <v/>
      </c>
      <c r="D241" s="44">
        <f>IF(_calc!$E$243="","",IF(ISNUMBER(INDEX('Assets'!$F$4:$F$503,_calc!$E$243)),TEXT(INDEX('Assets'!$F$4:$F$503,_calc!$E$243),"yyyy-mm-dd"),""))</f>
        <v/>
      </c>
      <c r="E241" s="44">
        <f>IF(_calc!$E$243="","",IF(LEN(INDEX('Assets'!$O$4:$O$503,_calc!$E$243))=0,"",INDEX('Assets'!$O$4:$O$503,_calc!$E$243)))</f>
        <v/>
      </c>
      <c r="F241" s="44">
        <f>IF(_calc!$E$243="","",TRIM(IF(LEN(IF(LEN(INDEX('Assets'!$B$4:$B$503,_calc!$E$243))=0,"",INDEX('Assets'!$B$4:$B$503,_calc!$E$243)))=0,"","Asset ID: "&amp;IF(LEN(INDEX('Assets'!$B$4:$B$503,_calc!$E$243))=0,"",INDEX('Assets'!$B$4:$B$503,_calc!$E$243))&amp;". ")&amp;IF(LEN(IF(LEN(INDEX('Assets'!$C$4:$C$503,_calc!$E$243))=0,"",INDEX('Assets'!$C$4:$C$503,_calc!$E$243)))=0,"","Location: "&amp;IF(LEN(INDEX('Assets'!$C$4:$C$503,_calc!$E$243))=0,"",INDEX('Assets'!$C$4:$C$503,_calc!$E$243))&amp;". ")&amp;IF(LEN(IF(LEN(INDEX('Assets'!$E$4:$E$503,_calc!$E$243))=0,"",INDEX('Assets'!$E$4:$E$503,_calc!$E$243)))=0,"","Every (months): "&amp;IF(LEN(INDEX('Assets'!$E$4:$E$503,_calc!$E$243))=0,"",INDEX('Assets'!$E$4:$E$503,_calc!$E$243))&amp;". ")&amp;IF(LEN(IF(LEN(INDEX('Assets'!$M$4:$M$503,_calc!$E$243))=0,"",INDEX('Assets'!$M$4:$M$503,_calc!$E$243)))=0,"","Last result: "&amp;IF(LEN(INDEX('Assets'!$M$4:$M$503,_calc!$E$243))=0,"",INDEX('Assets'!$M$4:$M$503,_calc!$E$243))&amp;". ")&amp;IF(LEN(IF(LEN(INDEX('Assets'!$Q$4:$Q$503,_calc!$E$243))=0,"",INDEX('Assets'!$Q$4:$Q$503,_calc!$E$243)))=0,"",IF(LEN(INDEX('Assets'!$Q$4:$Q$503,_calc!$E$243))=0,"",INDEX('Assets'!$Q$4:$Q$503,_calc!$E$243)))))</f>
        <v/>
      </c>
      <c r="G241" s="44">
        <f>IF(_calc!$E$243="","",IF(LEN(INDEX('Assets'!$P$4:$P$503,_calc!$E$243))=0,"",INDEX('Assets'!$P$4:$P$503,_calc!$E$243)))</f>
        <v/>
      </c>
      <c r="K241" s="44">
        <f>IF(_calc!$E$243="","",IF(LEN(INDEX('Assets'!$N$4:$N$503,_calc!$E$243))=0,"",INDEX('Assets'!$N$4:$N$503,_calc!$E$243)))</f>
        <v/>
      </c>
    </row>
    <row r="242">
      <c r="A242" s="44">
        <f>IF(_calc!$E$244="","",IF(LEN(INDEX('Assets'!$D$4:$D$503,_calc!$E$244))=0,"",INDEX('Assets'!$D$4:$D$503,_calc!$E$244))&amp;" – "&amp;IF(LEN(INDEX('Assets'!$A$4:$A$503,_calc!$E$244))=0,"",INDEX('Assets'!$A$4:$A$503,_calc!$E$244)))</f>
        <v/>
      </c>
      <c r="B242" s="44">
        <f>IF(_calc!$E$244="","",IF(ISNUMBER(INDEX('Assets'!$G$4:$G$503,_calc!$E$244)),TEXT(INDEX('Assets'!$G$4:$G$503,_calc!$E$244),"yyyy-mm-dd"),""))</f>
        <v/>
      </c>
      <c r="C242" s="44">
        <f>IF(_calc!$E$244="","","Inspection")</f>
        <v/>
      </c>
      <c r="D242" s="44">
        <f>IF(_calc!$E$244="","",IF(ISNUMBER(INDEX('Assets'!$F$4:$F$503,_calc!$E$244)),TEXT(INDEX('Assets'!$F$4:$F$503,_calc!$E$244),"yyyy-mm-dd"),""))</f>
        <v/>
      </c>
      <c r="E242" s="44">
        <f>IF(_calc!$E$244="","",IF(LEN(INDEX('Assets'!$O$4:$O$503,_calc!$E$244))=0,"",INDEX('Assets'!$O$4:$O$503,_calc!$E$244)))</f>
        <v/>
      </c>
      <c r="F242" s="44">
        <f>IF(_calc!$E$244="","",TRIM(IF(LEN(IF(LEN(INDEX('Assets'!$B$4:$B$503,_calc!$E$244))=0,"",INDEX('Assets'!$B$4:$B$503,_calc!$E$244)))=0,"","Asset ID: "&amp;IF(LEN(INDEX('Assets'!$B$4:$B$503,_calc!$E$244))=0,"",INDEX('Assets'!$B$4:$B$503,_calc!$E$244))&amp;". ")&amp;IF(LEN(IF(LEN(INDEX('Assets'!$C$4:$C$503,_calc!$E$244))=0,"",INDEX('Assets'!$C$4:$C$503,_calc!$E$244)))=0,"","Location: "&amp;IF(LEN(INDEX('Assets'!$C$4:$C$503,_calc!$E$244))=0,"",INDEX('Assets'!$C$4:$C$503,_calc!$E$244))&amp;". ")&amp;IF(LEN(IF(LEN(INDEX('Assets'!$E$4:$E$503,_calc!$E$244))=0,"",INDEX('Assets'!$E$4:$E$503,_calc!$E$244)))=0,"","Every (months): "&amp;IF(LEN(INDEX('Assets'!$E$4:$E$503,_calc!$E$244))=0,"",INDEX('Assets'!$E$4:$E$503,_calc!$E$244))&amp;". ")&amp;IF(LEN(IF(LEN(INDEX('Assets'!$M$4:$M$503,_calc!$E$244))=0,"",INDEX('Assets'!$M$4:$M$503,_calc!$E$244)))=0,"","Last result: "&amp;IF(LEN(INDEX('Assets'!$M$4:$M$503,_calc!$E$244))=0,"",INDEX('Assets'!$M$4:$M$503,_calc!$E$244))&amp;". ")&amp;IF(LEN(IF(LEN(INDEX('Assets'!$Q$4:$Q$503,_calc!$E$244))=0,"",INDEX('Assets'!$Q$4:$Q$503,_calc!$E$244)))=0,"",IF(LEN(INDEX('Assets'!$Q$4:$Q$503,_calc!$E$244))=0,"",INDEX('Assets'!$Q$4:$Q$503,_calc!$E$244)))))</f>
        <v/>
      </c>
      <c r="G242" s="44">
        <f>IF(_calc!$E$244="","",IF(LEN(INDEX('Assets'!$P$4:$P$503,_calc!$E$244))=0,"",INDEX('Assets'!$P$4:$P$503,_calc!$E$244)))</f>
        <v/>
      </c>
      <c r="K242" s="44">
        <f>IF(_calc!$E$244="","",IF(LEN(INDEX('Assets'!$N$4:$N$503,_calc!$E$244))=0,"",INDEX('Assets'!$N$4:$N$503,_calc!$E$244)))</f>
        <v/>
      </c>
    </row>
    <row r="243">
      <c r="A243" s="44">
        <f>IF(_calc!$E$245="","",IF(LEN(INDEX('Assets'!$D$4:$D$503,_calc!$E$245))=0,"",INDEX('Assets'!$D$4:$D$503,_calc!$E$245))&amp;" – "&amp;IF(LEN(INDEX('Assets'!$A$4:$A$503,_calc!$E$245))=0,"",INDEX('Assets'!$A$4:$A$503,_calc!$E$245)))</f>
        <v/>
      </c>
      <c r="B243" s="44">
        <f>IF(_calc!$E$245="","",IF(ISNUMBER(INDEX('Assets'!$G$4:$G$503,_calc!$E$245)),TEXT(INDEX('Assets'!$G$4:$G$503,_calc!$E$245),"yyyy-mm-dd"),""))</f>
        <v/>
      </c>
      <c r="C243" s="44">
        <f>IF(_calc!$E$245="","","Inspection")</f>
        <v/>
      </c>
      <c r="D243" s="44">
        <f>IF(_calc!$E$245="","",IF(ISNUMBER(INDEX('Assets'!$F$4:$F$503,_calc!$E$245)),TEXT(INDEX('Assets'!$F$4:$F$503,_calc!$E$245),"yyyy-mm-dd"),""))</f>
        <v/>
      </c>
      <c r="E243" s="44">
        <f>IF(_calc!$E$245="","",IF(LEN(INDEX('Assets'!$O$4:$O$503,_calc!$E$245))=0,"",INDEX('Assets'!$O$4:$O$503,_calc!$E$245)))</f>
        <v/>
      </c>
      <c r="F243" s="44">
        <f>IF(_calc!$E$245="","",TRIM(IF(LEN(IF(LEN(INDEX('Assets'!$B$4:$B$503,_calc!$E$245))=0,"",INDEX('Assets'!$B$4:$B$503,_calc!$E$245)))=0,"","Asset ID: "&amp;IF(LEN(INDEX('Assets'!$B$4:$B$503,_calc!$E$245))=0,"",INDEX('Assets'!$B$4:$B$503,_calc!$E$245))&amp;". ")&amp;IF(LEN(IF(LEN(INDEX('Assets'!$C$4:$C$503,_calc!$E$245))=0,"",INDEX('Assets'!$C$4:$C$503,_calc!$E$245)))=0,"","Location: "&amp;IF(LEN(INDEX('Assets'!$C$4:$C$503,_calc!$E$245))=0,"",INDEX('Assets'!$C$4:$C$503,_calc!$E$245))&amp;". ")&amp;IF(LEN(IF(LEN(INDEX('Assets'!$E$4:$E$503,_calc!$E$245))=0,"",INDEX('Assets'!$E$4:$E$503,_calc!$E$245)))=0,"","Every (months): "&amp;IF(LEN(INDEX('Assets'!$E$4:$E$503,_calc!$E$245))=0,"",INDEX('Assets'!$E$4:$E$503,_calc!$E$245))&amp;". ")&amp;IF(LEN(IF(LEN(INDEX('Assets'!$M$4:$M$503,_calc!$E$245))=0,"",INDEX('Assets'!$M$4:$M$503,_calc!$E$245)))=0,"","Last result: "&amp;IF(LEN(INDEX('Assets'!$M$4:$M$503,_calc!$E$245))=0,"",INDEX('Assets'!$M$4:$M$503,_calc!$E$245))&amp;". ")&amp;IF(LEN(IF(LEN(INDEX('Assets'!$Q$4:$Q$503,_calc!$E$245))=0,"",INDEX('Assets'!$Q$4:$Q$503,_calc!$E$245)))=0,"",IF(LEN(INDEX('Assets'!$Q$4:$Q$503,_calc!$E$245))=0,"",INDEX('Assets'!$Q$4:$Q$503,_calc!$E$245)))))</f>
        <v/>
      </c>
      <c r="G243" s="44">
        <f>IF(_calc!$E$245="","",IF(LEN(INDEX('Assets'!$P$4:$P$503,_calc!$E$245))=0,"",INDEX('Assets'!$P$4:$P$503,_calc!$E$245)))</f>
        <v/>
      </c>
      <c r="K243" s="44">
        <f>IF(_calc!$E$245="","",IF(LEN(INDEX('Assets'!$N$4:$N$503,_calc!$E$245))=0,"",INDEX('Assets'!$N$4:$N$503,_calc!$E$245)))</f>
        <v/>
      </c>
    </row>
    <row r="244">
      <c r="A244" s="44">
        <f>IF(_calc!$E$246="","",IF(LEN(INDEX('Assets'!$D$4:$D$503,_calc!$E$246))=0,"",INDEX('Assets'!$D$4:$D$503,_calc!$E$246))&amp;" – "&amp;IF(LEN(INDEX('Assets'!$A$4:$A$503,_calc!$E$246))=0,"",INDEX('Assets'!$A$4:$A$503,_calc!$E$246)))</f>
        <v/>
      </c>
      <c r="B244" s="44">
        <f>IF(_calc!$E$246="","",IF(ISNUMBER(INDEX('Assets'!$G$4:$G$503,_calc!$E$246)),TEXT(INDEX('Assets'!$G$4:$G$503,_calc!$E$246),"yyyy-mm-dd"),""))</f>
        <v/>
      </c>
      <c r="C244" s="44">
        <f>IF(_calc!$E$246="","","Inspection")</f>
        <v/>
      </c>
      <c r="D244" s="44">
        <f>IF(_calc!$E$246="","",IF(ISNUMBER(INDEX('Assets'!$F$4:$F$503,_calc!$E$246)),TEXT(INDEX('Assets'!$F$4:$F$503,_calc!$E$246),"yyyy-mm-dd"),""))</f>
        <v/>
      </c>
      <c r="E244" s="44">
        <f>IF(_calc!$E$246="","",IF(LEN(INDEX('Assets'!$O$4:$O$503,_calc!$E$246))=0,"",INDEX('Assets'!$O$4:$O$503,_calc!$E$246)))</f>
        <v/>
      </c>
      <c r="F244" s="44">
        <f>IF(_calc!$E$246="","",TRIM(IF(LEN(IF(LEN(INDEX('Assets'!$B$4:$B$503,_calc!$E$246))=0,"",INDEX('Assets'!$B$4:$B$503,_calc!$E$246)))=0,"","Asset ID: "&amp;IF(LEN(INDEX('Assets'!$B$4:$B$503,_calc!$E$246))=0,"",INDEX('Assets'!$B$4:$B$503,_calc!$E$246))&amp;". ")&amp;IF(LEN(IF(LEN(INDEX('Assets'!$C$4:$C$503,_calc!$E$246))=0,"",INDEX('Assets'!$C$4:$C$503,_calc!$E$246)))=0,"","Location: "&amp;IF(LEN(INDEX('Assets'!$C$4:$C$503,_calc!$E$246))=0,"",INDEX('Assets'!$C$4:$C$503,_calc!$E$246))&amp;". ")&amp;IF(LEN(IF(LEN(INDEX('Assets'!$E$4:$E$503,_calc!$E$246))=0,"",INDEX('Assets'!$E$4:$E$503,_calc!$E$246)))=0,"","Every (months): "&amp;IF(LEN(INDEX('Assets'!$E$4:$E$503,_calc!$E$246))=0,"",INDEX('Assets'!$E$4:$E$503,_calc!$E$246))&amp;". ")&amp;IF(LEN(IF(LEN(INDEX('Assets'!$M$4:$M$503,_calc!$E$246))=0,"",INDEX('Assets'!$M$4:$M$503,_calc!$E$246)))=0,"","Last result: "&amp;IF(LEN(INDEX('Assets'!$M$4:$M$503,_calc!$E$246))=0,"",INDEX('Assets'!$M$4:$M$503,_calc!$E$246))&amp;". ")&amp;IF(LEN(IF(LEN(INDEX('Assets'!$Q$4:$Q$503,_calc!$E$246))=0,"",INDEX('Assets'!$Q$4:$Q$503,_calc!$E$246)))=0,"",IF(LEN(INDEX('Assets'!$Q$4:$Q$503,_calc!$E$246))=0,"",INDEX('Assets'!$Q$4:$Q$503,_calc!$E$246)))))</f>
        <v/>
      </c>
      <c r="G244" s="44">
        <f>IF(_calc!$E$246="","",IF(LEN(INDEX('Assets'!$P$4:$P$503,_calc!$E$246))=0,"",INDEX('Assets'!$P$4:$P$503,_calc!$E$246)))</f>
        <v/>
      </c>
      <c r="K244" s="44">
        <f>IF(_calc!$E$246="","",IF(LEN(INDEX('Assets'!$N$4:$N$503,_calc!$E$246))=0,"",INDEX('Assets'!$N$4:$N$503,_calc!$E$246)))</f>
        <v/>
      </c>
    </row>
    <row r="245">
      <c r="A245" s="44">
        <f>IF(_calc!$E$247="","",IF(LEN(INDEX('Assets'!$D$4:$D$503,_calc!$E$247))=0,"",INDEX('Assets'!$D$4:$D$503,_calc!$E$247))&amp;" – "&amp;IF(LEN(INDEX('Assets'!$A$4:$A$503,_calc!$E$247))=0,"",INDEX('Assets'!$A$4:$A$503,_calc!$E$247)))</f>
        <v/>
      </c>
      <c r="B245" s="44">
        <f>IF(_calc!$E$247="","",IF(ISNUMBER(INDEX('Assets'!$G$4:$G$503,_calc!$E$247)),TEXT(INDEX('Assets'!$G$4:$G$503,_calc!$E$247),"yyyy-mm-dd"),""))</f>
        <v/>
      </c>
      <c r="C245" s="44">
        <f>IF(_calc!$E$247="","","Inspection")</f>
        <v/>
      </c>
      <c r="D245" s="44">
        <f>IF(_calc!$E$247="","",IF(ISNUMBER(INDEX('Assets'!$F$4:$F$503,_calc!$E$247)),TEXT(INDEX('Assets'!$F$4:$F$503,_calc!$E$247),"yyyy-mm-dd"),""))</f>
        <v/>
      </c>
      <c r="E245" s="44">
        <f>IF(_calc!$E$247="","",IF(LEN(INDEX('Assets'!$O$4:$O$503,_calc!$E$247))=0,"",INDEX('Assets'!$O$4:$O$503,_calc!$E$247)))</f>
        <v/>
      </c>
      <c r="F245" s="44">
        <f>IF(_calc!$E$247="","",TRIM(IF(LEN(IF(LEN(INDEX('Assets'!$B$4:$B$503,_calc!$E$247))=0,"",INDEX('Assets'!$B$4:$B$503,_calc!$E$247)))=0,"","Asset ID: "&amp;IF(LEN(INDEX('Assets'!$B$4:$B$503,_calc!$E$247))=0,"",INDEX('Assets'!$B$4:$B$503,_calc!$E$247))&amp;". ")&amp;IF(LEN(IF(LEN(INDEX('Assets'!$C$4:$C$503,_calc!$E$247))=0,"",INDEX('Assets'!$C$4:$C$503,_calc!$E$247)))=0,"","Location: "&amp;IF(LEN(INDEX('Assets'!$C$4:$C$503,_calc!$E$247))=0,"",INDEX('Assets'!$C$4:$C$503,_calc!$E$247))&amp;". ")&amp;IF(LEN(IF(LEN(INDEX('Assets'!$E$4:$E$503,_calc!$E$247))=0,"",INDEX('Assets'!$E$4:$E$503,_calc!$E$247)))=0,"","Every (months): "&amp;IF(LEN(INDEX('Assets'!$E$4:$E$503,_calc!$E$247))=0,"",INDEX('Assets'!$E$4:$E$503,_calc!$E$247))&amp;". ")&amp;IF(LEN(IF(LEN(INDEX('Assets'!$M$4:$M$503,_calc!$E$247))=0,"",INDEX('Assets'!$M$4:$M$503,_calc!$E$247)))=0,"","Last result: "&amp;IF(LEN(INDEX('Assets'!$M$4:$M$503,_calc!$E$247))=0,"",INDEX('Assets'!$M$4:$M$503,_calc!$E$247))&amp;". ")&amp;IF(LEN(IF(LEN(INDEX('Assets'!$Q$4:$Q$503,_calc!$E$247))=0,"",INDEX('Assets'!$Q$4:$Q$503,_calc!$E$247)))=0,"",IF(LEN(INDEX('Assets'!$Q$4:$Q$503,_calc!$E$247))=0,"",INDEX('Assets'!$Q$4:$Q$503,_calc!$E$247)))))</f>
        <v/>
      </c>
      <c r="G245" s="44">
        <f>IF(_calc!$E$247="","",IF(LEN(INDEX('Assets'!$P$4:$P$503,_calc!$E$247))=0,"",INDEX('Assets'!$P$4:$P$503,_calc!$E$247)))</f>
        <v/>
      </c>
      <c r="K245" s="44">
        <f>IF(_calc!$E$247="","",IF(LEN(INDEX('Assets'!$N$4:$N$503,_calc!$E$247))=0,"",INDEX('Assets'!$N$4:$N$503,_calc!$E$247)))</f>
        <v/>
      </c>
    </row>
    <row r="246">
      <c r="A246" s="44">
        <f>IF(_calc!$E$248="","",IF(LEN(INDEX('Assets'!$D$4:$D$503,_calc!$E$248))=0,"",INDEX('Assets'!$D$4:$D$503,_calc!$E$248))&amp;" – "&amp;IF(LEN(INDEX('Assets'!$A$4:$A$503,_calc!$E$248))=0,"",INDEX('Assets'!$A$4:$A$503,_calc!$E$248)))</f>
        <v/>
      </c>
      <c r="B246" s="44">
        <f>IF(_calc!$E$248="","",IF(ISNUMBER(INDEX('Assets'!$G$4:$G$503,_calc!$E$248)),TEXT(INDEX('Assets'!$G$4:$G$503,_calc!$E$248),"yyyy-mm-dd"),""))</f>
        <v/>
      </c>
      <c r="C246" s="44">
        <f>IF(_calc!$E$248="","","Inspection")</f>
        <v/>
      </c>
      <c r="D246" s="44">
        <f>IF(_calc!$E$248="","",IF(ISNUMBER(INDEX('Assets'!$F$4:$F$503,_calc!$E$248)),TEXT(INDEX('Assets'!$F$4:$F$503,_calc!$E$248),"yyyy-mm-dd"),""))</f>
        <v/>
      </c>
      <c r="E246" s="44">
        <f>IF(_calc!$E$248="","",IF(LEN(INDEX('Assets'!$O$4:$O$503,_calc!$E$248))=0,"",INDEX('Assets'!$O$4:$O$503,_calc!$E$248)))</f>
        <v/>
      </c>
      <c r="F246" s="44">
        <f>IF(_calc!$E$248="","",TRIM(IF(LEN(IF(LEN(INDEX('Assets'!$B$4:$B$503,_calc!$E$248))=0,"",INDEX('Assets'!$B$4:$B$503,_calc!$E$248)))=0,"","Asset ID: "&amp;IF(LEN(INDEX('Assets'!$B$4:$B$503,_calc!$E$248))=0,"",INDEX('Assets'!$B$4:$B$503,_calc!$E$248))&amp;". ")&amp;IF(LEN(IF(LEN(INDEX('Assets'!$C$4:$C$503,_calc!$E$248))=0,"",INDEX('Assets'!$C$4:$C$503,_calc!$E$248)))=0,"","Location: "&amp;IF(LEN(INDEX('Assets'!$C$4:$C$503,_calc!$E$248))=0,"",INDEX('Assets'!$C$4:$C$503,_calc!$E$248))&amp;". ")&amp;IF(LEN(IF(LEN(INDEX('Assets'!$E$4:$E$503,_calc!$E$248))=0,"",INDEX('Assets'!$E$4:$E$503,_calc!$E$248)))=0,"","Every (months): "&amp;IF(LEN(INDEX('Assets'!$E$4:$E$503,_calc!$E$248))=0,"",INDEX('Assets'!$E$4:$E$503,_calc!$E$248))&amp;". ")&amp;IF(LEN(IF(LEN(INDEX('Assets'!$M$4:$M$503,_calc!$E$248))=0,"",INDEX('Assets'!$M$4:$M$503,_calc!$E$248)))=0,"","Last result: "&amp;IF(LEN(INDEX('Assets'!$M$4:$M$503,_calc!$E$248))=0,"",INDEX('Assets'!$M$4:$M$503,_calc!$E$248))&amp;". ")&amp;IF(LEN(IF(LEN(INDEX('Assets'!$Q$4:$Q$503,_calc!$E$248))=0,"",INDEX('Assets'!$Q$4:$Q$503,_calc!$E$248)))=0,"",IF(LEN(INDEX('Assets'!$Q$4:$Q$503,_calc!$E$248))=0,"",INDEX('Assets'!$Q$4:$Q$503,_calc!$E$248)))))</f>
        <v/>
      </c>
      <c r="G246" s="44">
        <f>IF(_calc!$E$248="","",IF(LEN(INDEX('Assets'!$P$4:$P$503,_calc!$E$248))=0,"",INDEX('Assets'!$P$4:$P$503,_calc!$E$248)))</f>
        <v/>
      </c>
      <c r="K246" s="44">
        <f>IF(_calc!$E$248="","",IF(LEN(INDEX('Assets'!$N$4:$N$503,_calc!$E$248))=0,"",INDEX('Assets'!$N$4:$N$503,_calc!$E$248)))</f>
        <v/>
      </c>
    </row>
    <row r="247">
      <c r="A247" s="44">
        <f>IF(_calc!$E$249="","",IF(LEN(INDEX('Assets'!$D$4:$D$503,_calc!$E$249))=0,"",INDEX('Assets'!$D$4:$D$503,_calc!$E$249))&amp;" – "&amp;IF(LEN(INDEX('Assets'!$A$4:$A$503,_calc!$E$249))=0,"",INDEX('Assets'!$A$4:$A$503,_calc!$E$249)))</f>
        <v/>
      </c>
      <c r="B247" s="44">
        <f>IF(_calc!$E$249="","",IF(ISNUMBER(INDEX('Assets'!$G$4:$G$503,_calc!$E$249)),TEXT(INDEX('Assets'!$G$4:$G$503,_calc!$E$249),"yyyy-mm-dd"),""))</f>
        <v/>
      </c>
      <c r="C247" s="44">
        <f>IF(_calc!$E$249="","","Inspection")</f>
        <v/>
      </c>
      <c r="D247" s="44">
        <f>IF(_calc!$E$249="","",IF(ISNUMBER(INDEX('Assets'!$F$4:$F$503,_calc!$E$249)),TEXT(INDEX('Assets'!$F$4:$F$503,_calc!$E$249),"yyyy-mm-dd"),""))</f>
        <v/>
      </c>
      <c r="E247" s="44">
        <f>IF(_calc!$E$249="","",IF(LEN(INDEX('Assets'!$O$4:$O$503,_calc!$E$249))=0,"",INDEX('Assets'!$O$4:$O$503,_calc!$E$249)))</f>
        <v/>
      </c>
      <c r="F247" s="44">
        <f>IF(_calc!$E$249="","",TRIM(IF(LEN(IF(LEN(INDEX('Assets'!$B$4:$B$503,_calc!$E$249))=0,"",INDEX('Assets'!$B$4:$B$503,_calc!$E$249)))=0,"","Asset ID: "&amp;IF(LEN(INDEX('Assets'!$B$4:$B$503,_calc!$E$249))=0,"",INDEX('Assets'!$B$4:$B$503,_calc!$E$249))&amp;". ")&amp;IF(LEN(IF(LEN(INDEX('Assets'!$C$4:$C$503,_calc!$E$249))=0,"",INDEX('Assets'!$C$4:$C$503,_calc!$E$249)))=0,"","Location: "&amp;IF(LEN(INDEX('Assets'!$C$4:$C$503,_calc!$E$249))=0,"",INDEX('Assets'!$C$4:$C$503,_calc!$E$249))&amp;". ")&amp;IF(LEN(IF(LEN(INDEX('Assets'!$E$4:$E$503,_calc!$E$249))=0,"",INDEX('Assets'!$E$4:$E$503,_calc!$E$249)))=0,"","Every (months): "&amp;IF(LEN(INDEX('Assets'!$E$4:$E$503,_calc!$E$249))=0,"",INDEX('Assets'!$E$4:$E$503,_calc!$E$249))&amp;". ")&amp;IF(LEN(IF(LEN(INDEX('Assets'!$M$4:$M$503,_calc!$E$249))=0,"",INDEX('Assets'!$M$4:$M$503,_calc!$E$249)))=0,"","Last result: "&amp;IF(LEN(INDEX('Assets'!$M$4:$M$503,_calc!$E$249))=0,"",INDEX('Assets'!$M$4:$M$503,_calc!$E$249))&amp;". ")&amp;IF(LEN(IF(LEN(INDEX('Assets'!$Q$4:$Q$503,_calc!$E$249))=0,"",INDEX('Assets'!$Q$4:$Q$503,_calc!$E$249)))=0,"",IF(LEN(INDEX('Assets'!$Q$4:$Q$503,_calc!$E$249))=0,"",INDEX('Assets'!$Q$4:$Q$503,_calc!$E$249)))))</f>
        <v/>
      </c>
      <c r="G247" s="44">
        <f>IF(_calc!$E$249="","",IF(LEN(INDEX('Assets'!$P$4:$P$503,_calc!$E$249))=0,"",INDEX('Assets'!$P$4:$P$503,_calc!$E$249)))</f>
        <v/>
      </c>
      <c r="K247" s="44">
        <f>IF(_calc!$E$249="","",IF(LEN(INDEX('Assets'!$N$4:$N$503,_calc!$E$249))=0,"",INDEX('Assets'!$N$4:$N$503,_calc!$E$249)))</f>
        <v/>
      </c>
    </row>
    <row r="248">
      <c r="A248" s="44">
        <f>IF(_calc!$E$250="","",IF(LEN(INDEX('Assets'!$D$4:$D$503,_calc!$E$250))=0,"",INDEX('Assets'!$D$4:$D$503,_calc!$E$250))&amp;" – "&amp;IF(LEN(INDEX('Assets'!$A$4:$A$503,_calc!$E$250))=0,"",INDEX('Assets'!$A$4:$A$503,_calc!$E$250)))</f>
        <v/>
      </c>
      <c r="B248" s="44">
        <f>IF(_calc!$E$250="","",IF(ISNUMBER(INDEX('Assets'!$G$4:$G$503,_calc!$E$250)),TEXT(INDEX('Assets'!$G$4:$G$503,_calc!$E$250),"yyyy-mm-dd"),""))</f>
        <v/>
      </c>
      <c r="C248" s="44">
        <f>IF(_calc!$E$250="","","Inspection")</f>
        <v/>
      </c>
      <c r="D248" s="44">
        <f>IF(_calc!$E$250="","",IF(ISNUMBER(INDEX('Assets'!$F$4:$F$503,_calc!$E$250)),TEXT(INDEX('Assets'!$F$4:$F$503,_calc!$E$250),"yyyy-mm-dd"),""))</f>
        <v/>
      </c>
      <c r="E248" s="44">
        <f>IF(_calc!$E$250="","",IF(LEN(INDEX('Assets'!$O$4:$O$503,_calc!$E$250))=0,"",INDEX('Assets'!$O$4:$O$503,_calc!$E$250)))</f>
        <v/>
      </c>
      <c r="F248" s="44">
        <f>IF(_calc!$E$250="","",TRIM(IF(LEN(IF(LEN(INDEX('Assets'!$B$4:$B$503,_calc!$E$250))=0,"",INDEX('Assets'!$B$4:$B$503,_calc!$E$250)))=0,"","Asset ID: "&amp;IF(LEN(INDEX('Assets'!$B$4:$B$503,_calc!$E$250))=0,"",INDEX('Assets'!$B$4:$B$503,_calc!$E$250))&amp;". ")&amp;IF(LEN(IF(LEN(INDEX('Assets'!$C$4:$C$503,_calc!$E$250))=0,"",INDEX('Assets'!$C$4:$C$503,_calc!$E$250)))=0,"","Location: "&amp;IF(LEN(INDEX('Assets'!$C$4:$C$503,_calc!$E$250))=0,"",INDEX('Assets'!$C$4:$C$503,_calc!$E$250))&amp;". ")&amp;IF(LEN(IF(LEN(INDEX('Assets'!$E$4:$E$503,_calc!$E$250))=0,"",INDEX('Assets'!$E$4:$E$503,_calc!$E$250)))=0,"","Every (months): "&amp;IF(LEN(INDEX('Assets'!$E$4:$E$503,_calc!$E$250))=0,"",INDEX('Assets'!$E$4:$E$503,_calc!$E$250))&amp;". ")&amp;IF(LEN(IF(LEN(INDEX('Assets'!$M$4:$M$503,_calc!$E$250))=0,"",INDEX('Assets'!$M$4:$M$503,_calc!$E$250)))=0,"","Last result: "&amp;IF(LEN(INDEX('Assets'!$M$4:$M$503,_calc!$E$250))=0,"",INDEX('Assets'!$M$4:$M$503,_calc!$E$250))&amp;". ")&amp;IF(LEN(IF(LEN(INDEX('Assets'!$Q$4:$Q$503,_calc!$E$250))=0,"",INDEX('Assets'!$Q$4:$Q$503,_calc!$E$250)))=0,"",IF(LEN(INDEX('Assets'!$Q$4:$Q$503,_calc!$E$250))=0,"",INDEX('Assets'!$Q$4:$Q$503,_calc!$E$250)))))</f>
        <v/>
      </c>
      <c r="G248" s="44">
        <f>IF(_calc!$E$250="","",IF(LEN(INDEX('Assets'!$P$4:$P$503,_calc!$E$250))=0,"",INDEX('Assets'!$P$4:$P$503,_calc!$E$250)))</f>
        <v/>
      </c>
      <c r="K248" s="44">
        <f>IF(_calc!$E$250="","",IF(LEN(INDEX('Assets'!$N$4:$N$503,_calc!$E$250))=0,"",INDEX('Assets'!$N$4:$N$503,_calc!$E$250)))</f>
        <v/>
      </c>
    </row>
    <row r="249">
      <c r="A249" s="44">
        <f>IF(_calc!$E$251="","",IF(LEN(INDEX('Assets'!$D$4:$D$503,_calc!$E$251))=0,"",INDEX('Assets'!$D$4:$D$503,_calc!$E$251))&amp;" – "&amp;IF(LEN(INDEX('Assets'!$A$4:$A$503,_calc!$E$251))=0,"",INDEX('Assets'!$A$4:$A$503,_calc!$E$251)))</f>
        <v/>
      </c>
      <c r="B249" s="44">
        <f>IF(_calc!$E$251="","",IF(ISNUMBER(INDEX('Assets'!$G$4:$G$503,_calc!$E$251)),TEXT(INDEX('Assets'!$G$4:$G$503,_calc!$E$251),"yyyy-mm-dd"),""))</f>
        <v/>
      </c>
      <c r="C249" s="44">
        <f>IF(_calc!$E$251="","","Inspection")</f>
        <v/>
      </c>
      <c r="D249" s="44">
        <f>IF(_calc!$E$251="","",IF(ISNUMBER(INDEX('Assets'!$F$4:$F$503,_calc!$E$251)),TEXT(INDEX('Assets'!$F$4:$F$503,_calc!$E$251),"yyyy-mm-dd"),""))</f>
        <v/>
      </c>
      <c r="E249" s="44">
        <f>IF(_calc!$E$251="","",IF(LEN(INDEX('Assets'!$O$4:$O$503,_calc!$E$251))=0,"",INDEX('Assets'!$O$4:$O$503,_calc!$E$251)))</f>
        <v/>
      </c>
      <c r="F249" s="44">
        <f>IF(_calc!$E$251="","",TRIM(IF(LEN(IF(LEN(INDEX('Assets'!$B$4:$B$503,_calc!$E$251))=0,"",INDEX('Assets'!$B$4:$B$503,_calc!$E$251)))=0,"","Asset ID: "&amp;IF(LEN(INDEX('Assets'!$B$4:$B$503,_calc!$E$251))=0,"",INDEX('Assets'!$B$4:$B$503,_calc!$E$251))&amp;". ")&amp;IF(LEN(IF(LEN(INDEX('Assets'!$C$4:$C$503,_calc!$E$251))=0,"",INDEX('Assets'!$C$4:$C$503,_calc!$E$251)))=0,"","Location: "&amp;IF(LEN(INDEX('Assets'!$C$4:$C$503,_calc!$E$251))=0,"",INDEX('Assets'!$C$4:$C$503,_calc!$E$251))&amp;". ")&amp;IF(LEN(IF(LEN(INDEX('Assets'!$E$4:$E$503,_calc!$E$251))=0,"",INDEX('Assets'!$E$4:$E$503,_calc!$E$251)))=0,"","Every (months): "&amp;IF(LEN(INDEX('Assets'!$E$4:$E$503,_calc!$E$251))=0,"",INDEX('Assets'!$E$4:$E$503,_calc!$E$251))&amp;". ")&amp;IF(LEN(IF(LEN(INDEX('Assets'!$M$4:$M$503,_calc!$E$251))=0,"",INDEX('Assets'!$M$4:$M$503,_calc!$E$251)))=0,"","Last result: "&amp;IF(LEN(INDEX('Assets'!$M$4:$M$503,_calc!$E$251))=0,"",INDEX('Assets'!$M$4:$M$503,_calc!$E$251))&amp;". ")&amp;IF(LEN(IF(LEN(INDEX('Assets'!$Q$4:$Q$503,_calc!$E$251))=0,"",INDEX('Assets'!$Q$4:$Q$503,_calc!$E$251)))=0,"",IF(LEN(INDEX('Assets'!$Q$4:$Q$503,_calc!$E$251))=0,"",INDEX('Assets'!$Q$4:$Q$503,_calc!$E$251)))))</f>
        <v/>
      </c>
      <c r="G249" s="44">
        <f>IF(_calc!$E$251="","",IF(LEN(INDEX('Assets'!$P$4:$P$503,_calc!$E$251))=0,"",INDEX('Assets'!$P$4:$P$503,_calc!$E$251)))</f>
        <v/>
      </c>
      <c r="K249" s="44">
        <f>IF(_calc!$E$251="","",IF(LEN(INDEX('Assets'!$N$4:$N$503,_calc!$E$251))=0,"",INDEX('Assets'!$N$4:$N$503,_calc!$E$251)))</f>
        <v/>
      </c>
    </row>
    <row r="250">
      <c r="A250" s="44">
        <f>IF(_calc!$E$252="","",IF(LEN(INDEX('Assets'!$D$4:$D$503,_calc!$E$252))=0,"",INDEX('Assets'!$D$4:$D$503,_calc!$E$252))&amp;" – "&amp;IF(LEN(INDEX('Assets'!$A$4:$A$503,_calc!$E$252))=0,"",INDEX('Assets'!$A$4:$A$503,_calc!$E$252)))</f>
        <v/>
      </c>
      <c r="B250" s="44">
        <f>IF(_calc!$E$252="","",IF(ISNUMBER(INDEX('Assets'!$G$4:$G$503,_calc!$E$252)),TEXT(INDEX('Assets'!$G$4:$G$503,_calc!$E$252),"yyyy-mm-dd"),""))</f>
        <v/>
      </c>
      <c r="C250" s="44">
        <f>IF(_calc!$E$252="","","Inspection")</f>
        <v/>
      </c>
      <c r="D250" s="44">
        <f>IF(_calc!$E$252="","",IF(ISNUMBER(INDEX('Assets'!$F$4:$F$503,_calc!$E$252)),TEXT(INDEX('Assets'!$F$4:$F$503,_calc!$E$252),"yyyy-mm-dd"),""))</f>
        <v/>
      </c>
      <c r="E250" s="44">
        <f>IF(_calc!$E$252="","",IF(LEN(INDEX('Assets'!$O$4:$O$503,_calc!$E$252))=0,"",INDEX('Assets'!$O$4:$O$503,_calc!$E$252)))</f>
        <v/>
      </c>
      <c r="F250" s="44">
        <f>IF(_calc!$E$252="","",TRIM(IF(LEN(IF(LEN(INDEX('Assets'!$B$4:$B$503,_calc!$E$252))=0,"",INDEX('Assets'!$B$4:$B$503,_calc!$E$252)))=0,"","Asset ID: "&amp;IF(LEN(INDEX('Assets'!$B$4:$B$503,_calc!$E$252))=0,"",INDEX('Assets'!$B$4:$B$503,_calc!$E$252))&amp;". ")&amp;IF(LEN(IF(LEN(INDEX('Assets'!$C$4:$C$503,_calc!$E$252))=0,"",INDEX('Assets'!$C$4:$C$503,_calc!$E$252)))=0,"","Location: "&amp;IF(LEN(INDEX('Assets'!$C$4:$C$503,_calc!$E$252))=0,"",INDEX('Assets'!$C$4:$C$503,_calc!$E$252))&amp;". ")&amp;IF(LEN(IF(LEN(INDEX('Assets'!$E$4:$E$503,_calc!$E$252))=0,"",INDEX('Assets'!$E$4:$E$503,_calc!$E$252)))=0,"","Every (months): "&amp;IF(LEN(INDEX('Assets'!$E$4:$E$503,_calc!$E$252))=0,"",INDEX('Assets'!$E$4:$E$503,_calc!$E$252))&amp;". ")&amp;IF(LEN(IF(LEN(INDEX('Assets'!$M$4:$M$503,_calc!$E$252))=0,"",INDEX('Assets'!$M$4:$M$503,_calc!$E$252)))=0,"","Last result: "&amp;IF(LEN(INDEX('Assets'!$M$4:$M$503,_calc!$E$252))=0,"",INDEX('Assets'!$M$4:$M$503,_calc!$E$252))&amp;". ")&amp;IF(LEN(IF(LEN(INDEX('Assets'!$Q$4:$Q$503,_calc!$E$252))=0,"",INDEX('Assets'!$Q$4:$Q$503,_calc!$E$252)))=0,"",IF(LEN(INDEX('Assets'!$Q$4:$Q$503,_calc!$E$252))=0,"",INDEX('Assets'!$Q$4:$Q$503,_calc!$E$252)))))</f>
        <v/>
      </c>
      <c r="G250" s="44">
        <f>IF(_calc!$E$252="","",IF(LEN(INDEX('Assets'!$P$4:$P$503,_calc!$E$252))=0,"",INDEX('Assets'!$P$4:$P$503,_calc!$E$252)))</f>
        <v/>
      </c>
      <c r="K250" s="44">
        <f>IF(_calc!$E$252="","",IF(LEN(INDEX('Assets'!$N$4:$N$503,_calc!$E$252))=0,"",INDEX('Assets'!$N$4:$N$503,_calc!$E$252)))</f>
        <v/>
      </c>
    </row>
    <row r="251">
      <c r="A251" s="44">
        <f>IF(_calc!$E$253="","",IF(LEN(INDEX('Assets'!$D$4:$D$503,_calc!$E$253))=0,"",INDEX('Assets'!$D$4:$D$503,_calc!$E$253))&amp;" – "&amp;IF(LEN(INDEX('Assets'!$A$4:$A$503,_calc!$E$253))=0,"",INDEX('Assets'!$A$4:$A$503,_calc!$E$253)))</f>
        <v/>
      </c>
      <c r="B251" s="44">
        <f>IF(_calc!$E$253="","",IF(ISNUMBER(INDEX('Assets'!$G$4:$G$503,_calc!$E$253)),TEXT(INDEX('Assets'!$G$4:$G$503,_calc!$E$253),"yyyy-mm-dd"),""))</f>
        <v/>
      </c>
      <c r="C251" s="44">
        <f>IF(_calc!$E$253="","","Inspection")</f>
        <v/>
      </c>
      <c r="D251" s="44">
        <f>IF(_calc!$E$253="","",IF(ISNUMBER(INDEX('Assets'!$F$4:$F$503,_calc!$E$253)),TEXT(INDEX('Assets'!$F$4:$F$503,_calc!$E$253),"yyyy-mm-dd"),""))</f>
        <v/>
      </c>
      <c r="E251" s="44">
        <f>IF(_calc!$E$253="","",IF(LEN(INDEX('Assets'!$O$4:$O$503,_calc!$E$253))=0,"",INDEX('Assets'!$O$4:$O$503,_calc!$E$253)))</f>
        <v/>
      </c>
      <c r="F251" s="44">
        <f>IF(_calc!$E$253="","",TRIM(IF(LEN(IF(LEN(INDEX('Assets'!$B$4:$B$503,_calc!$E$253))=0,"",INDEX('Assets'!$B$4:$B$503,_calc!$E$253)))=0,"","Asset ID: "&amp;IF(LEN(INDEX('Assets'!$B$4:$B$503,_calc!$E$253))=0,"",INDEX('Assets'!$B$4:$B$503,_calc!$E$253))&amp;". ")&amp;IF(LEN(IF(LEN(INDEX('Assets'!$C$4:$C$503,_calc!$E$253))=0,"",INDEX('Assets'!$C$4:$C$503,_calc!$E$253)))=0,"","Location: "&amp;IF(LEN(INDEX('Assets'!$C$4:$C$503,_calc!$E$253))=0,"",INDEX('Assets'!$C$4:$C$503,_calc!$E$253))&amp;". ")&amp;IF(LEN(IF(LEN(INDEX('Assets'!$E$4:$E$503,_calc!$E$253))=0,"",INDEX('Assets'!$E$4:$E$503,_calc!$E$253)))=0,"","Every (months): "&amp;IF(LEN(INDEX('Assets'!$E$4:$E$503,_calc!$E$253))=0,"",INDEX('Assets'!$E$4:$E$503,_calc!$E$253))&amp;". ")&amp;IF(LEN(IF(LEN(INDEX('Assets'!$M$4:$M$503,_calc!$E$253))=0,"",INDEX('Assets'!$M$4:$M$503,_calc!$E$253)))=0,"","Last result: "&amp;IF(LEN(INDEX('Assets'!$M$4:$M$503,_calc!$E$253))=0,"",INDEX('Assets'!$M$4:$M$503,_calc!$E$253))&amp;". ")&amp;IF(LEN(IF(LEN(INDEX('Assets'!$Q$4:$Q$503,_calc!$E$253))=0,"",INDEX('Assets'!$Q$4:$Q$503,_calc!$E$253)))=0,"",IF(LEN(INDEX('Assets'!$Q$4:$Q$503,_calc!$E$253))=0,"",INDEX('Assets'!$Q$4:$Q$503,_calc!$E$253)))))</f>
        <v/>
      </c>
      <c r="G251" s="44">
        <f>IF(_calc!$E$253="","",IF(LEN(INDEX('Assets'!$P$4:$P$503,_calc!$E$253))=0,"",INDEX('Assets'!$P$4:$P$503,_calc!$E$253)))</f>
        <v/>
      </c>
      <c r="K251" s="44">
        <f>IF(_calc!$E$253="","",IF(LEN(INDEX('Assets'!$N$4:$N$503,_calc!$E$253))=0,"",INDEX('Assets'!$N$4:$N$503,_calc!$E$253)))</f>
        <v/>
      </c>
    </row>
    <row r="252">
      <c r="A252" s="44">
        <f>IF(_calc!$E$254="","",IF(LEN(INDEX('Assets'!$D$4:$D$503,_calc!$E$254))=0,"",INDEX('Assets'!$D$4:$D$503,_calc!$E$254))&amp;" – "&amp;IF(LEN(INDEX('Assets'!$A$4:$A$503,_calc!$E$254))=0,"",INDEX('Assets'!$A$4:$A$503,_calc!$E$254)))</f>
        <v/>
      </c>
      <c r="B252" s="44">
        <f>IF(_calc!$E$254="","",IF(ISNUMBER(INDEX('Assets'!$G$4:$G$503,_calc!$E$254)),TEXT(INDEX('Assets'!$G$4:$G$503,_calc!$E$254),"yyyy-mm-dd"),""))</f>
        <v/>
      </c>
      <c r="C252" s="44">
        <f>IF(_calc!$E$254="","","Inspection")</f>
        <v/>
      </c>
      <c r="D252" s="44">
        <f>IF(_calc!$E$254="","",IF(ISNUMBER(INDEX('Assets'!$F$4:$F$503,_calc!$E$254)),TEXT(INDEX('Assets'!$F$4:$F$503,_calc!$E$254),"yyyy-mm-dd"),""))</f>
        <v/>
      </c>
      <c r="E252" s="44">
        <f>IF(_calc!$E$254="","",IF(LEN(INDEX('Assets'!$O$4:$O$503,_calc!$E$254))=0,"",INDEX('Assets'!$O$4:$O$503,_calc!$E$254)))</f>
        <v/>
      </c>
      <c r="F252" s="44">
        <f>IF(_calc!$E$254="","",TRIM(IF(LEN(IF(LEN(INDEX('Assets'!$B$4:$B$503,_calc!$E$254))=0,"",INDEX('Assets'!$B$4:$B$503,_calc!$E$254)))=0,"","Asset ID: "&amp;IF(LEN(INDEX('Assets'!$B$4:$B$503,_calc!$E$254))=0,"",INDEX('Assets'!$B$4:$B$503,_calc!$E$254))&amp;". ")&amp;IF(LEN(IF(LEN(INDEX('Assets'!$C$4:$C$503,_calc!$E$254))=0,"",INDEX('Assets'!$C$4:$C$503,_calc!$E$254)))=0,"","Location: "&amp;IF(LEN(INDEX('Assets'!$C$4:$C$503,_calc!$E$254))=0,"",INDEX('Assets'!$C$4:$C$503,_calc!$E$254))&amp;". ")&amp;IF(LEN(IF(LEN(INDEX('Assets'!$E$4:$E$503,_calc!$E$254))=0,"",INDEX('Assets'!$E$4:$E$503,_calc!$E$254)))=0,"","Every (months): "&amp;IF(LEN(INDEX('Assets'!$E$4:$E$503,_calc!$E$254))=0,"",INDEX('Assets'!$E$4:$E$503,_calc!$E$254))&amp;". ")&amp;IF(LEN(IF(LEN(INDEX('Assets'!$M$4:$M$503,_calc!$E$254))=0,"",INDEX('Assets'!$M$4:$M$503,_calc!$E$254)))=0,"","Last result: "&amp;IF(LEN(INDEX('Assets'!$M$4:$M$503,_calc!$E$254))=0,"",INDEX('Assets'!$M$4:$M$503,_calc!$E$254))&amp;". ")&amp;IF(LEN(IF(LEN(INDEX('Assets'!$Q$4:$Q$503,_calc!$E$254))=0,"",INDEX('Assets'!$Q$4:$Q$503,_calc!$E$254)))=0,"",IF(LEN(INDEX('Assets'!$Q$4:$Q$503,_calc!$E$254))=0,"",INDEX('Assets'!$Q$4:$Q$503,_calc!$E$254)))))</f>
        <v/>
      </c>
      <c r="G252" s="44">
        <f>IF(_calc!$E$254="","",IF(LEN(INDEX('Assets'!$P$4:$P$503,_calc!$E$254))=0,"",INDEX('Assets'!$P$4:$P$503,_calc!$E$254)))</f>
        <v/>
      </c>
      <c r="K252" s="44">
        <f>IF(_calc!$E$254="","",IF(LEN(INDEX('Assets'!$N$4:$N$503,_calc!$E$254))=0,"",INDEX('Assets'!$N$4:$N$503,_calc!$E$254)))</f>
        <v/>
      </c>
    </row>
    <row r="253">
      <c r="A253" s="44">
        <f>IF(_calc!$E$255="","",IF(LEN(INDEX('Assets'!$D$4:$D$503,_calc!$E$255))=0,"",INDEX('Assets'!$D$4:$D$503,_calc!$E$255))&amp;" – "&amp;IF(LEN(INDEX('Assets'!$A$4:$A$503,_calc!$E$255))=0,"",INDEX('Assets'!$A$4:$A$503,_calc!$E$255)))</f>
        <v/>
      </c>
      <c r="B253" s="44">
        <f>IF(_calc!$E$255="","",IF(ISNUMBER(INDEX('Assets'!$G$4:$G$503,_calc!$E$255)),TEXT(INDEX('Assets'!$G$4:$G$503,_calc!$E$255),"yyyy-mm-dd"),""))</f>
        <v/>
      </c>
      <c r="C253" s="44">
        <f>IF(_calc!$E$255="","","Inspection")</f>
        <v/>
      </c>
      <c r="D253" s="44">
        <f>IF(_calc!$E$255="","",IF(ISNUMBER(INDEX('Assets'!$F$4:$F$503,_calc!$E$255)),TEXT(INDEX('Assets'!$F$4:$F$503,_calc!$E$255),"yyyy-mm-dd"),""))</f>
        <v/>
      </c>
      <c r="E253" s="44">
        <f>IF(_calc!$E$255="","",IF(LEN(INDEX('Assets'!$O$4:$O$503,_calc!$E$255))=0,"",INDEX('Assets'!$O$4:$O$503,_calc!$E$255)))</f>
        <v/>
      </c>
      <c r="F253" s="44">
        <f>IF(_calc!$E$255="","",TRIM(IF(LEN(IF(LEN(INDEX('Assets'!$B$4:$B$503,_calc!$E$255))=0,"",INDEX('Assets'!$B$4:$B$503,_calc!$E$255)))=0,"","Asset ID: "&amp;IF(LEN(INDEX('Assets'!$B$4:$B$503,_calc!$E$255))=0,"",INDEX('Assets'!$B$4:$B$503,_calc!$E$255))&amp;". ")&amp;IF(LEN(IF(LEN(INDEX('Assets'!$C$4:$C$503,_calc!$E$255))=0,"",INDEX('Assets'!$C$4:$C$503,_calc!$E$255)))=0,"","Location: "&amp;IF(LEN(INDEX('Assets'!$C$4:$C$503,_calc!$E$255))=0,"",INDEX('Assets'!$C$4:$C$503,_calc!$E$255))&amp;". ")&amp;IF(LEN(IF(LEN(INDEX('Assets'!$E$4:$E$503,_calc!$E$255))=0,"",INDEX('Assets'!$E$4:$E$503,_calc!$E$255)))=0,"","Every (months): "&amp;IF(LEN(INDEX('Assets'!$E$4:$E$503,_calc!$E$255))=0,"",INDEX('Assets'!$E$4:$E$503,_calc!$E$255))&amp;". ")&amp;IF(LEN(IF(LEN(INDEX('Assets'!$M$4:$M$503,_calc!$E$255))=0,"",INDEX('Assets'!$M$4:$M$503,_calc!$E$255)))=0,"","Last result: "&amp;IF(LEN(INDEX('Assets'!$M$4:$M$503,_calc!$E$255))=0,"",INDEX('Assets'!$M$4:$M$503,_calc!$E$255))&amp;". ")&amp;IF(LEN(IF(LEN(INDEX('Assets'!$Q$4:$Q$503,_calc!$E$255))=0,"",INDEX('Assets'!$Q$4:$Q$503,_calc!$E$255)))=0,"",IF(LEN(INDEX('Assets'!$Q$4:$Q$503,_calc!$E$255))=0,"",INDEX('Assets'!$Q$4:$Q$503,_calc!$E$255)))))</f>
        <v/>
      </c>
      <c r="G253" s="44">
        <f>IF(_calc!$E$255="","",IF(LEN(INDEX('Assets'!$P$4:$P$503,_calc!$E$255))=0,"",INDEX('Assets'!$P$4:$P$503,_calc!$E$255)))</f>
        <v/>
      </c>
      <c r="K253" s="44">
        <f>IF(_calc!$E$255="","",IF(LEN(INDEX('Assets'!$N$4:$N$503,_calc!$E$255))=0,"",INDEX('Assets'!$N$4:$N$503,_calc!$E$255)))</f>
        <v/>
      </c>
    </row>
    <row r="254">
      <c r="A254" s="44">
        <f>IF(_calc!$E$256="","",IF(LEN(INDEX('Assets'!$D$4:$D$503,_calc!$E$256))=0,"",INDEX('Assets'!$D$4:$D$503,_calc!$E$256))&amp;" – "&amp;IF(LEN(INDEX('Assets'!$A$4:$A$503,_calc!$E$256))=0,"",INDEX('Assets'!$A$4:$A$503,_calc!$E$256)))</f>
        <v/>
      </c>
      <c r="B254" s="44">
        <f>IF(_calc!$E$256="","",IF(ISNUMBER(INDEX('Assets'!$G$4:$G$503,_calc!$E$256)),TEXT(INDEX('Assets'!$G$4:$G$503,_calc!$E$256),"yyyy-mm-dd"),""))</f>
        <v/>
      </c>
      <c r="C254" s="44">
        <f>IF(_calc!$E$256="","","Inspection")</f>
        <v/>
      </c>
      <c r="D254" s="44">
        <f>IF(_calc!$E$256="","",IF(ISNUMBER(INDEX('Assets'!$F$4:$F$503,_calc!$E$256)),TEXT(INDEX('Assets'!$F$4:$F$503,_calc!$E$256),"yyyy-mm-dd"),""))</f>
        <v/>
      </c>
      <c r="E254" s="44">
        <f>IF(_calc!$E$256="","",IF(LEN(INDEX('Assets'!$O$4:$O$503,_calc!$E$256))=0,"",INDEX('Assets'!$O$4:$O$503,_calc!$E$256)))</f>
        <v/>
      </c>
      <c r="F254" s="44">
        <f>IF(_calc!$E$256="","",TRIM(IF(LEN(IF(LEN(INDEX('Assets'!$B$4:$B$503,_calc!$E$256))=0,"",INDEX('Assets'!$B$4:$B$503,_calc!$E$256)))=0,"","Asset ID: "&amp;IF(LEN(INDEX('Assets'!$B$4:$B$503,_calc!$E$256))=0,"",INDEX('Assets'!$B$4:$B$503,_calc!$E$256))&amp;". ")&amp;IF(LEN(IF(LEN(INDEX('Assets'!$C$4:$C$503,_calc!$E$256))=0,"",INDEX('Assets'!$C$4:$C$503,_calc!$E$256)))=0,"","Location: "&amp;IF(LEN(INDEX('Assets'!$C$4:$C$503,_calc!$E$256))=0,"",INDEX('Assets'!$C$4:$C$503,_calc!$E$256))&amp;". ")&amp;IF(LEN(IF(LEN(INDEX('Assets'!$E$4:$E$503,_calc!$E$256))=0,"",INDEX('Assets'!$E$4:$E$503,_calc!$E$256)))=0,"","Every (months): "&amp;IF(LEN(INDEX('Assets'!$E$4:$E$503,_calc!$E$256))=0,"",INDEX('Assets'!$E$4:$E$503,_calc!$E$256))&amp;". ")&amp;IF(LEN(IF(LEN(INDEX('Assets'!$M$4:$M$503,_calc!$E$256))=0,"",INDEX('Assets'!$M$4:$M$503,_calc!$E$256)))=0,"","Last result: "&amp;IF(LEN(INDEX('Assets'!$M$4:$M$503,_calc!$E$256))=0,"",INDEX('Assets'!$M$4:$M$503,_calc!$E$256))&amp;". ")&amp;IF(LEN(IF(LEN(INDEX('Assets'!$Q$4:$Q$503,_calc!$E$256))=0,"",INDEX('Assets'!$Q$4:$Q$503,_calc!$E$256)))=0,"",IF(LEN(INDEX('Assets'!$Q$4:$Q$503,_calc!$E$256))=0,"",INDEX('Assets'!$Q$4:$Q$503,_calc!$E$256)))))</f>
        <v/>
      </c>
      <c r="G254" s="44">
        <f>IF(_calc!$E$256="","",IF(LEN(INDEX('Assets'!$P$4:$P$503,_calc!$E$256))=0,"",INDEX('Assets'!$P$4:$P$503,_calc!$E$256)))</f>
        <v/>
      </c>
      <c r="K254" s="44">
        <f>IF(_calc!$E$256="","",IF(LEN(INDEX('Assets'!$N$4:$N$503,_calc!$E$256))=0,"",INDEX('Assets'!$N$4:$N$503,_calc!$E$256)))</f>
        <v/>
      </c>
    </row>
    <row r="255">
      <c r="A255" s="44">
        <f>IF(_calc!$E$257="","",IF(LEN(INDEX('Assets'!$D$4:$D$503,_calc!$E$257))=0,"",INDEX('Assets'!$D$4:$D$503,_calc!$E$257))&amp;" – "&amp;IF(LEN(INDEX('Assets'!$A$4:$A$503,_calc!$E$257))=0,"",INDEX('Assets'!$A$4:$A$503,_calc!$E$257)))</f>
        <v/>
      </c>
      <c r="B255" s="44">
        <f>IF(_calc!$E$257="","",IF(ISNUMBER(INDEX('Assets'!$G$4:$G$503,_calc!$E$257)),TEXT(INDEX('Assets'!$G$4:$G$503,_calc!$E$257),"yyyy-mm-dd"),""))</f>
        <v/>
      </c>
      <c r="C255" s="44">
        <f>IF(_calc!$E$257="","","Inspection")</f>
        <v/>
      </c>
      <c r="D255" s="44">
        <f>IF(_calc!$E$257="","",IF(ISNUMBER(INDEX('Assets'!$F$4:$F$503,_calc!$E$257)),TEXT(INDEX('Assets'!$F$4:$F$503,_calc!$E$257),"yyyy-mm-dd"),""))</f>
        <v/>
      </c>
      <c r="E255" s="44">
        <f>IF(_calc!$E$257="","",IF(LEN(INDEX('Assets'!$O$4:$O$503,_calc!$E$257))=0,"",INDEX('Assets'!$O$4:$O$503,_calc!$E$257)))</f>
        <v/>
      </c>
      <c r="F255" s="44">
        <f>IF(_calc!$E$257="","",TRIM(IF(LEN(IF(LEN(INDEX('Assets'!$B$4:$B$503,_calc!$E$257))=0,"",INDEX('Assets'!$B$4:$B$503,_calc!$E$257)))=0,"","Asset ID: "&amp;IF(LEN(INDEX('Assets'!$B$4:$B$503,_calc!$E$257))=0,"",INDEX('Assets'!$B$4:$B$503,_calc!$E$257))&amp;". ")&amp;IF(LEN(IF(LEN(INDEX('Assets'!$C$4:$C$503,_calc!$E$257))=0,"",INDEX('Assets'!$C$4:$C$503,_calc!$E$257)))=0,"","Location: "&amp;IF(LEN(INDEX('Assets'!$C$4:$C$503,_calc!$E$257))=0,"",INDEX('Assets'!$C$4:$C$503,_calc!$E$257))&amp;". ")&amp;IF(LEN(IF(LEN(INDEX('Assets'!$E$4:$E$503,_calc!$E$257))=0,"",INDEX('Assets'!$E$4:$E$503,_calc!$E$257)))=0,"","Every (months): "&amp;IF(LEN(INDEX('Assets'!$E$4:$E$503,_calc!$E$257))=0,"",INDEX('Assets'!$E$4:$E$503,_calc!$E$257))&amp;". ")&amp;IF(LEN(IF(LEN(INDEX('Assets'!$M$4:$M$503,_calc!$E$257))=0,"",INDEX('Assets'!$M$4:$M$503,_calc!$E$257)))=0,"","Last result: "&amp;IF(LEN(INDEX('Assets'!$M$4:$M$503,_calc!$E$257))=0,"",INDEX('Assets'!$M$4:$M$503,_calc!$E$257))&amp;". ")&amp;IF(LEN(IF(LEN(INDEX('Assets'!$Q$4:$Q$503,_calc!$E$257))=0,"",INDEX('Assets'!$Q$4:$Q$503,_calc!$E$257)))=0,"",IF(LEN(INDEX('Assets'!$Q$4:$Q$503,_calc!$E$257))=0,"",INDEX('Assets'!$Q$4:$Q$503,_calc!$E$257)))))</f>
        <v/>
      </c>
      <c r="G255" s="44">
        <f>IF(_calc!$E$257="","",IF(LEN(INDEX('Assets'!$P$4:$P$503,_calc!$E$257))=0,"",INDEX('Assets'!$P$4:$P$503,_calc!$E$257)))</f>
        <v/>
      </c>
      <c r="K255" s="44">
        <f>IF(_calc!$E$257="","",IF(LEN(INDEX('Assets'!$N$4:$N$503,_calc!$E$257))=0,"",INDEX('Assets'!$N$4:$N$503,_calc!$E$257)))</f>
        <v/>
      </c>
    </row>
    <row r="256">
      <c r="A256" s="44">
        <f>IF(_calc!$E$258="","",IF(LEN(INDEX('Assets'!$D$4:$D$503,_calc!$E$258))=0,"",INDEX('Assets'!$D$4:$D$503,_calc!$E$258))&amp;" – "&amp;IF(LEN(INDEX('Assets'!$A$4:$A$503,_calc!$E$258))=0,"",INDEX('Assets'!$A$4:$A$503,_calc!$E$258)))</f>
        <v/>
      </c>
      <c r="B256" s="44">
        <f>IF(_calc!$E$258="","",IF(ISNUMBER(INDEX('Assets'!$G$4:$G$503,_calc!$E$258)),TEXT(INDEX('Assets'!$G$4:$G$503,_calc!$E$258),"yyyy-mm-dd"),""))</f>
        <v/>
      </c>
      <c r="C256" s="44">
        <f>IF(_calc!$E$258="","","Inspection")</f>
        <v/>
      </c>
      <c r="D256" s="44">
        <f>IF(_calc!$E$258="","",IF(ISNUMBER(INDEX('Assets'!$F$4:$F$503,_calc!$E$258)),TEXT(INDEX('Assets'!$F$4:$F$503,_calc!$E$258),"yyyy-mm-dd"),""))</f>
        <v/>
      </c>
      <c r="E256" s="44">
        <f>IF(_calc!$E$258="","",IF(LEN(INDEX('Assets'!$O$4:$O$503,_calc!$E$258))=0,"",INDEX('Assets'!$O$4:$O$503,_calc!$E$258)))</f>
        <v/>
      </c>
      <c r="F256" s="44">
        <f>IF(_calc!$E$258="","",TRIM(IF(LEN(IF(LEN(INDEX('Assets'!$B$4:$B$503,_calc!$E$258))=0,"",INDEX('Assets'!$B$4:$B$503,_calc!$E$258)))=0,"","Asset ID: "&amp;IF(LEN(INDEX('Assets'!$B$4:$B$503,_calc!$E$258))=0,"",INDEX('Assets'!$B$4:$B$503,_calc!$E$258))&amp;". ")&amp;IF(LEN(IF(LEN(INDEX('Assets'!$C$4:$C$503,_calc!$E$258))=0,"",INDEX('Assets'!$C$4:$C$503,_calc!$E$258)))=0,"","Location: "&amp;IF(LEN(INDEX('Assets'!$C$4:$C$503,_calc!$E$258))=0,"",INDEX('Assets'!$C$4:$C$503,_calc!$E$258))&amp;". ")&amp;IF(LEN(IF(LEN(INDEX('Assets'!$E$4:$E$503,_calc!$E$258))=0,"",INDEX('Assets'!$E$4:$E$503,_calc!$E$258)))=0,"","Every (months): "&amp;IF(LEN(INDEX('Assets'!$E$4:$E$503,_calc!$E$258))=0,"",INDEX('Assets'!$E$4:$E$503,_calc!$E$258))&amp;". ")&amp;IF(LEN(IF(LEN(INDEX('Assets'!$M$4:$M$503,_calc!$E$258))=0,"",INDEX('Assets'!$M$4:$M$503,_calc!$E$258)))=0,"","Last result: "&amp;IF(LEN(INDEX('Assets'!$M$4:$M$503,_calc!$E$258))=0,"",INDEX('Assets'!$M$4:$M$503,_calc!$E$258))&amp;". ")&amp;IF(LEN(IF(LEN(INDEX('Assets'!$Q$4:$Q$503,_calc!$E$258))=0,"",INDEX('Assets'!$Q$4:$Q$503,_calc!$E$258)))=0,"",IF(LEN(INDEX('Assets'!$Q$4:$Q$503,_calc!$E$258))=0,"",INDEX('Assets'!$Q$4:$Q$503,_calc!$E$258)))))</f>
        <v/>
      </c>
      <c r="G256" s="44">
        <f>IF(_calc!$E$258="","",IF(LEN(INDEX('Assets'!$P$4:$P$503,_calc!$E$258))=0,"",INDEX('Assets'!$P$4:$P$503,_calc!$E$258)))</f>
        <v/>
      </c>
      <c r="K256" s="44">
        <f>IF(_calc!$E$258="","",IF(LEN(INDEX('Assets'!$N$4:$N$503,_calc!$E$258))=0,"",INDEX('Assets'!$N$4:$N$503,_calc!$E$258)))</f>
        <v/>
      </c>
    </row>
    <row r="257">
      <c r="A257" s="44">
        <f>IF(_calc!$E$259="","",IF(LEN(INDEX('Assets'!$D$4:$D$503,_calc!$E$259))=0,"",INDEX('Assets'!$D$4:$D$503,_calc!$E$259))&amp;" – "&amp;IF(LEN(INDEX('Assets'!$A$4:$A$503,_calc!$E$259))=0,"",INDEX('Assets'!$A$4:$A$503,_calc!$E$259)))</f>
        <v/>
      </c>
      <c r="B257" s="44">
        <f>IF(_calc!$E$259="","",IF(ISNUMBER(INDEX('Assets'!$G$4:$G$503,_calc!$E$259)),TEXT(INDEX('Assets'!$G$4:$G$503,_calc!$E$259),"yyyy-mm-dd"),""))</f>
        <v/>
      </c>
      <c r="C257" s="44">
        <f>IF(_calc!$E$259="","","Inspection")</f>
        <v/>
      </c>
      <c r="D257" s="44">
        <f>IF(_calc!$E$259="","",IF(ISNUMBER(INDEX('Assets'!$F$4:$F$503,_calc!$E$259)),TEXT(INDEX('Assets'!$F$4:$F$503,_calc!$E$259),"yyyy-mm-dd"),""))</f>
        <v/>
      </c>
      <c r="E257" s="44">
        <f>IF(_calc!$E$259="","",IF(LEN(INDEX('Assets'!$O$4:$O$503,_calc!$E$259))=0,"",INDEX('Assets'!$O$4:$O$503,_calc!$E$259)))</f>
        <v/>
      </c>
      <c r="F257" s="44">
        <f>IF(_calc!$E$259="","",TRIM(IF(LEN(IF(LEN(INDEX('Assets'!$B$4:$B$503,_calc!$E$259))=0,"",INDEX('Assets'!$B$4:$B$503,_calc!$E$259)))=0,"","Asset ID: "&amp;IF(LEN(INDEX('Assets'!$B$4:$B$503,_calc!$E$259))=0,"",INDEX('Assets'!$B$4:$B$503,_calc!$E$259))&amp;". ")&amp;IF(LEN(IF(LEN(INDEX('Assets'!$C$4:$C$503,_calc!$E$259))=0,"",INDEX('Assets'!$C$4:$C$503,_calc!$E$259)))=0,"","Location: "&amp;IF(LEN(INDEX('Assets'!$C$4:$C$503,_calc!$E$259))=0,"",INDEX('Assets'!$C$4:$C$503,_calc!$E$259))&amp;". ")&amp;IF(LEN(IF(LEN(INDEX('Assets'!$E$4:$E$503,_calc!$E$259))=0,"",INDEX('Assets'!$E$4:$E$503,_calc!$E$259)))=0,"","Every (months): "&amp;IF(LEN(INDEX('Assets'!$E$4:$E$503,_calc!$E$259))=0,"",INDEX('Assets'!$E$4:$E$503,_calc!$E$259))&amp;". ")&amp;IF(LEN(IF(LEN(INDEX('Assets'!$M$4:$M$503,_calc!$E$259))=0,"",INDEX('Assets'!$M$4:$M$503,_calc!$E$259)))=0,"","Last result: "&amp;IF(LEN(INDEX('Assets'!$M$4:$M$503,_calc!$E$259))=0,"",INDEX('Assets'!$M$4:$M$503,_calc!$E$259))&amp;". ")&amp;IF(LEN(IF(LEN(INDEX('Assets'!$Q$4:$Q$503,_calc!$E$259))=0,"",INDEX('Assets'!$Q$4:$Q$503,_calc!$E$259)))=0,"",IF(LEN(INDEX('Assets'!$Q$4:$Q$503,_calc!$E$259))=0,"",INDEX('Assets'!$Q$4:$Q$503,_calc!$E$259)))))</f>
        <v/>
      </c>
      <c r="G257" s="44">
        <f>IF(_calc!$E$259="","",IF(LEN(INDEX('Assets'!$P$4:$P$503,_calc!$E$259))=0,"",INDEX('Assets'!$P$4:$P$503,_calc!$E$259)))</f>
        <v/>
      </c>
      <c r="K257" s="44">
        <f>IF(_calc!$E$259="","",IF(LEN(INDEX('Assets'!$N$4:$N$503,_calc!$E$259))=0,"",INDEX('Assets'!$N$4:$N$503,_calc!$E$259)))</f>
        <v/>
      </c>
    </row>
    <row r="258">
      <c r="A258" s="44">
        <f>IF(_calc!$E$260="","",IF(LEN(INDEX('Assets'!$D$4:$D$503,_calc!$E$260))=0,"",INDEX('Assets'!$D$4:$D$503,_calc!$E$260))&amp;" – "&amp;IF(LEN(INDEX('Assets'!$A$4:$A$503,_calc!$E$260))=0,"",INDEX('Assets'!$A$4:$A$503,_calc!$E$260)))</f>
        <v/>
      </c>
      <c r="B258" s="44">
        <f>IF(_calc!$E$260="","",IF(ISNUMBER(INDEX('Assets'!$G$4:$G$503,_calc!$E$260)),TEXT(INDEX('Assets'!$G$4:$G$503,_calc!$E$260),"yyyy-mm-dd"),""))</f>
        <v/>
      </c>
      <c r="C258" s="44">
        <f>IF(_calc!$E$260="","","Inspection")</f>
        <v/>
      </c>
      <c r="D258" s="44">
        <f>IF(_calc!$E$260="","",IF(ISNUMBER(INDEX('Assets'!$F$4:$F$503,_calc!$E$260)),TEXT(INDEX('Assets'!$F$4:$F$503,_calc!$E$260),"yyyy-mm-dd"),""))</f>
        <v/>
      </c>
      <c r="E258" s="44">
        <f>IF(_calc!$E$260="","",IF(LEN(INDEX('Assets'!$O$4:$O$503,_calc!$E$260))=0,"",INDEX('Assets'!$O$4:$O$503,_calc!$E$260)))</f>
        <v/>
      </c>
      <c r="F258" s="44">
        <f>IF(_calc!$E$260="","",TRIM(IF(LEN(IF(LEN(INDEX('Assets'!$B$4:$B$503,_calc!$E$260))=0,"",INDEX('Assets'!$B$4:$B$503,_calc!$E$260)))=0,"","Asset ID: "&amp;IF(LEN(INDEX('Assets'!$B$4:$B$503,_calc!$E$260))=0,"",INDEX('Assets'!$B$4:$B$503,_calc!$E$260))&amp;". ")&amp;IF(LEN(IF(LEN(INDEX('Assets'!$C$4:$C$503,_calc!$E$260))=0,"",INDEX('Assets'!$C$4:$C$503,_calc!$E$260)))=0,"","Location: "&amp;IF(LEN(INDEX('Assets'!$C$4:$C$503,_calc!$E$260))=0,"",INDEX('Assets'!$C$4:$C$503,_calc!$E$260))&amp;". ")&amp;IF(LEN(IF(LEN(INDEX('Assets'!$E$4:$E$503,_calc!$E$260))=0,"",INDEX('Assets'!$E$4:$E$503,_calc!$E$260)))=0,"","Every (months): "&amp;IF(LEN(INDEX('Assets'!$E$4:$E$503,_calc!$E$260))=0,"",INDEX('Assets'!$E$4:$E$503,_calc!$E$260))&amp;". ")&amp;IF(LEN(IF(LEN(INDEX('Assets'!$M$4:$M$503,_calc!$E$260))=0,"",INDEX('Assets'!$M$4:$M$503,_calc!$E$260)))=0,"","Last result: "&amp;IF(LEN(INDEX('Assets'!$M$4:$M$503,_calc!$E$260))=0,"",INDEX('Assets'!$M$4:$M$503,_calc!$E$260))&amp;". ")&amp;IF(LEN(IF(LEN(INDEX('Assets'!$Q$4:$Q$503,_calc!$E$260))=0,"",INDEX('Assets'!$Q$4:$Q$503,_calc!$E$260)))=0,"",IF(LEN(INDEX('Assets'!$Q$4:$Q$503,_calc!$E$260))=0,"",INDEX('Assets'!$Q$4:$Q$503,_calc!$E$260)))))</f>
        <v/>
      </c>
      <c r="G258" s="44">
        <f>IF(_calc!$E$260="","",IF(LEN(INDEX('Assets'!$P$4:$P$503,_calc!$E$260))=0,"",INDEX('Assets'!$P$4:$P$503,_calc!$E$260)))</f>
        <v/>
      </c>
      <c r="K258" s="44">
        <f>IF(_calc!$E$260="","",IF(LEN(INDEX('Assets'!$N$4:$N$503,_calc!$E$260))=0,"",INDEX('Assets'!$N$4:$N$503,_calc!$E$260)))</f>
        <v/>
      </c>
    </row>
    <row r="259">
      <c r="A259" s="44">
        <f>IF(_calc!$E$261="","",IF(LEN(INDEX('Assets'!$D$4:$D$503,_calc!$E$261))=0,"",INDEX('Assets'!$D$4:$D$503,_calc!$E$261))&amp;" – "&amp;IF(LEN(INDEX('Assets'!$A$4:$A$503,_calc!$E$261))=0,"",INDEX('Assets'!$A$4:$A$503,_calc!$E$261)))</f>
        <v/>
      </c>
      <c r="B259" s="44">
        <f>IF(_calc!$E$261="","",IF(ISNUMBER(INDEX('Assets'!$G$4:$G$503,_calc!$E$261)),TEXT(INDEX('Assets'!$G$4:$G$503,_calc!$E$261),"yyyy-mm-dd"),""))</f>
        <v/>
      </c>
      <c r="C259" s="44">
        <f>IF(_calc!$E$261="","","Inspection")</f>
        <v/>
      </c>
      <c r="D259" s="44">
        <f>IF(_calc!$E$261="","",IF(ISNUMBER(INDEX('Assets'!$F$4:$F$503,_calc!$E$261)),TEXT(INDEX('Assets'!$F$4:$F$503,_calc!$E$261),"yyyy-mm-dd"),""))</f>
        <v/>
      </c>
      <c r="E259" s="44">
        <f>IF(_calc!$E$261="","",IF(LEN(INDEX('Assets'!$O$4:$O$503,_calc!$E$261))=0,"",INDEX('Assets'!$O$4:$O$503,_calc!$E$261)))</f>
        <v/>
      </c>
      <c r="F259" s="44">
        <f>IF(_calc!$E$261="","",TRIM(IF(LEN(IF(LEN(INDEX('Assets'!$B$4:$B$503,_calc!$E$261))=0,"",INDEX('Assets'!$B$4:$B$503,_calc!$E$261)))=0,"","Asset ID: "&amp;IF(LEN(INDEX('Assets'!$B$4:$B$503,_calc!$E$261))=0,"",INDEX('Assets'!$B$4:$B$503,_calc!$E$261))&amp;". ")&amp;IF(LEN(IF(LEN(INDEX('Assets'!$C$4:$C$503,_calc!$E$261))=0,"",INDEX('Assets'!$C$4:$C$503,_calc!$E$261)))=0,"","Location: "&amp;IF(LEN(INDEX('Assets'!$C$4:$C$503,_calc!$E$261))=0,"",INDEX('Assets'!$C$4:$C$503,_calc!$E$261))&amp;". ")&amp;IF(LEN(IF(LEN(INDEX('Assets'!$E$4:$E$503,_calc!$E$261))=0,"",INDEX('Assets'!$E$4:$E$503,_calc!$E$261)))=0,"","Every (months): "&amp;IF(LEN(INDEX('Assets'!$E$4:$E$503,_calc!$E$261))=0,"",INDEX('Assets'!$E$4:$E$503,_calc!$E$261))&amp;". ")&amp;IF(LEN(IF(LEN(INDEX('Assets'!$M$4:$M$503,_calc!$E$261))=0,"",INDEX('Assets'!$M$4:$M$503,_calc!$E$261)))=0,"","Last result: "&amp;IF(LEN(INDEX('Assets'!$M$4:$M$503,_calc!$E$261))=0,"",INDEX('Assets'!$M$4:$M$503,_calc!$E$261))&amp;". ")&amp;IF(LEN(IF(LEN(INDEX('Assets'!$Q$4:$Q$503,_calc!$E$261))=0,"",INDEX('Assets'!$Q$4:$Q$503,_calc!$E$261)))=0,"",IF(LEN(INDEX('Assets'!$Q$4:$Q$503,_calc!$E$261))=0,"",INDEX('Assets'!$Q$4:$Q$503,_calc!$E$261)))))</f>
        <v/>
      </c>
      <c r="G259" s="44">
        <f>IF(_calc!$E$261="","",IF(LEN(INDEX('Assets'!$P$4:$P$503,_calc!$E$261))=0,"",INDEX('Assets'!$P$4:$P$503,_calc!$E$261)))</f>
        <v/>
      </c>
      <c r="K259" s="44">
        <f>IF(_calc!$E$261="","",IF(LEN(INDEX('Assets'!$N$4:$N$503,_calc!$E$261))=0,"",INDEX('Assets'!$N$4:$N$503,_calc!$E$261)))</f>
        <v/>
      </c>
    </row>
    <row r="260">
      <c r="A260" s="44">
        <f>IF(_calc!$E$262="","",IF(LEN(INDEX('Assets'!$D$4:$D$503,_calc!$E$262))=0,"",INDEX('Assets'!$D$4:$D$503,_calc!$E$262))&amp;" – "&amp;IF(LEN(INDEX('Assets'!$A$4:$A$503,_calc!$E$262))=0,"",INDEX('Assets'!$A$4:$A$503,_calc!$E$262)))</f>
        <v/>
      </c>
      <c r="B260" s="44">
        <f>IF(_calc!$E$262="","",IF(ISNUMBER(INDEX('Assets'!$G$4:$G$503,_calc!$E$262)),TEXT(INDEX('Assets'!$G$4:$G$503,_calc!$E$262),"yyyy-mm-dd"),""))</f>
        <v/>
      </c>
      <c r="C260" s="44">
        <f>IF(_calc!$E$262="","","Inspection")</f>
        <v/>
      </c>
      <c r="D260" s="44">
        <f>IF(_calc!$E$262="","",IF(ISNUMBER(INDEX('Assets'!$F$4:$F$503,_calc!$E$262)),TEXT(INDEX('Assets'!$F$4:$F$503,_calc!$E$262),"yyyy-mm-dd"),""))</f>
        <v/>
      </c>
      <c r="E260" s="44">
        <f>IF(_calc!$E$262="","",IF(LEN(INDEX('Assets'!$O$4:$O$503,_calc!$E$262))=0,"",INDEX('Assets'!$O$4:$O$503,_calc!$E$262)))</f>
        <v/>
      </c>
      <c r="F260" s="44">
        <f>IF(_calc!$E$262="","",TRIM(IF(LEN(IF(LEN(INDEX('Assets'!$B$4:$B$503,_calc!$E$262))=0,"",INDEX('Assets'!$B$4:$B$503,_calc!$E$262)))=0,"","Asset ID: "&amp;IF(LEN(INDEX('Assets'!$B$4:$B$503,_calc!$E$262))=0,"",INDEX('Assets'!$B$4:$B$503,_calc!$E$262))&amp;". ")&amp;IF(LEN(IF(LEN(INDEX('Assets'!$C$4:$C$503,_calc!$E$262))=0,"",INDEX('Assets'!$C$4:$C$503,_calc!$E$262)))=0,"","Location: "&amp;IF(LEN(INDEX('Assets'!$C$4:$C$503,_calc!$E$262))=0,"",INDEX('Assets'!$C$4:$C$503,_calc!$E$262))&amp;". ")&amp;IF(LEN(IF(LEN(INDEX('Assets'!$E$4:$E$503,_calc!$E$262))=0,"",INDEX('Assets'!$E$4:$E$503,_calc!$E$262)))=0,"","Every (months): "&amp;IF(LEN(INDEX('Assets'!$E$4:$E$503,_calc!$E$262))=0,"",INDEX('Assets'!$E$4:$E$503,_calc!$E$262))&amp;". ")&amp;IF(LEN(IF(LEN(INDEX('Assets'!$M$4:$M$503,_calc!$E$262))=0,"",INDEX('Assets'!$M$4:$M$503,_calc!$E$262)))=0,"","Last result: "&amp;IF(LEN(INDEX('Assets'!$M$4:$M$503,_calc!$E$262))=0,"",INDEX('Assets'!$M$4:$M$503,_calc!$E$262))&amp;". ")&amp;IF(LEN(IF(LEN(INDEX('Assets'!$Q$4:$Q$503,_calc!$E$262))=0,"",INDEX('Assets'!$Q$4:$Q$503,_calc!$E$262)))=0,"",IF(LEN(INDEX('Assets'!$Q$4:$Q$503,_calc!$E$262))=0,"",INDEX('Assets'!$Q$4:$Q$503,_calc!$E$262)))))</f>
        <v/>
      </c>
      <c r="G260" s="44">
        <f>IF(_calc!$E$262="","",IF(LEN(INDEX('Assets'!$P$4:$P$503,_calc!$E$262))=0,"",INDEX('Assets'!$P$4:$P$503,_calc!$E$262)))</f>
        <v/>
      </c>
      <c r="K260" s="44">
        <f>IF(_calc!$E$262="","",IF(LEN(INDEX('Assets'!$N$4:$N$503,_calc!$E$262))=0,"",INDEX('Assets'!$N$4:$N$503,_calc!$E$262)))</f>
        <v/>
      </c>
    </row>
    <row r="261">
      <c r="A261" s="44">
        <f>IF(_calc!$E$263="","",IF(LEN(INDEX('Assets'!$D$4:$D$503,_calc!$E$263))=0,"",INDEX('Assets'!$D$4:$D$503,_calc!$E$263))&amp;" – "&amp;IF(LEN(INDEX('Assets'!$A$4:$A$503,_calc!$E$263))=0,"",INDEX('Assets'!$A$4:$A$503,_calc!$E$263)))</f>
        <v/>
      </c>
      <c r="B261" s="44">
        <f>IF(_calc!$E$263="","",IF(ISNUMBER(INDEX('Assets'!$G$4:$G$503,_calc!$E$263)),TEXT(INDEX('Assets'!$G$4:$G$503,_calc!$E$263),"yyyy-mm-dd"),""))</f>
        <v/>
      </c>
      <c r="C261" s="44">
        <f>IF(_calc!$E$263="","","Inspection")</f>
        <v/>
      </c>
      <c r="D261" s="44">
        <f>IF(_calc!$E$263="","",IF(ISNUMBER(INDEX('Assets'!$F$4:$F$503,_calc!$E$263)),TEXT(INDEX('Assets'!$F$4:$F$503,_calc!$E$263),"yyyy-mm-dd"),""))</f>
        <v/>
      </c>
      <c r="E261" s="44">
        <f>IF(_calc!$E$263="","",IF(LEN(INDEX('Assets'!$O$4:$O$503,_calc!$E$263))=0,"",INDEX('Assets'!$O$4:$O$503,_calc!$E$263)))</f>
        <v/>
      </c>
      <c r="F261" s="44">
        <f>IF(_calc!$E$263="","",TRIM(IF(LEN(IF(LEN(INDEX('Assets'!$B$4:$B$503,_calc!$E$263))=0,"",INDEX('Assets'!$B$4:$B$503,_calc!$E$263)))=0,"","Asset ID: "&amp;IF(LEN(INDEX('Assets'!$B$4:$B$503,_calc!$E$263))=0,"",INDEX('Assets'!$B$4:$B$503,_calc!$E$263))&amp;". ")&amp;IF(LEN(IF(LEN(INDEX('Assets'!$C$4:$C$503,_calc!$E$263))=0,"",INDEX('Assets'!$C$4:$C$503,_calc!$E$263)))=0,"","Location: "&amp;IF(LEN(INDEX('Assets'!$C$4:$C$503,_calc!$E$263))=0,"",INDEX('Assets'!$C$4:$C$503,_calc!$E$263))&amp;". ")&amp;IF(LEN(IF(LEN(INDEX('Assets'!$E$4:$E$503,_calc!$E$263))=0,"",INDEX('Assets'!$E$4:$E$503,_calc!$E$263)))=0,"","Every (months): "&amp;IF(LEN(INDEX('Assets'!$E$4:$E$503,_calc!$E$263))=0,"",INDEX('Assets'!$E$4:$E$503,_calc!$E$263))&amp;". ")&amp;IF(LEN(IF(LEN(INDEX('Assets'!$M$4:$M$503,_calc!$E$263))=0,"",INDEX('Assets'!$M$4:$M$503,_calc!$E$263)))=0,"","Last result: "&amp;IF(LEN(INDEX('Assets'!$M$4:$M$503,_calc!$E$263))=0,"",INDEX('Assets'!$M$4:$M$503,_calc!$E$263))&amp;". ")&amp;IF(LEN(IF(LEN(INDEX('Assets'!$Q$4:$Q$503,_calc!$E$263))=0,"",INDEX('Assets'!$Q$4:$Q$503,_calc!$E$263)))=0,"",IF(LEN(INDEX('Assets'!$Q$4:$Q$503,_calc!$E$263))=0,"",INDEX('Assets'!$Q$4:$Q$503,_calc!$E$263)))))</f>
        <v/>
      </c>
      <c r="G261" s="44">
        <f>IF(_calc!$E$263="","",IF(LEN(INDEX('Assets'!$P$4:$P$503,_calc!$E$263))=0,"",INDEX('Assets'!$P$4:$P$503,_calc!$E$263)))</f>
        <v/>
      </c>
      <c r="K261" s="44">
        <f>IF(_calc!$E$263="","",IF(LEN(INDEX('Assets'!$N$4:$N$503,_calc!$E$263))=0,"",INDEX('Assets'!$N$4:$N$503,_calc!$E$263)))</f>
        <v/>
      </c>
    </row>
    <row r="262">
      <c r="A262" s="44">
        <f>IF(_calc!$E$264="","",IF(LEN(INDEX('Assets'!$D$4:$D$503,_calc!$E$264))=0,"",INDEX('Assets'!$D$4:$D$503,_calc!$E$264))&amp;" – "&amp;IF(LEN(INDEX('Assets'!$A$4:$A$503,_calc!$E$264))=0,"",INDEX('Assets'!$A$4:$A$503,_calc!$E$264)))</f>
        <v/>
      </c>
      <c r="B262" s="44">
        <f>IF(_calc!$E$264="","",IF(ISNUMBER(INDEX('Assets'!$G$4:$G$503,_calc!$E$264)),TEXT(INDEX('Assets'!$G$4:$G$503,_calc!$E$264),"yyyy-mm-dd"),""))</f>
        <v/>
      </c>
      <c r="C262" s="44">
        <f>IF(_calc!$E$264="","","Inspection")</f>
        <v/>
      </c>
      <c r="D262" s="44">
        <f>IF(_calc!$E$264="","",IF(ISNUMBER(INDEX('Assets'!$F$4:$F$503,_calc!$E$264)),TEXT(INDEX('Assets'!$F$4:$F$503,_calc!$E$264),"yyyy-mm-dd"),""))</f>
        <v/>
      </c>
      <c r="E262" s="44">
        <f>IF(_calc!$E$264="","",IF(LEN(INDEX('Assets'!$O$4:$O$503,_calc!$E$264))=0,"",INDEX('Assets'!$O$4:$O$503,_calc!$E$264)))</f>
        <v/>
      </c>
      <c r="F262" s="44">
        <f>IF(_calc!$E$264="","",TRIM(IF(LEN(IF(LEN(INDEX('Assets'!$B$4:$B$503,_calc!$E$264))=0,"",INDEX('Assets'!$B$4:$B$503,_calc!$E$264)))=0,"","Asset ID: "&amp;IF(LEN(INDEX('Assets'!$B$4:$B$503,_calc!$E$264))=0,"",INDEX('Assets'!$B$4:$B$503,_calc!$E$264))&amp;". ")&amp;IF(LEN(IF(LEN(INDEX('Assets'!$C$4:$C$503,_calc!$E$264))=0,"",INDEX('Assets'!$C$4:$C$503,_calc!$E$264)))=0,"","Location: "&amp;IF(LEN(INDEX('Assets'!$C$4:$C$503,_calc!$E$264))=0,"",INDEX('Assets'!$C$4:$C$503,_calc!$E$264))&amp;". ")&amp;IF(LEN(IF(LEN(INDEX('Assets'!$E$4:$E$503,_calc!$E$264))=0,"",INDEX('Assets'!$E$4:$E$503,_calc!$E$264)))=0,"","Every (months): "&amp;IF(LEN(INDEX('Assets'!$E$4:$E$503,_calc!$E$264))=0,"",INDEX('Assets'!$E$4:$E$503,_calc!$E$264))&amp;". ")&amp;IF(LEN(IF(LEN(INDEX('Assets'!$M$4:$M$503,_calc!$E$264))=0,"",INDEX('Assets'!$M$4:$M$503,_calc!$E$264)))=0,"","Last result: "&amp;IF(LEN(INDEX('Assets'!$M$4:$M$503,_calc!$E$264))=0,"",INDEX('Assets'!$M$4:$M$503,_calc!$E$264))&amp;". ")&amp;IF(LEN(IF(LEN(INDEX('Assets'!$Q$4:$Q$503,_calc!$E$264))=0,"",INDEX('Assets'!$Q$4:$Q$503,_calc!$E$264)))=0,"",IF(LEN(INDEX('Assets'!$Q$4:$Q$503,_calc!$E$264))=0,"",INDEX('Assets'!$Q$4:$Q$503,_calc!$E$264)))))</f>
        <v/>
      </c>
      <c r="G262" s="44">
        <f>IF(_calc!$E$264="","",IF(LEN(INDEX('Assets'!$P$4:$P$503,_calc!$E$264))=0,"",INDEX('Assets'!$P$4:$P$503,_calc!$E$264)))</f>
        <v/>
      </c>
      <c r="K262" s="44">
        <f>IF(_calc!$E$264="","",IF(LEN(INDEX('Assets'!$N$4:$N$503,_calc!$E$264))=0,"",INDEX('Assets'!$N$4:$N$503,_calc!$E$264)))</f>
        <v/>
      </c>
    </row>
    <row r="263">
      <c r="A263" s="44">
        <f>IF(_calc!$E$265="","",IF(LEN(INDEX('Assets'!$D$4:$D$503,_calc!$E$265))=0,"",INDEX('Assets'!$D$4:$D$503,_calc!$E$265))&amp;" – "&amp;IF(LEN(INDEX('Assets'!$A$4:$A$503,_calc!$E$265))=0,"",INDEX('Assets'!$A$4:$A$503,_calc!$E$265)))</f>
        <v/>
      </c>
      <c r="B263" s="44">
        <f>IF(_calc!$E$265="","",IF(ISNUMBER(INDEX('Assets'!$G$4:$G$503,_calc!$E$265)),TEXT(INDEX('Assets'!$G$4:$G$503,_calc!$E$265),"yyyy-mm-dd"),""))</f>
        <v/>
      </c>
      <c r="C263" s="44">
        <f>IF(_calc!$E$265="","","Inspection")</f>
        <v/>
      </c>
      <c r="D263" s="44">
        <f>IF(_calc!$E$265="","",IF(ISNUMBER(INDEX('Assets'!$F$4:$F$503,_calc!$E$265)),TEXT(INDEX('Assets'!$F$4:$F$503,_calc!$E$265),"yyyy-mm-dd"),""))</f>
        <v/>
      </c>
      <c r="E263" s="44">
        <f>IF(_calc!$E$265="","",IF(LEN(INDEX('Assets'!$O$4:$O$503,_calc!$E$265))=0,"",INDEX('Assets'!$O$4:$O$503,_calc!$E$265)))</f>
        <v/>
      </c>
      <c r="F263" s="44">
        <f>IF(_calc!$E$265="","",TRIM(IF(LEN(IF(LEN(INDEX('Assets'!$B$4:$B$503,_calc!$E$265))=0,"",INDEX('Assets'!$B$4:$B$503,_calc!$E$265)))=0,"","Asset ID: "&amp;IF(LEN(INDEX('Assets'!$B$4:$B$503,_calc!$E$265))=0,"",INDEX('Assets'!$B$4:$B$503,_calc!$E$265))&amp;". ")&amp;IF(LEN(IF(LEN(INDEX('Assets'!$C$4:$C$503,_calc!$E$265))=0,"",INDEX('Assets'!$C$4:$C$503,_calc!$E$265)))=0,"","Location: "&amp;IF(LEN(INDEX('Assets'!$C$4:$C$503,_calc!$E$265))=0,"",INDEX('Assets'!$C$4:$C$503,_calc!$E$265))&amp;". ")&amp;IF(LEN(IF(LEN(INDEX('Assets'!$E$4:$E$503,_calc!$E$265))=0,"",INDEX('Assets'!$E$4:$E$503,_calc!$E$265)))=0,"","Every (months): "&amp;IF(LEN(INDEX('Assets'!$E$4:$E$503,_calc!$E$265))=0,"",INDEX('Assets'!$E$4:$E$503,_calc!$E$265))&amp;". ")&amp;IF(LEN(IF(LEN(INDEX('Assets'!$M$4:$M$503,_calc!$E$265))=0,"",INDEX('Assets'!$M$4:$M$503,_calc!$E$265)))=0,"","Last result: "&amp;IF(LEN(INDEX('Assets'!$M$4:$M$503,_calc!$E$265))=0,"",INDEX('Assets'!$M$4:$M$503,_calc!$E$265))&amp;". ")&amp;IF(LEN(IF(LEN(INDEX('Assets'!$Q$4:$Q$503,_calc!$E$265))=0,"",INDEX('Assets'!$Q$4:$Q$503,_calc!$E$265)))=0,"",IF(LEN(INDEX('Assets'!$Q$4:$Q$503,_calc!$E$265))=0,"",INDEX('Assets'!$Q$4:$Q$503,_calc!$E$265)))))</f>
        <v/>
      </c>
      <c r="G263" s="44">
        <f>IF(_calc!$E$265="","",IF(LEN(INDEX('Assets'!$P$4:$P$503,_calc!$E$265))=0,"",INDEX('Assets'!$P$4:$P$503,_calc!$E$265)))</f>
        <v/>
      </c>
      <c r="K263" s="44">
        <f>IF(_calc!$E$265="","",IF(LEN(INDEX('Assets'!$N$4:$N$503,_calc!$E$265))=0,"",INDEX('Assets'!$N$4:$N$503,_calc!$E$265)))</f>
        <v/>
      </c>
    </row>
    <row r="264">
      <c r="A264" s="44">
        <f>IF(_calc!$E$266="","",IF(LEN(INDEX('Assets'!$D$4:$D$503,_calc!$E$266))=0,"",INDEX('Assets'!$D$4:$D$503,_calc!$E$266))&amp;" – "&amp;IF(LEN(INDEX('Assets'!$A$4:$A$503,_calc!$E$266))=0,"",INDEX('Assets'!$A$4:$A$503,_calc!$E$266)))</f>
        <v/>
      </c>
      <c r="B264" s="44">
        <f>IF(_calc!$E$266="","",IF(ISNUMBER(INDEX('Assets'!$G$4:$G$503,_calc!$E$266)),TEXT(INDEX('Assets'!$G$4:$G$503,_calc!$E$266),"yyyy-mm-dd"),""))</f>
        <v/>
      </c>
      <c r="C264" s="44">
        <f>IF(_calc!$E$266="","","Inspection")</f>
        <v/>
      </c>
      <c r="D264" s="44">
        <f>IF(_calc!$E$266="","",IF(ISNUMBER(INDEX('Assets'!$F$4:$F$503,_calc!$E$266)),TEXT(INDEX('Assets'!$F$4:$F$503,_calc!$E$266),"yyyy-mm-dd"),""))</f>
        <v/>
      </c>
      <c r="E264" s="44">
        <f>IF(_calc!$E$266="","",IF(LEN(INDEX('Assets'!$O$4:$O$503,_calc!$E$266))=0,"",INDEX('Assets'!$O$4:$O$503,_calc!$E$266)))</f>
        <v/>
      </c>
      <c r="F264" s="44">
        <f>IF(_calc!$E$266="","",TRIM(IF(LEN(IF(LEN(INDEX('Assets'!$B$4:$B$503,_calc!$E$266))=0,"",INDEX('Assets'!$B$4:$B$503,_calc!$E$266)))=0,"","Asset ID: "&amp;IF(LEN(INDEX('Assets'!$B$4:$B$503,_calc!$E$266))=0,"",INDEX('Assets'!$B$4:$B$503,_calc!$E$266))&amp;". ")&amp;IF(LEN(IF(LEN(INDEX('Assets'!$C$4:$C$503,_calc!$E$266))=0,"",INDEX('Assets'!$C$4:$C$503,_calc!$E$266)))=0,"","Location: "&amp;IF(LEN(INDEX('Assets'!$C$4:$C$503,_calc!$E$266))=0,"",INDEX('Assets'!$C$4:$C$503,_calc!$E$266))&amp;". ")&amp;IF(LEN(IF(LEN(INDEX('Assets'!$E$4:$E$503,_calc!$E$266))=0,"",INDEX('Assets'!$E$4:$E$503,_calc!$E$266)))=0,"","Every (months): "&amp;IF(LEN(INDEX('Assets'!$E$4:$E$503,_calc!$E$266))=0,"",INDEX('Assets'!$E$4:$E$503,_calc!$E$266))&amp;". ")&amp;IF(LEN(IF(LEN(INDEX('Assets'!$M$4:$M$503,_calc!$E$266))=0,"",INDEX('Assets'!$M$4:$M$503,_calc!$E$266)))=0,"","Last result: "&amp;IF(LEN(INDEX('Assets'!$M$4:$M$503,_calc!$E$266))=0,"",INDEX('Assets'!$M$4:$M$503,_calc!$E$266))&amp;". ")&amp;IF(LEN(IF(LEN(INDEX('Assets'!$Q$4:$Q$503,_calc!$E$266))=0,"",INDEX('Assets'!$Q$4:$Q$503,_calc!$E$266)))=0,"",IF(LEN(INDEX('Assets'!$Q$4:$Q$503,_calc!$E$266))=0,"",INDEX('Assets'!$Q$4:$Q$503,_calc!$E$266)))))</f>
        <v/>
      </c>
      <c r="G264" s="44">
        <f>IF(_calc!$E$266="","",IF(LEN(INDEX('Assets'!$P$4:$P$503,_calc!$E$266))=0,"",INDEX('Assets'!$P$4:$P$503,_calc!$E$266)))</f>
        <v/>
      </c>
      <c r="K264" s="44">
        <f>IF(_calc!$E$266="","",IF(LEN(INDEX('Assets'!$N$4:$N$503,_calc!$E$266))=0,"",INDEX('Assets'!$N$4:$N$503,_calc!$E$266)))</f>
        <v/>
      </c>
    </row>
    <row r="265">
      <c r="A265" s="44">
        <f>IF(_calc!$E$267="","",IF(LEN(INDEX('Assets'!$D$4:$D$503,_calc!$E$267))=0,"",INDEX('Assets'!$D$4:$D$503,_calc!$E$267))&amp;" – "&amp;IF(LEN(INDEX('Assets'!$A$4:$A$503,_calc!$E$267))=0,"",INDEX('Assets'!$A$4:$A$503,_calc!$E$267)))</f>
        <v/>
      </c>
      <c r="B265" s="44">
        <f>IF(_calc!$E$267="","",IF(ISNUMBER(INDEX('Assets'!$G$4:$G$503,_calc!$E$267)),TEXT(INDEX('Assets'!$G$4:$G$503,_calc!$E$267),"yyyy-mm-dd"),""))</f>
        <v/>
      </c>
      <c r="C265" s="44">
        <f>IF(_calc!$E$267="","","Inspection")</f>
        <v/>
      </c>
      <c r="D265" s="44">
        <f>IF(_calc!$E$267="","",IF(ISNUMBER(INDEX('Assets'!$F$4:$F$503,_calc!$E$267)),TEXT(INDEX('Assets'!$F$4:$F$503,_calc!$E$267),"yyyy-mm-dd"),""))</f>
        <v/>
      </c>
      <c r="E265" s="44">
        <f>IF(_calc!$E$267="","",IF(LEN(INDEX('Assets'!$O$4:$O$503,_calc!$E$267))=0,"",INDEX('Assets'!$O$4:$O$503,_calc!$E$267)))</f>
        <v/>
      </c>
      <c r="F265" s="44">
        <f>IF(_calc!$E$267="","",TRIM(IF(LEN(IF(LEN(INDEX('Assets'!$B$4:$B$503,_calc!$E$267))=0,"",INDEX('Assets'!$B$4:$B$503,_calc!$E$267)))=0,"","Asset ID: "&amp;IF(LEN(INDEX('Assets'!$B$4:$B$503,_calc!$E$267))=0,"",INDEX('Assets'!$B$4:$B$503,_calc!$E$267))&amp;". ")&amp;IF(LEN(IF(LEN(INDEX('Assets'!$C$4:$C$503,_calc!$E$267))=0,"",INDEX('Assets'!$C$4:$C$503,_calc!$E$267)))=0,"","Location: "&amp;IF(LEN(INDEX('Assets'!$C$4:$C$503,_calc!$E$267))=0,"",INDEX('Assets'!$C$4:$C$503,_calc!$E$267))&amp;". ")&amp;IF(LEN(IF(LEN(INDEX('Assets'!$E$4:$E$503,_calc!$E$267))=0,"",INDEX('Assets'!$E$4:$E$503,_calc!$E$267)))=0,"","Every (months): "&amp;IF(LEN(INDEX('Assets'!$E$4:$E$503,_calc!$E$267))=0,"",INDEX('Assets'!$E$4:$E$503,_calc!$E$267))&amp;". ")&amp;IF(LEN(IF(LEN(INDEX('Assets'!$M$4:$M$503,_calc!$E$267))=0,"",INDEX('Assets'!$M$4:$M$503,_calc!$E$267)))=0,"","Last result: "&amp;IF(LEN(INDEX('Assets'!$M$4:$M$503,_calc!$E$267))=0,"",INDEX('Assets'!$M$4:$M$503,_calc!$E$267))&amp;". ")&amp;IF(LEN(IF(LEN(INDEX('Assets'!$Q$4:$Q$503,_calc!$E$267))=0,"",INDEX('Assets'!$Q$4:$Q$503,_calc!$E$267)))=0,"",IF(LEN(INDEX('Assets'!$Q$4:$Q$503,_calc!$E$267))=0,"",INDEX('Assets'!$Q$4:$Q$503,_calc!$E$267)))))</f>
        <v/>
      </c>
      <c r="G265" s="44">
        <f>IF(_calc!$E$267="","",IF(LEN(INDEX('Assets'!$P$4:$P$503,_calc!$E$267))=0,"",INDEX('Assets'!$P$4:$P$503,_calc!$E$267)))</f>
        <v/>
      </c>
      <c r="K265" s="44">
        <f>IF(_calc!$E$267="","",IF(LEN(INDEX('Assets'!$N$4:$N$503,_calc!$E$267))=0,"",INDEX('Assets'!$N$4:$N$503,_calc!$E$267)))</f>
        <v/>
      </c>
    </row>
    <row r="266">
      <c r="A266" s="44">
        <f>IF(_calc!$E$268="","",IF(LEN(INDEX('Assets'!$D$4:$D$503,_calc!$E$268))=0,"",INDEX('Assets'!$D$4:$D$503,_calc!$E$268))&amp;" – "&amp;IF(LEN(INDEX('Assets'!$A$4:$A$503,_calc!$E$268))=0,"",INDEX('Assets'!$A$4:$A$503,_calc!$E$268)))</f>
        <v/>
      </c>
      <c r="B266" s="44">
        <f>IF(_calc!$E$268="","",IF(ISNUMBER(INDEX('Assets'!$G$4:$G$503,_calc!$E$268)),TEXT(INDEX('Assets'!$G$4:$G$503,_calc!$E$268),"yyyy-mm-dd"),""))</f>
        <v/>
      </c>
      <c r="C266" s="44">
        <f>IF(_calc!$E$268="","","Inspection")</f>
        <v/>
      </c>
      <c r="D266" s="44">
        <f>IF(_calc!$E$268="","",IF(ISNUMBER(INDEX('Assets'!$F$4:$F$503,_calc!$E$268)),TEXT(INDEX('Assets'!$F$4:$F$503,_calc!$E$268),"yyyy-mm-dd"),""))</f>
        <v/>
      </c>
      <c r="E266" s="44">
        <f>IF(_calc!$E$268="","",IF(LEN(INDEX('Assets'!$O$4:$O$503,_calc!$E$268))=0,"",INDEX('Assets'!$O$4:$O$503,_calc!$E$268)))</f>
        <v/>
      </c>
      <c r="F266" s="44">
        <f>IF(_calc!$E$268="","",TRIM(IF(LEN(IF(LEN(INDEX('Assets'!$B$4:$B$503,_calc!$E$268))=0,"",INDEX('Assets'!$B$4:$B$503,_calc!$E$268)))=0,"","Asset ID: "&amp;IF(LEN(INDEX('Assets'!$B$4:$B$503,_calc!$E$268))=0,"",INDEX('Assets'!$B$4:$B$503,_calc!$E$268))&amp;". ")&amp;IF(LEN(IF(LEN(INDEX('Assets'!$C$4:$C$503,_calc!$E$268))=0,"",INDEX('Assets'!$C$4:$C$503,_calc!$E$268)))=0,"","Location: "&amp;IF(LEN(INDEX('Assets'!$C$4:$C$503,_calc!$E$268))=0,"",INDEX('Assets'!$C$4:$C$503,_calc!$E$268))&amp;". ")&amp;IF(LEN(IF(LEN(INDEX('Assets'!$E$4:$E$503,_calc!$E$268))=0,"",INDEX('Assets'!$E$4:$E$503,_calc!$E$268)))=0,"","Every (months): "&amp;IF(LEN(INDEX('Assets'!$E$4:$E$503,_calc!$E$268))=0,"",INDEX('Assets'!$E$4:$E$503,_calc!$E$268))&amp;". ")&amp;IF(LEN(IF(LEN(INDEX('Assets'!$M$4:$M$503,_calc!$E$268))=0,"",INDEX('Assets'!$M$4:$M$503,_calc!$E$268)))=0,"","Last result: "&amp;IF(LEN(INDEX('Assets'!$M$4:$M$503,_calc!$E$268))=0,"",INDEX('Assets'!$M$4:$M$503,_calc!$E$268))&amp;". ")&amp;IF(LEN(IF(LEN(INDEX('Assets'!$Q$4:$Q$503,_calc!$E$268))=0,"",INDEX('Assets'!$Q$4:$Q$503,_calc!$E$268)))=0,"",IF(LEN(INDEX('Assets'!$Q$4:$Q$503,_calc!$E$268))=0,"",INDEX('Assets'!$Q$4:$Q$503,_calc!$E$268)))))</f>
        <v/>
      </c>
      <c r="G266" s="44">
        <f>IF(_calc!$E$268="","",IF(LEN(INDEX('Assets'!$P$4:$P$503,_calc!$E$268))=0,"",INDEX('Assets'!$P$4:$P$503,_calc!$E$268)))</f>
        <v/>
      </c>
      <c r="K266" s="44">
        <f>IF(_calc!$E$268="","",IF(LEN(INDEX('Assets'!$N$4:$N$503,_calc!$E$268))=0,"",INDEX('Assets'!$N$4:$N$503,_calc!$E$268)))</f>
        <v/>
      </c>
    </row>
    <row r="267">
      <c r="A267" s="44">
        <f>IF(_calc!$E$269="","",IF(LEN(INDEX('Assets'!$D$4:$D$503,_calc!$E$269))=0,"",INDEX('Assets'!$D$4:$D$503,_calc!$E$269))&amp;" – "&amp;IF(LEN(INDEX('Assets'!$A$4:$A$503,_calc!$E$269))=0,"",INDEX('Assets'!$A$4:$A$503,_calc!$E$269)))</f>
        <v/>
      </c>
      <c r="B267" s="44">
        <f>IF(_calc!$E$269="","",IF(ISNUMBER(INDEX('Assets'!$G$4:$G$503,_calc!$E$269)),TEXT(INDEX('Assets'!$G$4:$G$503,_calc!$E$269),"yyyy-mm-dd"),""))</f>
        <v/>
      </c>
      <c r="C267" s="44">
        <f>IF(_calc!$E$269="","","Inspection")</f>
        <v/>
      </c>
      <c r="D267" s="44">
        <f>IF(_calc!$E$269="","",IF(ISNUMBER(INDEX('Assets'!$F$4:$F$503,_calc!$E$269)),TEXT(INDEX('Assets'!$F$4:$F$503,_calc!$E$269),"yyyy-mm-dd"),""))</f>
        <v/>
      </c>
      <c r="E267" s="44">
        <f>IF(_calc!$E$269="","",IF(LEN(INDEX('Assets'!$O$4:$O$503,_calc!$E$269))=0,"",INDEX('Assets'!$O$4:$O$503,_calc!$E$269)))</f>
        <v/>
      </c>
      <c r="F267" s="44">
        <f>IF(_calc!$E$269="","",TRIM(IF(LEN(IF(LEN(INDEX('Assets'!$B$4:$B$503,_calc!$E$269))=0,"",INDEX('Assets'!$B$4:$B$503,_calc!$E$269)))=0,"","Asset ID: "&amp;IF(LEN(INDEX('Assets'!$B$4:$B$503,_calc!$E$269))=0,"",INDEX('Assets'!$B$4:$B$503,_calc!$E$269))&amp;". ")&amp;IF(LEN(IF(LEN(INDEX('Assets'!$C$4:$C$503,_calc!$E$269))=0,"",INDEX('Assets'!$C$4:$C$503,_calc!$E$269)))=0,"","Location: "&amp;IF(LEN(INDEX('Assets'!$C$4:$C$503,_calc!$E$269))=0,"",INDEX('Assets'!$C$4:$C$503,_calc!$E$269))&amp;". ")&amp;IF(LEN(IF(LEN(INDEX('Assets'!$E$4:$E$503,_calc!$E$269))=0,"",INDEX('Assets'!$E$4:$E$503,_calc!$E$269)))=0,"","Every (months): "&amp;IF(LEN(INDEX('Assets'!$E$4:$E$503,_calc!$E$269))=0,"",INDEX('Assets'!$E$4:$E$503,_calc!$E$269))&amp;". ")&amp;IF(LEN(IF(LEN(INDEX('Assets'!$M$4:$M$503,_calc!$E$269))=0,"",INDEX('Assets'!$M$4:$M$503,_calc!$E$269)))=0,"","Last result: "&amp;IF(LEN(INDEX('Assets'!$M$4:$M$503,_calc!$E$269))=0,"",INDEX('Assets'!$M$4:$M$503,_calc!$E$269))&amp;". ")&amp;IF(LEN(IF(LEN(INDEX('Assets'!$Q$4:$Q$503,_calc!$E$269))=0,"",INDEX('Assets'!$Q$4:$Q$503,_calc!$E$269)))=0,"",IF(LEN(INDEX('Assets'!$Q$4:$Q$503,_calc!$E$269))=0,"",INDEX('Assets'!$Q$4:$Q$503,_calc!$E$269)))))</f>
        <v/>
      </c>
      <c r="G267" s="44">
        <f>IF(_calc!$E$269="","",IF(LEN(INDEX('Assets'!$P$4:$P$503,_calc!$E$269))=0,"",INDEX('Assets'!$P$4:$P$503,_calc!$E$269)))</f>
        <v/>
      </c>
      <c r="K267" s="44">
        <f>IF(_calc!$E$269="","",IF(LEN(INDEX('Assets'!$N$4:$N$503,_calc!$E$269))=0,"",INDEX('Assets'!$N$4:$N$503,_calc!$E$269)))</f>
        <v/>
      </c>
    </row>
    <row r="268">
      <c r="A268" s="44">
        <f>IF(_calc!$E$270="","",IF(LEN(INDEX('Assets'!$D$4:$D$503,_calc!$E$270))=0,"",INDEX('Assets'!$D$4:$D$503,_calc!$E$270))&amp;" – "&amp;IF(LEN(INDEX('Assets'!$A$4:$A$503,_calc!$E$270))=0,"",INDEX('Assets'!$A$4:$A$503,_calc!$E$270)))</f>
        <v/>
      </c>
      <c r="B268" s="44">
        <f>IF(_calc!$E$270="","",IF(ISNUMBER(INDEX('Assets'!$G$4:$G$503,_calc!$E$270)),TEXT(INDEX('Assets'!$G$4:$G$503,_calc!$E$270),"yyyy-mm-dd"),""))</f>
        <v/>
      </c>
      <c r="C268" s="44">
        <f>IF(_calc!$E$270="","","Inspection")</f>
        <v/>
      </c>
      <c r="D268" s="44">
        <f>IF(_calc!$E$270="","",IF(ISNUMBER(INDEX('Assets'!$F$4:$F$503,_calc!$E$270)),TEXT(INDEX('Assets'!$F$4:$F$503,_calc!$E$270),"yyyy-mm-dd"),""))</f>
        <v/>
      </c>
      <c r="E268" s="44">
        <f>IF(_calc!$E$270="","",IF(LEN(INDEX('Assets'!$O$4:$O$503,_calc!$E$270))=0,"",INDEX('Assets'!$O$4:$O$503,_calc!$E$270)))</f>
        <v/>
      </c>
      <c r="F268" s="44">
        <f>IF(_calc!$E$270="","",TRIM(IF(LEN(IF(LEN(INDEX('Assets'!$B$4:$B$503,_calc!$E$270))=0,"",INDEX('Assets'!$B$4:$B$503,_calc!$E$270)))=0,"","Asset ID: "&amp;IF(LEN(INDEX('Assets'!$B$4:$B$503,_calc!$E$270))=0,"",INDEX('Assets'!$B$4:$B$503,_calc!$E$270))&amp;". ")&amp;IF(LEN(IF(LEN(INDEX('Assets'!$C$4:$C$503,_calc!$E$270))=0,"",INDEX('Assets'!$C$4:$C$503,_calc!$E$270)))=0,"","Location: "&amp;IF(LEN(INDEX('Assets'!$C$4:$C$503,_calc!$E$270))=0,"",INDEX('Assets'!$C$4:$C$503,_calc!$E$270))&amp;". ")&amp;IF(LEN(IF(LEN(INDEX('Assets'!$E$4:$E$503,_calc!$E$270))=0,"",INDEX('Assets'!$E$4:$E$503,_calc!$E$270)))=0,"","Every (months): "&amp;IF(LEN(INDEX('Assets'!$E$4:$E$503,_calc!$E$270))=0,"",INDEX('Assets'!$E$4:$E$503,_calc!$E$270))&amp;". ")&amp;IF(LEN(IF(LEN(INDEX('Assets'!$M$4:$M$503,_calc!$E$270))=0,"",INDEX('Assets'!$M$4:$M$503,_calc!$E$270)))=0,"","Last result: "&amp;IF(LEN(INDEX('Assets'!$M$4:$M$503,_calc!$E$270))=0,"",INDEX('Assets'!$M$4:$M$503,_calc!$E$270))&amp;". ")&amp;IF(LEN(IF(LEN(INDEX('Assets'!$Q$4:$Q$503,_calc!$E$270))=0,"",INDEX('Assets'!$Q$4:$Q$503,_calc!$E$270)))=0,"",IF(LEN(INDEX('Assets'!$Q$4:$Q$503,_calc!$E$270))=0,"",INDEX('Assets'!$Q$4:$Q$503,_calc!$E$270)))))</f>
        <v/>
      </c>
      <c r="G268" s="44">
        <f>IF(_calc!$E$270="","",IF(LEN(INDEX('Assets'!$P$4:$P$503,_calc!$E$270))=0,"",INDEX('Assets'!$P$4:$P$503,_calc!$E$270)))</f>
        <v/>
      </c>
      <c r="K268" s="44">
        <f>IF(_calc!$E$270="","",IF(LEN(INDEX('Assets'!$N$4:$N$503,_calc!$E$270))=0,"",INDEX('Assets'!$N$4:$N$503,_calc!$E$270)))</f>
        <v/>
      </c>
    </row>
    <row r="269">
      <c r="A269" s="44">
        <f>IF(_calc!$E$271="","",IF(LEN(INDEX('Assets'!$D$4:$D$503,_calc!$E$271))=0,"",INDEX('Assets'!$D$4:$D$503,_calc!$E$271))&amp;" – "&amp;IF(LEN(INDEX('Assets'!$A$4:$A$503,_calc!$E$271))=0,"",INDEX('Assets'!$A$4:$A$503,_calc!$E$271)))</f>
        <v/>
      </c>
      <c r="B269" s="44">
        <f>IF(_calc!$E$271="","",IF(ISNUMBER(INDEX('Assets'!$G$4:$G$503,_calc!$E$271)),TEXT(INDEX('Assets'!$G$4:$G$503,_calc!$E$271),"yyyy-mm-dd"),""))</f>
        <v/>
      </c>
      <c r="C269" s="44">
        <f>IF(_calc!$E$271="","","Inspection")</f>
        <v/>
      </c>
      <c r="D269" s="44">
        <f>IF(_calc!$E$271="","",IF(ISNUMBER(INDEX('Assets'!$F$4:$F$503,_calc!$E$271)),TEXT(INDEX('Assets'!$F$4:$F$503,_calc!$E$271),"yyyy-mm-dd"),""))</f>
        <v/>
      </c>
      <c r="E269" s="44">
        <f>IF(_calc!$E$271="","",IF(LEN(INDEX('Assets'!$O$4:$O$503,_calc!$E$271))=0,"",INDEX('Assets'!$O$4:$O$503,_calc!$E$271)))</f>
        <v/>
      </c>
      <c r="F269" s="44">
        <f>IF(_calc!$E$271="","",TRIM(IF(LEN(IF(LEN(INDEX('Assets'!$B$4:$B$503,_calc!$E$271))=0,"",INDEX('Assets'!$B$4:$B$503,_calc!$E$271)))=0,"","Asset ID: "&amp;IF(LEN(INDEX('Assets'!$B$4:$B$503,_calc!$E$271))=0,"",INDEX('Assets'!$B$4:$B$503,_calc!$E$271))&amp;". ")&amp;IF(LEN(IF(LEN(INDEX('Assets'!$C$4:$C$503,_calc!$E$271))=0,"",INDEX('Assets'!$C$4:$C$503,_calc!$E$271)))=0,"","Location: "&amp;IF(LEN(INDEX('Assets'!$C$4:$C$503,_calc!$E$271))=0,"",INDEX('Assets'!$C$4:$C$503,_calc!$E$271))&amp;". ")&amp;IF(LEN(IF(LEN(INDEX('Assets'!$E$4:$E$503,_calc!$E$271))=0,"",INDEX('Assets'!$E$4:$E$503,_calc!$E$271)))=0,"","Every (months): "&amp;IF(LEN(INDEX('Assets'!$E$4:$E$503,_calc!$E$271))=0,"",INDEX('Assets'!$E$4:$E$503,_calc!$E$271))&amp;". ")&amp;IF(LEN(IF(LEN(INDEX('Assets'!$M$4:$M$503,_calc!$E$271))=0,"",INDEX('Assets'!$M$4:$M$503,_calc!$E$271)))=0,"","Last result: "&amp;IF(LEN(INDEX('Assets'!$M$4:$M$503,_calc!$E$271))=0,"",INDEX('Assets'!$M$4:$M$503,_calc!$E$271))&amp;". ")&amp;IF(LEN(IF(LEN(INDEX('Assets'!$Q$4:$Q$503,_calc!$E$271))=0,"",INDEX('Assets'!$Q$4:$Q$503,_calc!$E$271)))=0,"",IF(LEN(INDEX('Assets'!$Q$4:$Q$503,_calc!$E$271))=0,"",INDEX('Assets'!$Q$4:$Q$503,_calc!$E$271)))))</f>
        <v/>
      </c>
      <c r="G269" s="44">
        <f>IF(_calc!$E$271="","",IF(LEN(INDEX('Assets'!$P$4:$P$503,_calc!$E$271))=0,"",INDEX('Assets'!$P$4:$P$503,_calc!$E$271)))</f>
        <v/>
      </c>
      <c r="K269" s="44">
        <f>IF(_calc!$E$271="","",IF(LEN(INDEX('Assets'!$N$4:$N$503,_calc!$E$271))=0,"",INDEX('Assets'!$N$4:$N$503,_calc!$E$271)))</f>
        <v/>
      </c>
    </row>
    <row r="270">
      <c r="A270" s="44">
        <f>IF(_calc!$E$272="","",IF(LEN(INDEX('Assets'!$D$4:$D$503,_calc!$E$272))=0,"",INDEX('Assets'!$D$4:$D$503,_calc!$E$272))&amp;" – "&amp;IF(LEN(INDEX('Assets'!$A$4:$A$503,_calc!$E$272))=0,"",INDEX('Assets'!$A$4:$A$503,_calc!$E$272)))</f>
        <v/>
      </c>
      <c r="B270" s="44">
        <f>IF(_calc!$E$272="","",IF(ISNUMBER(INDEX('Assets'!$G$4:$G$503,_calc!$E$272)),TEXT(INDEX('Assets'!$G$4:$G$503,_calc!$E$272),"yyyy-mm-dd"),""))</f>
        <v/>
      </c>
      <c r="C270" s="44">
        <f>IF(_calc!$E$272="","","Inspection")</f>
        <v/>
      </c>
      <c r="D270" s="44">
        <f>IF(_calc!$E$272="","",IF(ISNUMBER(INDEX('Assets'!$F$4:$F$503,_calc!$E$272)),TEXT(INDEX('Assets'!$F$4:$F$503,_calc!$E$272),"yyyy-mm-dd"),""))</f>
        <v/>
      </c>
      <c r="E270" s="44">
        <f>IF(_calc!$E$272="","",IF(LEN(INDEX('Assets'!$O$4:$O$503,_calc!$E$272))=0,"",INDEX('Assets'!$O$4:$O$503,_calc!$E$272)))</f>
        <v/>
      </c>
      <c r="F270" s="44">
        <f>IF(_calc!$E$272="","",TRIM(IF(LEN(IF(LEN(INDEX('Assets'!$B$4:$B$503,_calc!$E$272))=0,"",INDEX('Assets'!$B$4:$B$503,_calc!$E$272)))=0,"","Asset ID: "&amp;IF(LEN(INDEX('Assets'!$B$4:$B$503,_calc!$E$272))=0,"",INDEX('Assets'!$B$4:$B$503,_calc!$E$272))&amp;". ")&amp;IF(LEN(IF(LEN(INDEX('Assets'!$C$4:$C$503,_calc!$E$272))=0,"",INDEX('Assets'!$C$4:$C$503,_calc!$E$272)))=0,"","Location: "&amp;IF(LEN(INDEX('Assets'!$C$4:$C$503,_calc!$E$272))=0,"",INDEX('Assets'!$C$4:$C$503,_calc!$E$272))&amp;". ")&amp;IF(LEN(IF(LEN(INDEX('Assets'!$E$4:$E$503,_calc!$E$272))=0,"",INDEX('Assets'!$E$4:$E$503,_calc!$E$272)))=0,"","Every (months): "&amp;IF(LEN(INDEX('Assets'!$E$4:$E$503,_calc!$E$272))=0,"",INDEX('Assets'!$E$4:$E$503,_calc!$E$272))&amp;". ")&amp;IF(LEN(IF(LEN(INDEX('Assets'!$M$4:$M$503,_calc!$E$272))=0,"",INDEX('Assets'!$M$4:$M$503,_calc!$E$272)))=0,"","Last result: "&amp;IF(LEN(INDEX('Assets'!$M$4:$M$503,_calc!$E$272))=0,"",INDEX('Assets'!$M$4:$M$503,_calc!$E$272))&amp;". ")&amp;IF(LEN(IF(LEN(INDEX('Assets'!$Q$4:$Q$503,_calc!$E$272))=0,"",INDEX('Assets'!$Q$4:$Q$503,_calc!$E$272)))=0,"",IF(LEN(INDEX('Assets'!$Q$4:$Q$503,_calc!$E$272))=0,"",INDEX('Assets'!$Q$4:$Q$503,_calc!$E$272)))))</f>
        <v/>
      </c>
      <c r="G270" s="44">
        <f>IF(_calc!$E$272="","",IF(LEN(INDEX('Assets'!$P$4:$P$503,_calc!$E$272))=0,"",INDEX('Assets'!$P$4:$P$503,_calc!$E$272)))</f>
        <v/>
      </c>
      <c r="K270" s="44">
        <f>IF(_calc!$E$272="","",IF(LEN(INDEX('Assets'!$N$4:$N$503,_calc!$E$272))=0,"",INDEX('Assets'!$N$4:$N$503,_calc!$E$272)))</f>
        <v/>
      </c>
    </row>
    <row r="271">
      <c r="A271" s="44">
        <f>IF(_calc!$E$273="","",IF(LEN(INDEX('Assets'!$D$4:$D$503,_calc!$E$273))=0,"",INDEX('Assets'!$D$4:$D$503,_calc!$E$273))&amp;" – "&amp;IF(LEN(INDEX('Assets'!$A$4:$A$503,_calc!$E$273))=0,"",INDEX('Assets'!$A$4:$A$503,_calc!$E$273)))</f>
        <v/>
      </c>
      <c r="B271" s="44">
        <f>IF(_calc!$E$273="","",IF(ISNUMBER(INDEX('Assets'!$G$4:$G$503,_calc!$E$273)),TEXT(INDEX('Assets'!$G$4:$G$503,_calc!$E$273),"yyyy-mm-dd"),""))</f>
        <v/>
      </c>
      <c r="C271" s="44">
        <f>IF(_calc!$E$273="","","Inspection")</f>
        <v/>
      </c>
      <c r="D271" s="44">
        <f>IF(_calc!$E$273="","",IF(ISNUMBER(INDEX('Assets'!$F$4:$F$503,_calc!$E$273)),TEXT(INDEX('Assets'!$F$4:$F$503,_calc!$E$273),"yyyy-mm-dd"),""))</f>
        <v/>
      </c>
      <c r="E271" s="44">
        <f>IF(_calc!$E$273="","",IF(LEN(INDEX('Assets'!$O$4:$O$503,_calc!$E$273))=0,"",INDEX('Assets'!$O$4:$O$503,_calc!$E$273)))</f>
        <v/>
      </c>
      <c r="F271" s="44">
        <f>IF(_calc!$E$273="","",TRIM(IF(LEN(IF(LEN(INDEX('Assets'!$B$4:$B$503,_calc!$E$273))=0,"",INDEX('Assets'!$B$4:$B$503,_calc!$E$273)))=0,"","Asset ID: "&amp;IF(LEN(INDEX('Assets'!$B$4:$B$503,_calc!$E$273))=0,"",INDEX('Assets'!$B$4:$B$503,_calc!$E$273))&amp;". ")&amp;IF(LEN(IF(LEN(INDEX('Assets'!$C$4:$C$503,_calc!$E$273))=0,"",INDEX('Assets'!$C$4:$C$503,_calc!$E$273)))=0,"","Location: "&amp;IF(LEN(INDEX('Assets'!$C$4:$C$503,_calc!$E$273))=0,"",INDEX('Assets'!$C$4:$C$503,_calc!$E$273))&amp;". ")&amp;IF(LEN(IF(LEN(INDEX('Assets'!$E$4:$E$503,_calc!$E$273))=0,"",INDEX('Assets'!$E$4:$E$503,_calc!$E$273)))=0,"","Every (months): "&amp;IF(LEN(INDEX('Assets'!$E$4:$E$503,_calc!$E$273))=0,"",INDEX('Assets'!$E$4:$E$503,_calc!$E$273))&amp;". ")&amp;IF(LEN(IF(LEN(INDEX('Assets'!$M$4:$M$503,_calc!$E$273))=0,"",INDEX('Assets'!$M$4:$M$503,_calc!$E$273)))=0,"","Last result: "&amp;IF(LEN(INDEX('Assets'!$M$4:$M$503,_calc!$E$273))=0,"",INDEX('Assets'!$M$4:$M$503,_calc!$E$273))&amp;". ")&amp;IF(LEN(IF(LEN(INDEX('Assets'!$Q$4:$Q$503,_calc!$E$273))=0,"",INDEX('Assets'!$Q$4:$Q$503,_calc!$E$273)))=0,"",IF(LEN(INDEX('Assets'!$Q$4:$Q$503,_calc!$E$273))=0,"",INDEX('Assets'!$Q$4:$Q$503,_calc!$E$273)))))</f>
        <v/>
      </c>
      <c r="G271" s="44">
        <f>IF(_calc!$E$273="","",IF(LEN(INDEX('Assets'!$P$4:$P$503,_calc!$E$273))=0,"",INDEX('Assets'!$P$4:$P$503,_calc!$E$273)))</f>
        <v/>
      </c>
      <c r="K271" s="44">
        <f>IF(_calc!$E$273="","",IF(LEN(INDEX('Assets'!$N$4:$N$503,_calc!$E$273))=0,"",INDEX('Assets'!$N$4:$N$503,_calc!$E$273)))</f>
        <v/>
      </c>
    </row>
    <row r="272">
      <c r="A272" s="44">
        <f>IF(_calc!$E$274="","",IF(LEN(INDEX('Assets'!$D$4:$D$503,_calc!$E$274))=0,"",INDEX('Assets'!$D$4:$D$503,_calc!$E$274))&amp;" – "&amp;IF(LEN(INDEX('Assets'!$A$4:$A$503,_calc!$E$274))=0,"",INDEX('Assets'!$A$4:$A$503,_calc!$E$274)))</f>
        <v/>
      </c>
      <c r="B272" s="44">
        <f>IF(_calc!$E$274="","",IF(ISNUMBER(INDEX('Assets'!$G$4:$G$503,_calc!$E$274)),TEXT(INDEX('Assets'!$G$4:$G$503,_calc!$E$274),"yyyy-mm-dd"),""))</f>
        <v/>
      </c>
      <c r="C272" s="44">
        <f>IF(_calc!$E$274="","","Inspection")</f>
        <v/>
      </c>
      <c r="D272" s="44">
        <f>IF(_calc!$E$274="","",IF(ISNUMBER(INDEX('Assets'!$F$4:$F$503,_calc!$E$274)),TEXT(INDEX('Assets'!$F$4:$F$503,_calc!$E$274),"yyyy-mm-dd"),""))</f>
        <v/>
      </c>
      <c r="E272" s="44">
        <f>IF(_calc!$E$274="","",IF(LEN(INDEX('Assets'!$O$4:$O$503,_calc!$E$274))=0,"",INDEX('Assets'!$O$4:$O$503,_calc!$E$274)))</f>
        <v/>
      </c>
      <c r="F272" s="44">
        <f>IF(_calc!$E$274="","",TRIM(IF(LEN(IF(LEN(INDEX('Assets'!$B$4:$B$503,_calc!$E$274))=0,"",INDEX('Assets'!$B$4:$B$503,_calc!$E$274)))=0,"","Asset ID: "&amp;IF(LEN(INDEX('Assets'!$B$4:$B$503,_calc!$E$274))=0,"",INDEX('Assets'!$B$4:$B$503,_calc!$E$274))&amp;". ")&amp;IF(LEN(IF(LEN(INDEX('Assets'!$C$4:$C$503,_calc!$E$274))=0,"",INDEX('Assets'!$C$4:$C$503,_calc!$E$274)))=0,"","Location: "&amp;IF(LEN(INDEX('Assets'!$C$4:$C$503,_calc!$E$274))=0,"",INDEX('Assets'!$C$4:$C$503,_calc!$E$274))&amp;". ")&amp;IF(LEN(IF(LEN(INDEX('Assets'!$E$4:$E$503,_calc!$E$274))=0,"",INDEX('Assets'!$E$4:$E$503,_calc!$E$274)))=0,"","Every (months): "&amp;IF(LEN(INDEX('Assets'!$E$4:$E$503,_calc!$E$274))=0,"",INDEX('Assets'!$E$4:$E$503,_calc!$E$274))&amp;". ")&amp;IF(LEN(IF(LEN(INDEX('Assets'!$M$4:$M$503,_calc!$E$274))=0,"",INDEX('Assets'!$M$4:$M$503,_calc!$E$274)))=0,"","Last result: "&amp;IF(LEN(INDEX('Assets'!$M$4:$M$503,_calc!$E$274))=0,"",INDEX('Assets'!$M$4:$M$503,_calc!$E$274))&amp;". ")&amp;IF(LEN(IF(LEN(INDEX('Assets'!$Q$4:$Q$503,_calc!$E$274))=0,"",INDEX('Assets'!$Q$4:$Q$503,_calc!$E$274)))=0,"",IF(LEN(INDEX('Assets'!$Q$4:$Q$503,_calc!$E$274))=0,"",INDEX('Assets'!$Q$4:$Q$503,_calc!$E$274)))))</f>
        <v/>
      </c>
      <c r="G272" s="44">
        <f>IF(_calc!$E$274="","",IF(LEN(INDEX('Assets'!$P$4:$P$503,_calc!$E$274))=0,"",INDEX('Assets'!$P$4:$P$503,_calc!$E$274)))</f>
        <v/>
      </c>
      <c r="K272" s="44">
        <f>IF(_calc!$E$274="","",IF(LEN(INDEX('Assets'!$N$4:$N$503,_calc!$E$274))=0,"",INDEX('Assets'!$N$4:$N$503,_calc!$E$274)))</f>
        <v/>
      </c>
    </row>
    <row r="273">
      <c r="A273" s="44">
        <f>IF(_calc!$E$275="","",IF(LEN(INDEX('Assets'!$D$4:$D$503,_calc!$E$275))=0,"",INDEX('Assets'!$D$4:$D$503,_calc!$E$275))&amp;" – "&amp;IF(LEN(INDEX('Assets'!$A$4:$A$503,_calc!$E$275))=0,"",INDEX('Assets'!$A$4:$A$503,_calc!$E$275)))</f>
        <v/>
      </c>
      <c r="B273" s="44">
        <f>IF(_calc!$E$275="","",IF(ISNUMBER(INDEX('Assets'!$G$4:$G$503,_calc!$E$275)),TEXT(INDEX('Assets'!$G$4:$G$503,_calc!$E$275),"yyyy-mm-dd"),""))</f>
        <v/>
      </c>
      <c r="C273" s="44">
        <f>IF(_calc!$E$275="","","Inspection")</f>
        <v/>
      </c>
      <c r="D273" s="44">
        <f>IF(_calc!$E$275="","",IF(ISNUMBER(INDEX('Assets'!$F$4:$F$503,_calc!$E$275)),TEXT(INDEX('Assets'!$F$4:$F$503,_calc!$E$275),"yyyy-mm-dd"),""))</f>
        <v/>
      </c>
      <c r="E273" s="44">
        <f>IF(_calc!$E$275="","",IF(LEN(INDEX('Assets'!$O$4:$O$503,_calc!$E$275))=0,"",INDEX('Assets'!$O$4:$O$503,_calc!$E$275)))</f>
        <v/>
      </c>
      <c r="F273" s="44">
        <f>IF(_calc!$E$275="","",TRIM(IF(LEN(IF(LEN(INDEX('Assets'!$B$4:$B$503,_calc!$E$275))=0,"",INDEX('Assets'!$B$4:$B$503,_calc!$E$275)))=0,"","Asset ID: "&amp;IF(LEN(INDEX('Assets'!$B$4:$B$503,_calc!$E$275))=0,"",INDEX('Assets'!$B$4:$B$503,_calc!$E$275))&amp;". ")&amp;IF(LEN(IF(LEN(INDEX('Assets'!$C$4:$C$503,_calc!$E$275))=0,"",INDEX('Assets'!$C$4:$C$503,_calc!$E$275)))=0,"","Location: "&amp;IF(LEN(INDEX('Assets'!$C$4:$C$503,_calc!$E$275))=0,"",INDEX('Assets'!$C$4:$C$503,_calc!$E$275))&amp;". ")&amp;IF(LEN(IF(LEN(INDEX('Assets'!$E$4:$E$503,_calc!$E$275))=0,"",INDEX('Assets'!$E$4:$E$503,_calc!$E$275)))=0,"","Every (months): "&amp;IF(LEN(INDEX('Assets'!$E$4:$E$503,_calc!$E$275))=0,"",INDEX('Assets'!$E$4:$E$503,_calc!$E$275))&amp;". ")&amp;IF(LEN(IF(LEN(INDEX('Assets'!$M$4:$M$503,_calc!$E$275))=0,"",INDEX('Assets'!$M$4:$M$503,_calc!$E$275)))=0,"","Last result: "&amp;IF(LEN(INDEX('Assets'!$M$4:$M$503,_calc!$E$275))=0,"",INDEX('Assets'!$M$4:$M$503,_calc!$E$275))&amp;". ")&amp;IF(LEN(IF(LEN(INDEX('Assets'!$Q$4:$Q$503,_calc!$E$275))=0,"",INDEX('Assets'!$Q$4:$Q$503,_calc!$E$275)))=0,"",IF(LEN(INDEX('Assets'!$Q$4:$Q$503,_calc!$E$275))=0,"",INDEX('Assets'!$Q$4:$Q$503,_calc!$E$275)))))</f>
        <v/>
      </c>
      <c r="G273" s="44">
        <f>IF(_calc!$E$275="","",IF(LEN(INDEX('Assets'!$P$4:$P$503,_calc!$E$275))=0,"",INDEX('Assets'!$P$4:$P$503,_calc!$E$275)))</f>
        <v/>
      </c>
      <c r="K273" s="44">
        <f>IF(_calc!$E$275="","",IF(LEN(INDEX('Assets'!$N$4:$N$503,_calc!$E$275))=0,"",INDEX('Assets'!$N$4:$N$503,_calc!$E$275)))</f>
        <v/>
      </c>
    </row>
    <row r="274">
      <c r="A274" s="44">
        <f>IF(_calc!$E$276="","",IF(LEN(INDEX('Assets'!$D$4:$D$503,_calc!$E$276))=0,"",INDEX('Assets'!$D$4:$D$503,_calc!$E$276))&amp;" – "&amp;IF(LEN(INDEX('Assets'!$A$4:$A$503,_calc!$E$276))=0,"",INDEX('Assets'!$A$4:$A$503,_calc!$E$276)))</f>
        <v/>
      </c>
      <c r="B274" s="44">
        <f>IF(_calc!$E$276="","",IF(ISNUMBER(INDEX('Assets'!$G$4:$G$503,_calc!$E$276)),TEXT(INDEX('Assets'!$G$4:$G$503,_calc!$E$276),"yyyy-mm-dd"),""))</f>
        <v/>
      </c>
      <c r="C274" s="44">
        <f>IF(_calc!$E$276="","","Inspection")</f>
        <v/>
      </c>
      <c r="D274" s="44">
        <f>IF(_calc!$E$276="","",IF(ISNUMBER(INDEX('Assets'!$F$4:$F$503,_calc!$E$276)),TEXT(INDEX('Assets'!$F$4:$F$503,_calc!$E$276),"yyyy-mm-dd"),""))</f>
        <v/>
      </c>
      <c r="E274" s="44">
        <f>IF(_calc!$E$276="","",IF(LEN(INDEX('Assets'!$O$4:$O$503,_calc!$E$276))=0,"",INDEX('Assets'!$O$4:$O$503,_calc!$E$276)))</f>
        <v/>
      </c>
      <c r="F274" s="44">
        <f>IF(_calc!$E$276="","",TRIM(IF(LEN(IF(LEN(INDEX('Assets'!$B$4:$B$503,_calc!$E$276))=0,"",INDEX('Assets'!$B$4:$B$503,_calc!$E$276)))=0,"","Asset ID: "&amp;IF(LEN(INDEX('Assets'!$B$4:$B$503,_calc!$E$276))=0,"",INDEX('Assets'!$B$4:$B$503,_calc!$E$276))&amp;". ")&amp;IF(LEN(IF(LEN(INDEX('Assets'!$C$4:$C$503,_calc!$E$276))=0,"",INDEX('Assets'!$C$4:$C$503,_calc!$E$276)))=0,"","Location: "&amp;IF(LEN(INDEX('Assets'!$C$4:$C$503,_calc!$E$276))=0,"",INDEX('Assets'!$C$4:$C$503,_calc!$E$276))&amp;". ")&amp;IF(LEN(IF(LEN(INDEX('Assets'!$E$4:$E$503,_calc!$E$276))=0,"",INDEX('Assets'!$E$4:$E$503,_calc!$E$276)))=0,"","Every (months): "&amp;IF(LEN(INDEX('Assets'!$E$4:$E$503,_calc!$E$276))=0,"",INDEX('Assets'!$E$4:$E$503,_calc!$E$276))&amp;". ")&amp;IF(LEN(IF(LEN(INDEX('Assets'!$M$4:$M$503,_calc!$E$276))=0,"",INDEX('Assets'!$M$4:$M$503,_calc!$E$276)))=0,"","Last result: "&amp;IF(LEN(INDEX('Assets'!$M$4:$M$503,_calc!$E$276))=0,"",INDEX('Assets'!$M$4:$M$503,_calc!$E$276))&amp;". ")&amp;IF(LEN(IF(LEN(INDEX('Assets'!$Q$4:$Q$503,_calc!$E$276))=0,"",INDEX('Assets'!$Q$4:$Q$503,_calc!$E$276)))=0,"",IF(LEN(INDEX('Assets'!$Q$4:$Q$503,_calc!$E$276))=0,"",INDEX('Assets'!$Q$4:$Q$503,_calc!$E$276)))))</f>
        <v/>
      </c>
      <c r="G274" s="44">
        <f>IF(_calc!$E$276="","",IF(LEN(INDEX('Assets'!$P$4:$P$503,_calc!$E$276))=0,"",INDEX('Assets'!$P$4:$P$503,_calc!$E$276)))</f>
        <v/>
      </c>
      <c r="K274" s="44">
        <f>IF(_calc!$E$276="","",IF(LEN(INDEX('Assets'!$N$4:$N$503,_calc!$E$276))=0,"",INDEX('Assets'!$N$4:$N$503,_calc!$E$276)))</f>
        <v/>
      </c>
    </row>
    <row r="275">
      <c r="A275" s="44">
        <f>IF(_calc!$E$277="","",IF(LEN(INDEX('Assets'!$D$4:$D$503,_calc!$E$277))=0,"",INDEX('Assets'!$D$4:$D$503,_calc!$E$277))&amp;" – "&amp;IF(LEN(INDEX('Assets'!$A$4:$A$503,_calc!$E$277))=0,"",INDEX('Assets'!$A$4:$A$503,_calc!$E$277)))</f>
        <v/>
      </c>
      <c r="B275" s="44">
        <f>IF(_calc!$E$277="","",IF(ISNUMBER(INDEX('Assets'!$G$4:$G$503,_calc!$E$277)),TEXT(INDEX('Assets'!$G$4:$G$503,_calc!$E$277),"yyyy-mm-dd"),""))</f>
        <v/>
      </c>
      <c r="C275" s="44">
        <f>IF(_calc!$E$277="","","Inspection")</f>
        <v/>
      </c>
      <c r="D275" s="44">
        <f>IF(_calc!$E$277="","",IF(ISNUMBER(INDEX('Assets'!$F$4:$F$503,_calc!$E$277)),TEXT(INDEX('Assets'!$F$4:$F$503,_calc!$E$277),"yyyy-mm-dd"),""))</f>
        <v/>
      </c>
      <c r="E275" s="44">
        <f>IF(_calc!$E$277="","",IF(LEN(INDEX('Assets'!$O$4:$O$503,_calc!$E$277))=0,"",INDEX('Assets'!$O$4:$O$503,_calc!$E$277)))</f>
        <v/>
      </c>
      <c r="F275" s="44">
        <f>IF(_calc!$E$277="","",TRIM(IF(LEN(IF(LEN(INDEX('Assets'!$B$4:$B$503,_calc!$E$277))=0,"",INDEX('Assets'!$B$4:$B$503,_calc!$E$277)))=0,"","Asset ID: "&amp;IF(LEN(INDEX('Assets'!$B$4:$B$503,_calc!$E$277))=0,"",INDEX('Assets'!$B$4:$B$503,_calc!$E$277))&amp;". ")&amp;IF(LEN(IF(LEN(INDEX('Assets'!$C$4:$C$503,_calc!$E$277))=0,"",INDEX('Assets'!$C$4:$C$503,_calc!$E$277)))=0,"","Location: "&amp;IF(LEN(INDEX('Assets'!$C$4:$C$503,_calc!$E$277))=0,"",INDEX('Assets'!$C$4:$C$503,_calc!$E$277))&amp;". ")&amp;IF(LEN(IF(LEN(INDEX('Assets'!$E$4:$E$503,_calc!$E$277))=0,"",INDEX('Assets'!$E$4:$E$503,_calc!$E$277)))=0,"","Every (months): "&amp;IF(LEN(INDEX('Assets'!$E$4:$E$503,_calc!$E$277))=0,"",INDEX('Assets'!$E$4:$E$503,_calc!$E$277))&amp;". ")&amp;IF(LEN(IF(LEN(INDEX('Assets'!$M$4:$M$503,_calc!$E$277))=0,"",INDEX('Assets'!$M$4:$M$503,_calc!$E$277)))=0,"","Last result: "&amp;IF(LEN(INDEX('Assets'!$M$4:$M$503,_calc!$E$277))=0,"",INDEX('Assets'!$M$4:$M$503,_calc!$E$277))&amp;". ")&amp;IF(LEN(IF(LEN(INDEX('Assets'!$Q$4:$Q$503,_calc!$E$277))=0,"",INDEX('Assets'!$Q$4:$Q$503,_calc!$E$277)))=0,"",IF(LEN(INDEX('Assets'!$Q$4:$Q$503,_calc!$E$277))=0,"",INDEX('Assets'!$Q$4:$Q$503,_calc!$E$277)))))</f>
        <v/>
      </c>
      <c r="G275" s="44">
        <f>IF(_calc!$E$277="","",IF(LEN(INDEX('Assets'!$P$4:$P$503,_calc!$E$277))=0,"",INDEX('Assets'!$P$4:$P$503,_calc!$E$277)))</f>
        <v/>
      </c>
      <c r="K275" s="44">
        <f>IF(_calc!$E$277="","",IF(LEN(INDEX('Assets'!$N$4:$N$503,_calc!$E$277))=0,"",INDEX('Assets'!$N$4:$N$503,_calc!$E$277)))</f>
        <v/>
      </c>
    </row>
    <row r="276">
      <c r="A276" s="44">
        <f>IF(_calc!$E$278="","",IF(LEN(INDEX('Assets'!$D$4:$D$503,_calc!$E$278))=0,"",INDEX('Assets'!$D$4:$D$503,_calc!$E$278))&amp;" – "&amp;IF(LEN(INDEX('Assets'!$A$4:$A$503,_calc!$E$278))=0,"",INDEX('Assets'!$A$4:$A$503,_calc!$E$278)))</f>
        <v/>
      </c>
      <c r="B276" s="44">
        <f>IF(_calc!$E$278="","",IF(ISNUMBER(INDEX('Assets'!$G$4:$G$503,_calc!$E$278)),TEXT(INDEX('Assets'!$G$4:$G$503,_calc!$E$278),"yyyy-mm-dd"),""))</f>
        <v/>
      </c>
      <c r="C276" s="44">
        <f>IF(_calc!$E$278="","","Inspection")</f>
        <v/>
      </c>
      <c r="D276" s="44">
        <f>IF(_calc!$E$278="","",IF(ISNUMBER(INDEX('Assets'!$F$4:$F$503,_calc!$E$278)),TEXT(INDEX('Assets'!$F$4:$F$503,_calc!$E$278),"yyyy-mm-dd"),""))</f>
        <v/>
      </c>
      <c r="E276" s="44">
        <f>IF(_calc!$E$278="","",IF(LEN(INDEX('Assets'!$O$4:$O$503,_calc!$E$278))=0,"",INDEX('Assets'!$O$4:$O$503,_calc!$E$278)))</f>
        <v/>
      </c>
      <c r="F276" s="44">
        <f>IF(_calc!$E$278="","",TRIM(IF(LEN(IF(LEN(INDEX('Assets'!$B$4:$B$503,_calc!$E$278))=0,"",INDEX('Assets'!$B$4:$B$503,_calc!$E$278)))=0,"","Asset ID: "&amp;IF(LEN(INDEX('Assets'!$B$4:$B$503,_calc!$E$278))=0,"",INDEX('Assets'!$B$4:$B$503,_calc!$E$278))&amp;". ")&amp;IF(LEN(IF(LEN(INDEX('Assets'!$C$4:$C$503,_calc!$E$278))=0,"",INDEX('Assets'!$C$4:$C$503,_calc!$E$278)))=0,"","Location: "&amp;IF(LEN(INDEX('Assets'!$C$4:$C$503,_calc!$E$278))=0,"",INDEX('Assets'!$C$4:$C$503,_calc!$E$278))&amp;". ")&amp;IF(LEN(IF(LEN(INDEX('Assets'!$E$4:$E$503,_calc!$E$278))=0,"",INDEX('Assets'!$E$4:$E$503,_calc!$E$278)))=0,"","Every (months): "&amp;IF(LEN(INDEX('Assets'!$E$4:$E$503,_calc!$E$278))=0,"",INDEX('Assets'!$E$4:$E$503,_calc!$E$278))&amp;". ")&amp;IF(LEN(IF(LEN(INDEX('Assets'!$M$4:$M$503,_calc!$E$278))=0,"",INDEX('Assets'!$M$4:$M$503,_calc!$E$278)))=0,"","Last result: "&amp;IF(LEN(INDEX('Assets'!$M$4:$M$503,_calc!$E$278))=0,"",INDEX('Assets'!$M$4:$M$503,_calc!$E$278))&amp;". ")&amp;IF(LEN(IF(LEN(INDEX('Assets'!$Q$4:$Q$503,_calc!$E$278))=0,"",INDEX('Assets'!$Q$4:$Q$503,_calc!$E$278)))=0,"",IF(LEN(INDEX('Assets'!$Q$4:$Q$503,_calc!$E$278))=0,"",INDEX('Assets'!$Q$4:$Q$503,_calc!$E$278)))))</f>
        <v/>
      </c>
      <c r="G276" s="44">
        <f>IF(_calc!$E$278="","",IF(LEN(INDEX('Assets'!$P$4:$P$503,_calc!$E$278))=0,"",INDEX('Assets'!$P$4:$P$503,_calc!$E$278)))</f>
        <v/>
      </c>
      <c r="K276" s="44">
        <f>IF(_calc!$E$278="","",IF(LEN(INDEX('Assets'!$N$4:$N$503,_calc!$E$278))=0,"",INDEX('Assets'!$N$4:$N$503,_calc!$E$278)))</f>
        <v/>
      </c>
    </row>
    <row r="277">
      <c r="A277" s="44">
        <f>IF(_calc!$E$279="","",IF(LEN(INDEX('Assets'!$D$4:$D$503,_calc!$E$279))=0,"",INDEX('Assets'!$D$4:$D$503,_calc!$E$279))&amp;" – "&amp;IF(LEN(INDEX('Assets'!$A$4:$A$503,_calc!$E$279))=0,"",INDEX('Assets'!$A$4:$A$503,_calc!$E$279)))</f>
        <v/>
      </c>
      <c r="B277" s="44">
        <f>IF(_calc!$E$279="","",IF(ISNUMBER(INDEX('Assets'!$G$4:$G$503,_calc!$E$279)),TEXT(INDEX('Assets'!$G$4:$G$503,_calc!$E$279),"yyyy-mm-dd"),""))</f>
        <v/>
      </c>
      <c r="C277" s="44">
        <f>IF(_calc!$E$279="","","Inspection")</f>
        <v/>
      </c>
      <c r="D277" s="44">
        <f>IF(_calc!$E$279="","",IF(ISNUMBER(INDEX('Assets'!$F$4:$F$503,_calc!$E$279)),TEXT(INDEX('Assets'!$F$4:$F$503,_calc!$E$279),"yyyy-mm-dd"),""))</f>
        <v/>
      </c>
      <c r="E277" s="44">
        <f>IF(_calc!$E$279="","",IF(LEN(INDEX('Assets'!$O$4:$O$503,_calc!$E$279))=0,"",INDEX('Assets'!$O$4:$O$503,_calc!$E$279)))</f>
        <v/>
      </c>
      <c r="F277" s="44">
        <f>IF(_calc!$E$279="","",TRIM(IF(LEN(IF(LEN(INDEX('Assets'!$B$4:$B$503,_calc!$E$279))=0,"",INDEX('Assets'!$B$4:$B$503,_calc!$E$279)))=0,"","Asset ID: "&amp;IF(LEN(INDEX('Assets'!$B$4:$B$503,_calc!$E$279))=0,"",INDEX('Assets'!$B$4:$B$503,_calc!$E$279))&amp;". ")&amp;IF(LEN(IF(LEN(INDEX('Assets'!$C$4:$C$503,_calc!$E$279))=0,"",INDEX('Assets'!$C$4:$C$503,_calc!$E$279)))=0,"","Location: "&amp;IF(LEN(INDEX('Assets'!$C$4:$C$503,_calc!$E$279))=0,"",INDEX('Assets'!$C$4:$C$503,_calc!$E$279))&amp;". ")&amp;IF(LEN(IF(LEN(INDEX('Assets'!$E$4:$E$503,_calc!$E$279))=0,"",INDEX('Assets'!$E$4:$E$503,_calc!$E$279)))=0,"","Every (months): "&amp;IF(LEN(INDEX('Assets'!$E$4:$E$503,_calc!$E$279))=0,"",INDEX('Assets'!$E$4:$E$503,_calc!$E$279))&amp;". ")&amp;IF(LEN(IF(LEN(INDEX('Assets'!$M$4:$M$503,_calc!$E$279))=0,"",INDEX('Assets'!$M$4:$M$503,_calc!$E$279)))=0,"","Last result: "&amp;IF(LEN(INDEX('Assets'!$M$4:$M$503,_calc!$E$279))=0,"",INDEX('Assets'!$M$4:$M$503,_calc!$E$279))&amp;". ")&amp;IF(LEN(IF(LEN(INDEX('Assets'!$Q$4:$Q$503,_calc!$E$279))=0,"",INDEX('Assets'!$Q$4:$Q$503,_calc!$E$279)))=0,"",IF(LEN(INDEX('Assets'!$Q$4:$Q$503,_calc!$E$279))=0,"",INDEX('Assets'!$Q$4:$Q$503,_calc!$E$279)))))</f>
        <v/>
      </c>
      <c r="G277" s="44">
        <f>IF(_calc!$E$279="","",IF(LEN(INDEX('Assets'!$P$4:$P$503,_calc!$E$279))=0,"",INDEX('Assets'!$P$4:$P$503,_calc!$E$279)))</f>
        <v/>
      </c>
      <c r="K277" s="44">
        <f>IF(_calc!$E$279="","",IF(LEN(INDEX('Assets'!$N$4:$N$503,_calc!$E$279))=0,"",INDEX('Assets'!$N$4:$N$503,_calc!$E$279)))</f>
        <v/>
      </c>
    </row>
    <row r="278">
      <c r="A278" s="44">
        <f>IF(_calc!$E$280="","",IF(LEN(INDEX('Assets'!$D$4:$D$503,_calc!$E$280))=0,"",INDEX('Assets'!$D$4:$D$503,_calc!$E$280))&amp;" – "&amp;IF(LEN(INDEX('Assets'!$A$4:$A$503,_calc!$E$280))=0,"",INDEX('Assets'!$A$4:$A$503,_calc!$E$280)))</f>
        <v/>
      </c>
      <c r="B278" s="44">
        <f>IF(_calc!$E$280="","",IF(ISNUMBER(INDEX('Assets'!$G$4:$G$503,_calc!$E$280)),TEXT(INDEX('Assets'!$G$4:$G$503,_calc!$E$280),"yyyy-mm-dd"),""))</f>
        <v/>
      </c>
      <c r="C278" s="44">
        <f>IF(_calc!$E$280="","","Inspection")</f>
        <v/>
      </c>
      <c r="D278" s="44">
        <f>IF(_calc!$E$280="","",IF(ISNUMBER(INDEX('Assets'!$F$4:$F$503,_calc!$E$280)),TEXT(INDEX('Assets'!$F$4:$F$503,_calc!$E$280),"yyyy-mm-dd"),""))</f>
        <v/>
      </c>
      <c r="E278" s="44">
        <f>IF(_calc!$E$280="","",IF(LEN(INDEX('Assets'!$O$4:$O$503,_calc!$E$280))=0,"",INDEX('Assets'!$O$4:$O$503,_calc!$E$280)))</f>
        <v/>
      </c>
      <c r="F278" s="44">
        <f>IF(_calc!$E$280="","",TRIM(IF(LEN(IF(LEN(INDEX('Assets'!$B$4:$B$503,_calc!$E$280))=0,"",INDEX('Assets'!$B$4:$B$503,_calc!$E$280)))=0,"","Asset ID: "&amp;IF(LEN(INDEX('Assets'!$B$4:$B$503,_calc!$E$280))=0,"",INDEX('Assets'!$B$4:$B$503,_calc!$E$280))&amp;". ")&amp;IF(LEN(IF(LEN(INDEX('Assets'!$C$4:$C$503,_calc!$E$280))=0,"",INDEX('Assets'!$C$4:$C$503,_calc!$E$280)))=0,"","Location: "&amp;IF(LEN(INDEX('Assets'!$C$4:$C$503,_calc!$E$280))=0,"",INDEX('Assets'!$C$4:$C$503,_calc!$E$280))&amp;". ")&amp;IF(LEN(IF(LEN(INDEX('Assets'!$E$4:$E$503,_calc!$E$280))=0,"",INDEX('Assets'!$E$4:$E$503,_calc!$E$280)))=0,"","Every (months): "&amp;IF(LEN(INDEX('Assets'!$E$4:$E$503,_calc!$E$280))=0,"",INDEX('Assets'!$E$4:$E$503,_calc!$E$280))&amp;". ")&amp;IF(LEN(IF(LEN(INDEX('Assets'!$M$4:$M$503,_calc!$E$280))=0,"",INDEX('Assets'!$M$4:$M$503,_calc!$E$280)))=0,"","Last result: "&amp;IF(LEN(INDEX('Assets'!$M$4:$M$503,_calc!$E$280))=0,"",INDEX('Assets'!$M$4:$M$503,_calc!$E$280))&amp;". ")&amp;IF(LEN(IF(LEN(INDEX('Assets'!$Q$4:$Q$503,_calc!$E$280))=0,"",INDEX('Assets'!$Q$4:$Q$503,_calc!$E$280)))=0,"",IF(LEN(INDEX('Assets'!$Q$4:$Q$503,_calc!$E$280))=0,"",INDEX('Assets'!$Q$4:$Q$503,_calc!$E$280)))))</f>
        <v/>
      </c>
      <c r="G278" s="44">
        <f>IF(_calc!$E$280="","",IF(LEN(INDEX('Assets'!$P$4:$P$503,_calc!$E$280))=0,"",INDEX('Assets'!$P$4:$P$503,_calc!$E$280)))</f>
        <v/>
      </c>
      <c r="K278" s="44">
        <f>IF(_calc!$E$280="","",IF(LEN(INDEX('Assets'!$N$4:$N$503,_calc!$E$280))=0,"",INDEX('Assets'!$N$4:$N$503,_calc!$E$280)))</f>
        <v/>
      </c>
    </row>
    <row r="279">
      <c r="A279" s="44">
        <f>IF(_calc!$E$281="","",IF(LEN(INDEX('Assets'!$D$4:$D$503,_calc!$E$281))=0,"",INDEX('Assets'!$D$4:$D$503,_calc!$E$281))&amp;" – "&amp;IF(LEN(INDEX('Assets'!$A$4:$A$503,_calc!$E$281))=0,"",INDEX('Assets'!$A$4:$A$503,_calc!$E$281)))</f>
        <v/>
      </c>
      <c r="B279" s="44">
        <f>IF(_calc!$E$281="","",IF(ISNUMBER(INDEX('Assets'!$G$4:$G$503,_calc!$E$281)),TEXT(INDEX('Assets'!$G$4:$G$503,_calc!$E$281),"yyyy-mm-dd"),""))</f>
        <v/>
      </c>
      <c r="C279" s="44">
        <f>IF(_calc!$E$281="","","Inspection")</f>
        <v/>
      </c>
      <c r="D279" s="44">
        <f>IF(_calc!$E$281="","",IF(ISNUMBER(INDEX('Assets'!$F$4:$F$503,_calc!$E$281)),TEXT(INDEX('Assets'!$F$4:$F$503,_calc!$E$281),"yyyy-mm-dd"),""))</f>
        <v/>
      </c>
      <c r="E279" s="44">
        <f>IF(_calc!$E$281="","",IF(LEN(INDEX('Assets'!$O$4:$O$503,_calc!$E$281))=0,"",INDEX('Assets'!$O$4:$O$503,_calc!$E$281)))</f>
        <v/>
      </c>
      <c r="F279" s="44">
        <f>IF(_calc!$E$281="","",TRIM(IF(LEN(IF(LEN(INDEX('Assets'!$B$4:$B$503,_calc!$E$281))=0,"",INDEX('Assets'!$B$4:$B$503,_calc!$E$281)))=0,"","Asset ID: "&amp;IF(LEN(INDEX('Assets'!$B$4:$B$503,_calc!$E$281))=0,"",INDEX('Assets'!$B$4:$B$503,_calc!$E$281))&amp;". ")&amp;IF(LEN(IF(LEN(INDEX('Assets'!$C$4:$C$503,_calc!$E$281))=0,"",INDEX('Assets'!$C$4:$C$503,_calc!$E$281)))=0,"","Location: "&amp;IF(LEN(INDEX('Assets'!$C$4:$C$503,_calc!$E$281))=0,"",INDEX('Assets'!$C$4:$C$503,_calc!$E$281))&amp;". ")&amp;IF(LEN(IF(LEN(INDEX('Assets'!$E$4:$E$503,_calc!$E$281))=0,"",INDEX('Assets'!$E$4:$E$503,_calc!$E$281)))=0,"","Every (months): "&amp;IF(LEN(INDEX('Assets'!$E$4:$E$503,_calc!$E$281))=0,"",INDEX('Assets'!$E$4:$E$503,_calc!$E$281))&amp;". ")&amp;IF(LEN(IF(LEN(INDEX('Assets'!$M$4:$M$503,_calc!$E$281))=0,"",INDEX('Assets'!$M$4:$M$503,_calc!$E$281)))=0,"","Last result: "&amp;IF(LEN(INDEX('Assets'!$M$4:$M$503,_calc!$E$281))=0,"",INDEX('Assets'!$M$4:$M$503,_calc!$E$281))&amp;". ")&amp;IF(LEN(IF(LEN(INDEX('Assets'!$Q$4:$Q$503,_calc!$E$281))=0,"",INDEX('Assets'!$Q$4:$Q$503,_calc!$E$281)))=0,"",IF(LEN(INDEX('Assets'!$Q$4:$Q$503,_calc!$E$281))=0,"",INDEX('Assets'!$Q$4:$Q$503,_calc!$E$281)))))</f>
        <v/>
      </c>
      <c r="G279" s="44">
        <f>IF(_calc!$E$281="","",IF(LEN(INDEX('Assets'!$P$4:$P$503,_calc!$E$281))=0,"",INDEX('Assets'!$P$4:$P$503,_calc!$E$281)))</f>
        <v/>
      </c>
      <c r="K279" s="44">
        <f>IF(_calc!$E$281="","",IF(LEN(INDEX('Assets'!$N$4:$N$503,_calc!$E$281))=0,"",INDEX('Assets'!$N$4:$N$503,_calc!$E$281)))</f>
        <v/>
      </c>
    </row>
    <row r="280">
      <c r="A280" s="44">
        <f>IF(_calc!$E$282="","",IF(LEN(INDEX('Assets'!$D$4:$D$503,_calc!$E$282))=0,"",INDEX('Assets'!$D$4:$D$503,_calc!$E$282))&amp;" – "&amp;IF(LEN(INDEX('Assets'!$A$4:$A$503,_calc!$E$282))=0,"",INDEX('Assets'!$A$4:$A$503,_calc!$E$282)))</f>
        <v/>
      </c>
      <c r="B280" s="44">
        <f>IF(_calc!$E$282="","",IF(ISNUMBER(INDEX('Assets'!$G$4:$G$503,_calc!$E$282)),TEXT(INDEX('Assets'!$G$4:$G$503,_calc!$E$282),"yyyy-mm-dd"),""))</f>
        <v/>
      </c>
      <c r="C280" s="44">
        <f>IF(_calc!$E$282="","","Inspection")</f>
        <v/>
      </c>
      <c r="D280" s="44">
        <f>IF(_calc!$E$282="","",IF(ISNUMBER(INDEX('Assets'!$F$4:$F$503,_calc!$E$282)),TEXT(INDEX('Assets'!$F$4:$F$503,_calc!$E$282),"yyyy-mm-dd"),""))</f>
        <v/>
      </c>
      <c r="E280" s="44">
        <f>IF(_calc!$E$282="","",IF(LEN(INDEX('Assets'!$O$4:$O$503,_calc!$E$282))=0,"",INDEX('Assets'!$O$4:$O$503,_calc!$E$282)))</f>
        <v/>
      </c>
      <c r="F280" s="44">
        <f>IF(_calc!$E$282="","",TRIM(IF(LEN(IF(LEN(INDEX('Assets'!$B$4:$B$503,_calc!$E$282))=0,"",INDEX('Assets'!$B$4:$B$503,_calc!$E$282)))=0,"","Asset ID: "&amp;IF(LEN(INDEX('Assets'!$B$4:$B$503,_calc!$E$282))=0,"",INDEX('Assets'!$B$4:$B$503,_calc!$E$282))&amp;". ")&amp;IF(LEN(IF(LEN(INDEX('Assets'!$C$4:$C$503,_calc!$E$282))=0,"",INDEX('Assets'!$C$4:$C$503,_calc!$E$282)))=0,"","Location: "&amp;IF(LEN(INDEX('Assets'!$C$4:$C$503,_calc!$E$282))=0,"",INDEX('Assets'!$C$4:$C$503,_calc!$E$282))&amp;". ")&amp;IF(LEN(IF(LEN(INDEX('Assets'!$E$4:$E$503,_calc!$E$282))=0,"",INDEX('Assets'!$E$4:$E$503,_calc!$E$282)))=0,"","Every (months): "&amp;IF(LEN(INDEX('Assets'!$E$4:$E$503,_calc!$E$282))=0,"",INDEX('Assets'!$E$4:$E$503,_calc!$E$282))&amp;". ")&amp;IF(LEN(IF(LEN(INDEX('Assets'!$M$4:$M$503,_calc!$E$282))=0,"",INDEX('Assets'!$M$4:$M$503,_calc!$E$282)))=0,"","Last result: "&amp;IF(LEN(INDEX('Assets'!$M$4:$M$503,_calc!$E$282))=0,"",INDEX('Assets'!$M$4:$M$503,_calc!$E$282))&amp;". ")&amp;IF(LEN(IF(LEN(INDEX('Assets'!$Q$4:$Q$503,_calc!$E$282))=0,"",INDEX('Assets'!$Q$4:$Q$503,_calc!$E$282)))=0,"",IF(LEN(INDEX('Assets'!$Q$4:$Q$503,_calc!$E$282))=0,"",INDEX('Assets'!$Q$4:$Q$503,_calc!$E$282)))))</f>
        <v/>
      </c>
      <c r="G280" s="44">
        <f>IF(_calc!$E$282="","",IF(LEN(INDEX('Assets'!$P$4:$P$503,_calc!$E$282))=0,"",INDEX('Assets'!$P$4:$P$503,_calc!$E$282)))</f>
        <v/>
      </c>
      <c r="K280" s="44">
        <f>IF(_calc!$E$282="","",IF(LEN(INDEX('Assets'!$N$4:$N$503,_calc!$E$282))=0,"",INDEX('Assets'!$N$4:$N$503,_calc!$E$282)))</f>
        <v/>
      </c>
    </row>
    <row r="281">
      <c r="A281" s="44">
        <f>IF(_calc!$E$283="","",IF(LEN(INDEX('Assets'!$D$4:$D$503,_calc!$E$283))=0,"",INDEX('Assets'!$D$4:$D$503,_calc!$E$283))&amp;" – "&amp;IF(LEN(INDEX('Assets'!$A$4:$A$503,_calc!$E$283))=0,"",INDEX('Assets'!$A$4:$A$503,_calc!$E$283)))</f>
        <v/>
      </c>
      <c r="B281" s="44">
        <f>IF(_calc!$E$283="","",IF(ISNUMBER(INDEX('Assets'!$G$4:$G$503,_calc!$E$283)),TEXT(INDEX('Assets'!$G$4:$G$503,_calc!$E$283),"yyyy-mm-dd"),""))</f>
        <v/>
      </c>
      <c r="C281" s="44">
        <f>IF(_calc!$E$283="","","Inspection")</f>
        <v/>
      </c>
      <c r="D281" s="44">
        <f>IF(_calc!$E$283="","",IF(ISNUMBER(INDEX('Assets'!$F$4:$F$503,_calc!$E$283)),TEXT(INDEX('Assets'!$F$4:$F$503,_calc!$E$283),"yyyy-mm-dd"),""))</f>
        <v/>
      </c>
      <c r="E281" s="44">
        <f>IF(_calc!$E$283="","",IF(LEN(INDEX('Assets'!$O$4:$O$503,_calc!$E$283))=0,"",INDEX('Assets'!$O$4:$O$503,_calc!$E$283)))</f>
        <v/>
      </c>
      <c r="F281" s="44">
        <f>IF(_calc!$E$283="","",TRIM(IF(LEN(IF(LEN(INDEX('Assets'!$B$4:$B$503,_calc!$E$283))=0,"",INDEX('Assets'!$B$4:$B$503,_calc!$E$283)))=0,"","Asset ID: "&amp;IF(LEN(INDEX('Assets'!$B$4:$B$503,_calc!$E$283))=0,"",INDEX('Assets'!$B$4:$B$503,_calc!$E$283))&amp;". ")&amp;IF(LEN(IF(LEN(INDEX('Assets'!$C$4:$C$503,_calc!$E$283))=0,"",INDEX('Assets'!$C$4:$C$503,_calc!$E$283)))=0,"","Location: "&amp;IF(LEN(INDEX('Assets'!$C$4:$C$503,_calc!$E$283))=0,"",INDEX('Assets'!$C$4:$C$503,_calc!$E$283))&amp;". ")&amp;IF(LEN(IF(LEN(INDEX('Assets'!$E$4:$E$503,_calc!$E$283))=0,"",INDEX('Assets'!$E$4:$E$503,_calc!$E$283)))=0,"","Every (months): "&amp;IF(LEN(INDEX('Assets'!$E$4:$E$503,_calc!$E$283))=0,"",INDEX('Assets'!$E$4:$E$503,_calc!$E$283))&amp;". ")&amp;IF(LEN(IF(LEN(INDEX('Assets'!$M$4:$M$503,_calc!$E$283))=0,"",INDEX('Assets'!$M$4:$M$503,_calc!$E$283)))=0,"","Last result: "&amp;IF(LEN(INDEX('Assets'!$M$4:$M$503,_calc!$E$283))=0,"",INDEX('Assets'!$M$4:$M$503,_calc!$E$283))&amp;". ")&amp;IF(LEN(IF(LEN(INDEX('Assets'!$Q$4:$Q$503,_calc!$E$283))=0,"",INDEX('Assets'!$Q$4:$Q$503,_calc!$E$283)))=0,"",IF(LEN(INDEX('Assets'!$Q$4:$Q$503,_calc!$E$283))=0,"",INDEX('Assets'!$Q$4:$Q$503,_calc!$E$283)))))</f>
        <v/>
      </c>
      <c r="G281" s="44">
        <f>IF(_calc!$E$283="","",IF(LEN(INDEX('Assets'!$P$4:$P$503,_calc!$E$283))=0,"",INDEX('Assets'!$P$4:$P$503,_calc!$E$283)))</f>
        <v/>
      </c>
      <c r="K281" s="44">
        <f>IF(_calc!$E$283="","",IF(LEN(INDEX('Assets'!$N$4:$N$503,_calc!$E$283))=0,"",INDEX('Assets'!$N$4:$N$503,_calc!$E$283)))</f>
        <v/>
      </c>
    </row>
    <row r="282">
      <c r="A282" s="44">
        <f>IF(_calc!$E$284="","",IF(LEN(INDEX('Assets'!$D$4:$D$503,_calc!$E$284))=0,"",INDEX('Assets'!$D$4:$D$503,_calc!$E$284))&amp;" – "&amp;IF(LEN(INDEX('Assets'!$A$4:$A$503,_calc!$E$284))=0,"",INDEX('Assets'!$A$4:$A$503,_calc!$E$284)))</f>
        <v/>
      </c>
      <c r="B282" s="44">
        <f>IF(_calc!$E$284="","",IF(ISNUMBER(INDEX('Assets'!$G$4:$G$503,_calc!$E$284)),TEXT(INDEX('Assets'!$G$4:$G$503,_calc!$E$284),"yyyy-mm-dd"),""))</f>
        <v/>
      </c>
      <c r="C282" s="44">
        <f>IF(_calc!$E$284="","","Inspection")</f>
        <v/>
      </c>
      <c r="D282" s="44">
        <f>IF(_calc!$E$284="","",IF(ISNUMBER(INDEX('Assets'!$F$4:$F$503,_calc!$E$284)),TEXT(INDEX('Assets'!$F$4:$F$503,_calc!$E$284),"yyyy-mm-dd"),""))</f>
        <v/>
      </c>
      <c r="E282" s="44">
        <f>IF(_calc!$E$284="","",IF(LEN(INDEX('Assets'!$O$4:$O$503,_calc!$E$284))=0,"",INDEX('Assets'!$O$4:$O$503,_calc!$E$284)))</f>
        <v/>
      </c>
      <c r="F282" s="44">
        <f>IF(_calc!$E$284="","",TRIM(IF(LEN(IF(LEN(INDEX('Assets'!$B$4:$B$503,_calc!$E$284))=0,"",INDEX('Assets'!$B$4:$B$503,_calc!$E$284)))=0,"","Asset ID: "&amp;IF(LEN(INDEX('Assets'!$B$4:$B$503,_calc!$E$284))=0,"",INDEX('Assets'!$B$4:$B$503,_calc!$E$284))&amp;". ")&amp;IF(LEN(IF(LEN(INDEX('Assets'!$C$4:$C$503,_calc!$E$284))=0,"",INDEX('Assets'!$C$4:$C$503,_calc!$E$284)))=0,"","Location: "&amp;IF(LEN(INDEX('Assets'!$C$4:$C$503,_calc!$E$284))=0,"",INDEX('Assets'!$C$4:$C$503,_calc!$E$284))&amp;". ")&amp;IF(LEN(IF(LEN(INDEX('Assets'!$E$4:$E$503,_calc!$E$284))=0,"",INDEX('Assets'!$E$4:$E$503,_calc!$E$284)))=0,"","Every (months): "&amp;IF(LEN(INDEX('Assets'!$E$4:$E$503,_calc!$E$284))=0,"",INDEX('Assets'!$E$4:$E$503,_calc!$E$284))&amp;". ")&amp;IF(LEN(IF(LEN(INDEX('Assets'!$M$4:$M$503,_calc!$E$284))=0,"",INDEX('Assets'!$M$4:$M$503,_calc!$E$284)))=0,"","Last result: "&amp;IF(LEN(INDEX('Assets'!$M$4:$M$503,_calc!$E$284))=0,"",INDEX('Assets'!$M$4:$M$503,_calc!$E$284))&amp;". ")&amp;IF(LEN(IF(LEN(INDEX('Assets'!$Q$4:$Q$503,_calc!$E$284))=0,"",INDEX('Assets'!$Q$4:$Q$503,_calc!$E$284)))=0,"",IF(LEN(INDEX('Assets'!$Q$4:$Q$503,_calc!$E$284))=0,"",INDEX('Assets'!$Q$4:$Q$503,_calc!$E$284)))))</f>
        <v/>
      </c>
      <c r="G282" s="44">
        <f>IF(_calc!$E$284="","",IF(LEN(INDEX('Assets'!$P$4:$P$503,_calc!$E$284))=0,"",INDEX('Assets'!$P$4:$P$503,_calc!$E$284)))</f>
        <v/>
      </c>
      <c r="K282" s="44">
        <f>IF(_calc!$E$284="","",IF(LEN(INDEX('Assets'!$N$4:$N$503,_calc!$E$284))=0,"",INDEX('Assets'!$N$4:$N$503,_calc!$E$284)))</f>
        <v/>
      </c>
    </row>
    <row r="283">
      <c r="A283" s="44">
        <f>IF(_calc!$E$285="","",IF(LEN(INDEX('Assets'!$D$4:$D$503,_calc!$E$285))=0,"",INDEX('Assets'!$D$4:$D$503,_calc!$E$285))&amp;" – "&amp;IF(LEN(INDEX('Assets'!$A$4:$A$503,_calc!$E$285))=0,"",INDEX('Assets'!$A$4:$A$503,_calc!$E$285)))</f>
        <v/>
      </c>
      <c r="B283" s="44">
        <f>IF(_calc!$E$285="","",IF(ISNUMBER(INDEX('Assets'!$G$4:$G$503,_calc!$E$285)),TEXT(INDEX('Assets'!$G$4:$G$503,_calc!$E$285),"yyyy-mm-dd"),""))</f>
        <v/>
      </c>
      <c r="C283" s="44">
        <f>IF(_calc!$E$285="","","Inspection")</f>
        <v/>
      </c>
      <c r="D283" s="44">
        <f>IF(_calc!$E$285="","",IF(ISNUMBER(INDEX('Assets'!$F$4:$F$503,_calc!$E$285)),TEXT(INDEX('Assets'!$F$4:$F$503,_calc!$E$285),"yyyy-mm-dd"),""))</f>
        <v/>
      </c>
      <c r="E283" s="44">
        <f>IF(_calc!$E$285="","",IF(LEN(INDEX('Assets'!$O$4:$O$503,_calc!$E$285))=0,"",INDEX('Assets'!$O$4:$O$503,_calc!$E$285)))</f>
        <v/>
      </c>
      <c r="F283" s="44">
        <f>IF(_calc!$E$285="","",TRIM(IF(LEN(IF(LEN(INDEX('Assets'!$B$4:$B$503,_calc!$E$285))=0,"",INDEX('Assets'!$B$4:$B$503,_calc!$E$285)))=0,"","Asset ID: "&amp;IF(LEN(INDEX('Assets'!$B$4:$B$503,_calc!$E$285))=0,"",INDEX('Assets'!$B$4:$B$503,_calc!$E$285))&amp;". ")&amp;IF(LEN(IF(LEN(INDEX('Assets'!$C$4:$C$503,_calc!$E$285))=0,"",INDEX('Assets'!$C$4:$C$503,_calc!$E$285)))=0,"","Location: "&amp;IF(LEN(INDEX('Assets'!$C$4:$C$503,_calc!$E$285))=0,"",INDEX('Assets'!$C$4:$C$503,_calc!$E$285))&amp;". ")&amp;IF(LEN(IF(LEN(INDEX('Assets'!$E$4:$E$503,_calc!$E$285))=0,"",INDEX('Assets'!$E$4:$E$503,_calc!$E$285)))=0,"","Every (months): "&amp;IF(LEN(INDEX('Assets'!$E$4:$E$503,_calc!$E$285))=0,"",INDEX('Assets'!$E$4:$E$503,_calc!$E$285))&amp;". ")&amp;IF(LEN(IF(LEN(INDEX('Assets'!$M$4:$M$503,_calc!$E$285))=0,"",INDEX('Assets'!$M$4:$M$503,_calc!$E$285)))=0,"","Last result: "&amp;IF(LEN(INDEX('Assets'!$M$4:$M$503,_calc!$E$285))=0,"",INDEX('Assets'!$M$4:$M$503,_calc!$E$285))&amp;". ")&amp;IF(LEN(IF(LEN(INDEX('Assets'!$Q$4:$Q$503,_calc!$E$285))=0,"",INDEX('Assets'!$Q$4:$Q$503,_calc!$E$285)))=0,"",IF(LEN(INDEX('Assets'!$Q$4:$Q$503,_calc!$E$285))=0,"",INDEX('Assets'!$Q$4:$Q$503,_calc!$E$285)))))</f>
        <v/>
      </c>
      <c r="G283" s="44">
        <f>IF(_calc!$E$285="","",IF(LEN(INDEX('Assets'!$P$4:$P$503,_calc!$E$285))=0,"",INDEX('Assets'!$P$4:$P$503,_calc!$E$285)))</f>
        <v/>
      </c>
      <c r="K283" s="44">
        <f>IF(_calc!$E$285="","",IF(LEN(INDEX('Assets'!$N$4:$N$503,_calc!$E$285))=0,"",INDEX('Assets'!$N$4:$N$503,_calc!$E$285)))</f>
        <v/>
      </c>
    </row>
    <row r="284">
      <c r="A284" s="44">
        <f>IF(_calc!$E$286="","",IF(LEN(INDEX('Assets'!$D$4:$D$503,_calc!$E$286))=0,"",INDEX('Assets'!$D$4:$D$503,_calc!$E$286))&amp;" – "&amp;IF(LEN(INDEX('Assets'!$A$4:$A$503,_calc!$E$286))=0,"",INDEX('Assets'!$A$4:$A$503,_calc!$E$286)))</f>
        <v/>
      </c>
      <c r="B284" s="44">
        <f>IF(_calc!$E$286="","",IF(ISNUMBER(INDEX('Assets'!$G$4:$G$503,_calc!$E$286)),TEXT(INDEX('Assets'!$G$4:$G$503,_calc!$E$286),"yyyy-mm-dd"),""))</f>
        <v/>
      </c>
      <c r="C284" s="44">
        <f>IF(_calc!$E$286="","","Inspection")</f>
        <v/>
      </c>
      <c r="D284" s="44">
        <f>IF(_calc!$E$286="","",IF(ISNUMBER(INDEX('Assets'!$F$4:$F$503,_calc!$E$286)),TEXT(INDEX('Assets'!$F$4:$F$503,_calc!$E$286),"yyyy-mm-dd"),""))</f>
        <v/>
      </c>
      <c r="E284" s="44">
        <f>IF(_calc!$E$286="","",IF(LEN(INDEX('Assets'!$O$4:$O$503,_calc!$E$286))=0,"",INDEX('Assets'!$O$4:$O$503,_calc!$E$286)))</f>
        <v/>
      </c>
      <c r="F284" s="44">
        <f>IF(_calc!$E$286="","",TRIM(IF(LEN(IF(LEN(INDEX('Assets'!$B$4:$B$503,_calc!$E$286))=0,"",INDEX('Assets'!$B$4:$B$503,_calc!$E$286)))=0,"","Asset ID: "&amp;IF(LEN(INDEX('Assets'!$B$4:$B$503,_calc!$E$286))=0,"",INDEX('Assets'!$B$4:$B$503,_calc!$E$286))&amp;". ")&amp;IF(LEN(IF(LEN(INDEX('Assets'!$C$4:$C$503,_calc!$E$286))=0,"",INDEX('Assets'!$C$4:$C$503,_calc!$E$286)))=0,"","Location: "&amp;IF(LEN(INDEX('Assets'!$C$4:$C$503,_calc!$E$286))=0,"",INDEX('Assets'!$C$4:$C$503,_calc!$E$286))&amp;". ")&amp;IF(LEN(IF(LEN(INDEX('Assets'!$E$4:$E$503,_calc!$E$286))=0,"",INDEX('Assets'!$E$4:$E$503,_calc!$E$286)))=0,"","Every (months): "&amp;IF(LEN(INDEX('Assets'!$E$4:$E$503,_calc!$E$286))=0,"",INDEX('Assets'!$E$4:$E$503,_calc!$E$286))&amp;". ")&amp;IF(LEN(IF(LEN(INDEX('Assets'!$M$4:$M$503,_calc!$E$286))=0,"",INDEX('Assets'!$M$4:$M$503,_calc!$E$286)))=0,"","Last result: "&amp;IF(LEN(INDEX('Assets'!$M$4:$M$503,_calc!$E$286))=0,"",INDEX('Assets'!$M$4:$M$503,_calc!$E$286))&amp;". ")&amp;IF(LEN(IF(LEN(INDEX('Assets'!$Q$4:$Q$503,_calc!$E$286))=0,"",INDEX('Assets'!$Q$4:$Q$503,_calc!$E$286)))=0,"",IF(LEN(INDEX('Assets'!$Q$4:$Q$503,_calc!$E$286))=0,"",INDEX('Assets'!$Q$4:$Q$503,_calc!$E$286)))))</f>
        <v/>
      </c>
      <c r="G284" s="44">
        <f>IF(_calc!$E$286="","",IF(LEN(INDEX('Assets'!$P$4:$P$503,_calc!$E$286))=0,"",INDEX('Assets'!$P$4:$P$503,_calc!$E$286)))</f>
        <v/>
      </c>
      <c r="K284" s="44">
        <f>IF(_calc!$E$286="","",IF(LEN(INDEX('Assets'!$N$4:$N$503,_calc!$E$286))=0,"",INDEX('Assets'!$N$4:$N$503,_calc!$E$286)))</f>
        <v/>
      </c>
    </row>
    <row r="285">
      <c r="A285" s="44">
        <f>IF(_calc!$E$287="","",IF(LEN(INDEX('Assets'!$D$4:$D$503,_calc!$E$287))=0,"",INDEX('Assets'!$D$4:$D$503,_calc!$E$287))&amp;" – "&amp;IF(LEN(INDEX('Assets'!$A$4:$A$503,_calc!$E$287))=0,"",INDEX('Assets'!$A$4:$A$503,_calc!$E$287)))</f>
        <v/>
      </c>
      <c r="B285" s="44">
        <f>IF(_calc!$E$287="","",IF(ISNUMBER(INDEX('Assets'!$G$4:$G$503,_calc!$E$287)),TEXT(INDEX('Assets'!$G$4:$G$503,_calc!$E$287),"yyyy-mm-dd"),""))</f>
        <v/>
      </c>
      <c r="C285" s="44">
        <f>IF(_calc!$E$287="","","Inspection")</f>
        <v/>
      </c>
      <c r="D285" s="44">
        <f>IF(_calc!$E$287="","",IF(ISNUMBER(INDEX('Assets'!$F$4:$F$503,_calc!$E$287)),TEXT(INDEX('Assets'!$F$4:$F$503,_calc!$E$287),"yyyy-mm-dd"),""))</f>
        <v/>
      </c>
      <c r="E285" s="44">
        <f>IF(_calc!$E$287="","",IF(LEN(INDEX('Assets'!$O$4:$O$503,_calc!$E$287))=0,"",INDEX('Assets'!$O$4:$O$503,_calc!$E$287)))</f>
        <v/>
      </c>
      <c r="F285" s="44">
        <f>IF(_calc!$E$287="","",TRIM(IF(LEN(IF(LEN(INDEX('Assets'!$B$4:$B$503,_calc!$E$287))=0,"",INDEX('Assets'!$B$4:$B$503,_calc!$E$287)))=0,"","Asset ID: "&amp;IF(LEN(INDEX('Assets'!$B$4:$B$503,_calc!$E$287))=0,"",INDEX('Assets'!$B$4:$B$503,_calc!$E$287))&amp;". ")&amp;IF(LEN(IF(LEN(INDEX('Assets'!$C$4:$C$503,_calc!$E$287))=0,"",INDEX('Assets'!$C$4:$C$503,_calc!$E$287)))=0,"","Location: "&amp;IF(LEN(INDEX('Assets'!$C$4:$C$503,_calc!$E$287))=0,"",INDEX('Assets'!$C$4:$C$503,_calc!$E$287))&amp;". ")&amp;IF(LEN(IF(LEN(INDEX('Assets'!$E$4:$E$503,_calc!$E$287))=0,"",INDEX('Assets'!$E$4:$E$503,_calc!$E$287)))=0,"","Every (months): "&amp;IF(LEN(INDEX('Assets'!$E$4:$E$503,_calc!$E$287))=0,"",INDEX('Assets'!$E$4:$E$503,_calc!$E$287))&amp;". ")&amp;IF(LEN(IF(LEN(INDEX('Assets'!$M$4:$M$503,_calc!$E$287))=0,"",INDEX('Assets'!$M$4:$M$503,_calc!$E$287)))=0,"","Last result: "&amp;IF(LEN(INDEX('Assets'!$M$4:$M$503,_calc!$E$287))=0,"",INDEX('Assets'!$M$4:$M$503,_calc!$E$287))&amp;". ")&amp;IF(LEN(IF(LEN(INDEX('Assets'!$Q$4:$Q$503,_calc!$E$287))=0,"",INDEX('Assets'!$Q$4:$Q$503,_calc!$E$287)))=0,"",IF(LEN(INDEX('Assets'!$Q$4:$Q$503,_calc!$E$287))=0,"",INDEX('Assets'!$Q$4:$Q$503,_calc!$E$287)))))</f>
        <v/>
      </c>
      <c r="G285" s="44">
        <f>IF(_calc!$E$287="","",IF(LEN(INDEX('Assets'!$P$4:$P$503,_calc!$E$287))=0,"",INDEX('Assets'!$P$4:$P$503,_calc!$E$287)))</f>
        <v/>
      </c>
      <c r="K285" s="44">
        <f>IF(_calc!$E$287="","",IF(LEN(INDEX('Assets'!$N$4:$N$503,_calc!$E$287))=0,"",INDEX('Assets'!$N$4:$N$503,_calc!$E$287)))</f>
        <v/>
      </c>
    </row>
    <row r="286">
      <c r="A286" s="44">
        <f>IF(_calc!$E$288="","",IF(LEN(INDEX('Assets'!$D$4:$D$503,_calc!$E$288))=0,"",INDEX('Assets'!$D$4:$D$503,_calc!$E$288))&amp;" – "&amp;IF(LEN(INDEX('Assets'!$A$4:$A$503,_calc!$E$288))=0,"",INDEX('Assets'!$A$4:$A$503,_calc!$E$288)))</f>
        <v/>
      </c>
      <c r="B286" s="44">
        <f>IF(_calc!$E$288="","",IF(ISNUMBER(INDEX('Assets'!$G$4:$G$503,_calc!$E$288)),TEXT(INDEX('Assets'!$G$4:$G$503,_calc!$E$288),"yyyy-mm-dd"),""))</f>
        <v/>
      </c>
      <c r="C286" s="44">
        <f>IF(_calc!$E$288="","","Inspection")</f>
        <v/>
      </c>
      <c r="D286" s="44">
        <f>IF(_calc!$E$288="","",IF(ISNUMBER(INDEX('Assets'!$F$4:$F$503,_calc!$E$288)),TEXT(INDEX('Assets'!$F$4:$F$503,_calc!$E$288),"yyyy-mm-dd"),""))</f>
        <v/>
      </c>
      <c r="E286" s="44">
        <f>IF(_calc!$E$288="","",IF(LEN(INDEX('Assets'!$O$4:$O$503,_calc!$E$288))=0,"",INDEX('Assets'!$O$4:$O$503,_calc!$E$288)))</f>
        <v/>
      </c>
      <c r="F286" s="44">
        <f>IF(_calc!$E$288="","",TRIM(IF(LEN(IF(LEN(INDEX('Assets'!$B$4:$B$503,_calc!$E$288))=0,"",INDEX('Assets'!$B$4:$B$503,_calc!$E$288)))=0,"","Asset ID: "&amp;IF(LEN(INDEX('Assets'!$B$4:$B$503,_calc!$E$288))=0,"",INDEX('Assets'!$B$4:$B$503,_calc!$E$288))&amp;". ")&amp;IF(LEN(IF(LEN(INDEX('Assets'!$C$4:$C$503,_calc!$E$288))=0,"",INDEX('Assets'!$C$4:$C$503,_calc!$E$288)))=0,"","Location: "&amp;IF(LEN(INDEX('Assets'!$C$4:$C$503,_calc!$E$288))=0,"",INDEX('Assets'!$C$4:$C$503,_calc!$E$288))&amp;". ")&amp;IF(LEN(IF(LEN(INDEX('Assets'!$E$4:$E$503,_calc!$E$288))=0,"",INDEX('Assets'!$E$4:$E$503,_calc!$E$288)))=0,"","Every (months): "&amp;IF(LEN(INDEX('Assets'!$E$4:$E$503,_calc!$E$288))=0,"",INDEX('Assets'!$E$4:$E$503,_calc!$E$288))&amp;". ")&amp;IF(LEN(IF(LEN(INDEX('Assets'!$M$4:$M$503,_calc!$E$288))=0,"",INDEX('Assets'!$M$4:$M$503,_calc!$E$288)))=0,"","Last result: "&amp;IF(LEN(INDEX('Assets'!$M$4:$M$503,_calc!$E$288))=0,"",INDEX('Assets'!$M$4:$M$503,_calc!$E$288))&amp;". ")&amp;IF(LEN(IF(LEN(INDEX('Assets'!$Q$4:$Q$503,_calc!$E$288))=0,"",INDEX('Assets'!$Q$4:$Q$503,_calc!$E$288)))=0,"",IF(LEN(INDEX('Assets'!$Q$4:$Q$503,_calc!$E$288))=0,"",INDEX('Assets'!$Q$4:$Q$503,_calc!$E$288)))))</f>
        <v/>
      </c>
      <c r="G286" s="44">
        <f>IF(_calc!$E$288="","",IF(LEN(INDEX('Assets'!$P$4:$P$503,_calc!$E$288))=0,"",INDEX('Assets'!$P$4:$P$503,_calc!$E$288)))</f>
        <v/>
      </c>
      <c r="K286" s="44">
        <f>IF(_calc!$E$288="","",IF(LEN(INDEX('Assets'!$N$4:$N$503,_calc!$E$288))=0,"",INDEX('Assets'!$N$4:$N$503,_calc!$E$288)))</f>
        <v/>
      </c>
    </row>
    <row r="287">
      <c r="A287" s="44">
        <f>IF(_calc!$E$289="","",IF(LEN(INDEX('Assets'!$D$4:$D$503,_calc!$E$289))=0,"",INDEX('Assets'!$D$4:$D$503,_calc!$E$289))&amp;" – "&amp;IF(LEN(INDEX('Assets'!$A$4:$A$503,_calc!$E$289))=0,"",INDEX('Assets'!$A$4:$A$503,_calc!$E$289)))</f>
        <v/>
      </c>
      <c r="B287" s="44">
        <f>IF(_calc!$E$289="","",IF(ISNUMBER(INDEX('Assets'!$G$4:$G$503,_calc!$E$289)),TEXT(INDEX('Assets'!$G$4:$G$503,_calc!$E$289),"yyyy-mm-dd"),""))</f>
        <v/>
      </c>
      <c r="C287" s="44">
        <f>IF(_calc!$E$289="","","Inspection")</f>
        <v/>
      </c>
      <c r="D287" s="44">
        <f>IF(_calc!$E$289="","",IF(ISNUMBER(INDEX('Assets'!$F$4:$F$503,_calc!$E$289)),TEXT(INDEX('Assets'!$F$4:$F$503,_calc!$E$289),"yyyy-mm-dd"),""))</f>
        <v/>
      </c>
      <c r="E287" s="44">
        <f>IF(_calc!$E$289="","",IF(LEN(INDEX('Assets'!$O$4:$O$503,_calc!$E$289))=0,"",INDEX('Assets'!$O$4:$O$503,_calc!$E$289)))</f>
        <v/>
      </c>
      <c r="F287" s="44">
        <f>IF(_calc!$E$289="","",TRIM(IF(LEN(IF(LEN(INDEX('Assets'!$B$4:$B$503,_calc!$E$289))=0,"",INDEX('Assets'!$B$4:$B$503,_calc!$E$289)))=0,"","Asset ID: "&amp;IF(LEN(INDEX('Assets'!$B$4:$B$503,_calc!$E$289))=0,"",INDEX('Assets'!$B$4:$B$503,_calc!$E$289))&amp;". ")&amp;IF(LEN(IF(LEN(INDEX('Assets'!$C$4:$C$503,_calc!$E$289))=0,"",INDEX('Assets'!$C$4:$C$503,_calc!$E$289)))=0,"","Location: "&amp;IF(LEN(INDEX('Assets'!$C$4:$C$503,_calc!$E$289))=0,"",INDEX('Assets'!$C$4:$C$503,_calc!$E$289))&amp;". ")&amp;IF(LEN(IF(LEN(INDEX('Assets'!$E$4:$E$503,_calc!$E$289))=0,"",INDEX('Assets'!$E$4:$E$503,_calc!$E$289)))=0,"","Every (months): "&amp;IF(LEN(INDEX('Assets'!$E$4:$E$503,_calc!$E$289))=0,"",INDEX('Assets'!$E$4:$E$503,_calc!$E$289))&amp;". ")&amp;IF(LEN(IF(LEN(INDEX('Assets'!$M$4:$M$503,_calc!$E$289))=0,"",INDEX('Assets'!$M$4:$M$503,_calc!$E$289)))=0,"","Last result: "&amp;IF(LEN(INDEX('Assets'!$M$4:$M$503,_calc!$E$289))=0,"",INDEX('Assets'!$M$4:$M$503,_calc!$E$289))&amp;". ")&amp;IF(LEN(IF(LEN(INDEX('Assets'!$Q$4:$Q$503,_calc!$E$289))=0,"",INDEX('Assets'!$Q$4:$Q$503,_calc!$E$289)))=0,"",IF(LEN(INDEX('Assets'!$Q$4:$Q$503,_calc!$E$289))=0,"",INDEX('Assets'!$Q$4:$Q$503,_calc!$E$289)))))</f>
        <v/>
      </c>
      <c r="G287" s="44">
        <f>IF(_calc!$E$289="","",IF(LEN(INDEX('Assets'!$P$4:$P$503,_calc!$E$289))=0,"",INDEX('Assets'!$P$4:$P$503,_calc!$E$289)))</f>
        <v/>
      </c>
      <c r="K287" s="44">
        <f>IF(_calc!$E$289="","",IF(LEN(INDEX('Assets'!$N$4:$N$503,_calc!$E$289))=0,"",INDEX('Assets'!$N$4:$N$503,_calc!$E$289)))</f>
        <v/>
      </c>
    </row>
    <row r="288">
      <c r="A288" s="44">
        <f>IF(_calc!$E$290="","",IF(LEN(INDEX('Assets'!$D$4:$D$503,_calc!$E$290))=0,"",INDEX('Assets'!$D$4:$D$503,_calc!$E$290))&amp;" – "&amp;IF(LEN(INDEX('Assets'!$A$4:$A$503,_calc!$E$290))=0,"",INDEX('Assets'!$A$4:$A$503,_calc!$E$290)))</f>
        <v/>
      </c>
      <c r="B288" s="44">
        <f>IF(_calc!$E$290="","",IF(ISNUMBER(INDEX('Assets'!$G$4:$G$503,_calc!$E$290)),TEXT(INDEX('Assets'!$G$4:$G$503,_calc!$E$290),"yyyy-mm-dd"),""))</f>
        <v/>
      </c>
      <c r="C288" s="44">
        <f>IF(_calc!$E$290="","","Inspection")</f>
        <v/>
      </c>
      <c r="D288" s="44">
        <f>IF(_calc!$E$290="","",IF(ISNUMBER(INDEX('Assets'!$F$4:$F$503,_calc!$E$290)),TEXT(INDEX('Assets'!$F$4:$F$503,_calc!$E$290),"yyyy-mm-dd"),""))</f>
        <v/>
      </c>
      <c r="E288" s="44">
        <f>IF(_calc!$E$290="","",IF(LEN(INDEX('Assets'!$O$4:$O$503,_calc!$E$290))=0,"",INDEX('Assets'!$O$4:$O$503,_calc!$E$290)))</f>
        <v/>
      </c>
      <c r="F288" s="44">
        <f>IF(_calc!$E$290="","",TRIM(IF(LEN(IF(LEN(INDEX('Assets'!$B$4:$B$503,_calc!$E$290))=0,"",INDEX('Assets'!$B$4:$B$503,_calc!$E$290)))=0,"","Asset ID: "&amp;IF(LEN(INDEX('Assets'!$B$4:$B$503,_calc!$E$290))=0,"",INDEX('Assets'!$B$4:$B$503,_calc!$E$290))&amp;". ")&amp;IF(LEN(IF(LEN(INDEX('Assets'!$C$4:$C$503,_calc!$E$290))=0,"",INDEX('Assets'!$C$4:$C$503,_calc!$E$290)))=0,"","Location: "&amp;IF(LEN(INDEX('Assets'!$C$4:$C$503,_calc!$E$290))=0,"",INDEX('Assets'!$C$4:$C$503,_calc!$E$290))&amp;". ")&amp;IF(LEN(IF(LEN(INDEX('Assets'!$E$4:$E$503,_calc!$E$290))=0,"",INDEX('Assets'!$E$4:$E$503,_calc!$E$290)))=0,"","Every (months): "&amp;IF(LEN(INDEX('Assets'!$E$4:$E$503,_calc!$E$290))=0,"",INDEX('Assets'!$E$4:$E$503,_calc!$E$290))&amp;". ")&amp;IF(LEN(IF(LEN(INDEX('Assets'!$M$4:$M$503,_calc!$E$290))=0,"",INDEX('Assets'!$M$4:$M$503,_calc!$E$290)))=0,"","Last result: "&amp;IF(LEN(INDEX('Assets'!$M$4:$M$503,_calc!$E$290))=0,"",INDEX('Assets'!$M$4:$M$503,_calc!$E$290))&amp;". ")&amp;IF(LEN(IF(LEN(INDEX('Assets'!$Q$4:$Q$503,_calc!$E$290))=0,"",INDEX('Assets'!$Q$4:$Q$503,_calc!$E$290)))=0,"",IF(LEN(INDEX('Assets'!$Q$4:$Q$503,_calc!$E$290))=0,"",INDEX('Assets'!$Q$4:$Q$503,_calc!$E$290)))))</f>
        <v/>
      </c>
      <c r="G288" s="44">
        <f>IF(_calc!$E$290="","",IF(LEN(INDEX('Assets'!$P$4:$P$503,_calc!$E$290))=0,"",INDEX('Assets'!$P$4:$P$503,_calc!$E$290)))</f>
        <v/>
      </c>
      <c r="K288" s="44">
        <f>IF(_calc!$E$290="","",IF(LEN(INDEX('Assets'!$N$4:$N$503,_calc!$E$290))=0,"",INDEX('Assets'!$N$4:$N$503,_calc!$E$290)))</f>
        <v/>
      </c>
    </row>
    <row r="289">
      <c r="A289" s="44">
        <f>IF(_calc!$E$291="","",IF(LEN(INDEX('Assets'!$D$4:$D$503,_calc!$E$291))=0,"",INDEX('Assets'!$D$4:$D$503,_calc!$E$291))&amp;" – "&amp;IF(LEN(INDEX('Assets'!$A$4:$A$503,_calc!$E$291))=0,"",INDEX('Assets'!$A$4:$A$503,_calc!$E$291)))</f>
        <v/>
      </c>
      <c r="B289" s="44">
        <f>IF(_calc!$E$291="","",IF(ISNUMBER(INDEX('Assets'!$G$4:$G$503,_calc!$E$291)),TEXT(INDEX('Assets'!$G$4:$G$503,_calc!$E$291),"yyyy-mm-dd"),""))</f>
        <v/>
      </c>
      <c r="C289" s="44">
        <f>IF(_calc!$E$291="","","Inspection")</f>
        <v/>
      </c>
      <c r="D289" s="44">
        <f>IF(_calc!$E$291="","",IF(ISNUMBER(INDEX('Assets'!$F$4:$F$503,_calc!$E$291)),TEXT(INDEX('Assets'!$F$4:$F$503,_calc!$E$291),"yyyy-mm-dd"),""))</f>
        <v/>
      </c>
      <c r="E289" s="44">
        <f>IF(_calc!$E$291="","",IF(LEN(INDEX('Assets'!$O$4:$O$503,_calc!$E$291))=0,"",INDEX('Assets'!$O$4:$O$503,_calc!$E$291)))</f>
        <v/>
      </c>
      <c r="F289" s="44">
        <f>IF(_calc!$E$291="","",TRIM(IF(LEN(IF(LEN(INDEX('Assets'!$B$4:$B$503,_calc!$E$291))=0,"",INDEX('Assets'!$B$4:$B$503,_calc!$E$291)))=0,"","Asset ID: "&amp;IF(LEN(INDEX('Assets'!$B$4:$B$503,_calc!$E$291))=0,"",INDEX('Assets'!$B$4:$B$503,_calc!$E$291))&amp;". ")&amp;IF(LEN(IF(LEN(INDEX('Assets'!$C$4:$C$503,_calc!$E$291))=0,"",INDEX('Assets'!$C$4:$C$503,_calc!$E$291)))=0,"","Location: "&amp;IF(LEN(INDEX('Assets'!$C$4:$C$503,_calc!$E$291))=0,"",INDEX('Assets'!$C$4:$C$503,_calc!$E$291))&amp;". ")&amp;IF(LEN(IF(LEN(INDEX('Assets'!$E$4:$E$503,_calc!$E$291))=0,"",INDEX('Assets'!$E$4:$E$503,_calc!$E$291)))=0,"","Every (months): "&amp;IF(LEN(INDEX('Assets'!$E$4:$E$503,_calc!$E$291))=0,"",INDEX('Assets'!$E$4:$E$503,_calc!$E$291))&amp;". ")&amp;IF(LEN(IF(LEN(INDEX('Assets'!$M$4:$M$503,_calc!$E$291))=0,"",INDEX('Assets'!$M$4:$M$503,_calc!$E$291)))=0,"","Last result: "&amp;IF(LEN(INDEX('Assets'!$M$4:$M$503,_calc!$E$291))=0,"",INDEX('Assets'!$M$4:$M$503,_calc!$E$291))&amp;". ")&amp;IF(LEN(IF(LEN(INDEX('Assets'!$Q$4:$Q$503,_calc!$E$291))=0,"",INDEX('Assets'!$Q$4:$Q$503,_calc!$E$291)))=0,"",IF(LEN(INDEX('Assets'!$Q$4:$Q$503,_calc!$E$291))=0,"",INDEX('Assets'!$Q$4:$Q$503,_calc!$E$291)))))</f>
        <v/>
      </c>
      <c r="G289" s="44">
        <f>IF(_calc!$E$291="","",IF(LEN(INDEX('Assets'!$P$4:$P$503,_calc!$E$291))=0,"",INDEX('Assets'!$P$4:$P$503,_calc!$E$291)))</f>
        <v/>
      </c>
      <c r="K289" s="44">
        <f>IF(_calc!$E$291="","",IF(LEN(INDEX('Assets'!$N$4:$N$503,_calc!$E$291))=0,"",INDEX('Assets'!$N$4:$N$503,_calc!$E$291)))</f>
        <v/>
      </c>
    </row>
    <row r="290">
      <c r="A290" s="44">
        <f>IF(_calc!$E$292="","",IF(LEN(INDEX('Assets'!$D$4:$D$503,_calc!$E$292))=0,"",INDEX('Assets'!$D$4:$D$503,_calc!$E$292))&amp;" – "&amp;IF(LEN(INDEX('Assets'!$A$4:$A$503,_calc!$E$292))=0,"",INDEX('Assets'!$A$4:$A$503,_calc!$E$292)))</f>
        <v/>
      </c>
      <c r="B290" s="44">
        <f>IF(_calc!$E$292="","",IF(ISNUMBER(INDEX('Assets'!$G$4:$G$503,_calc!$E$292)),TEXT(INDEX('Assets'!$G$4:$G$503,_calc!$E$292),"yyyy-mm-dd"),""))</f>
        <v/>
      </c>
      <c r="C290" s="44">
        <f>IF(_calc!$E$292="","","Inspection")</f>
        <v/>
      </c>
      <c r="D290" s="44">
        <f>IF(_calc!$E$292="","",IF(ISNUMBER(INDEX('Assets'!$F$4:$F$503,_calc!$E$292)),TEXT(INDEX('Assets'!$F$4:$F$503,_calc!$E$292),"yyyy-mm-dd"),""))</f>
        <v/>
      </c>
      <c r="E290" s="44">
        <f>IF(_calc!$E$292="","",IF(LEN(INDEX('Assets'!$O$4:$O$503,_calc!$E$292))=0,"",INDEX('Assets'!$O$4:$O$503,_calc!$E$292)))</f>
        <v/>
      </c>
      <c r="F290" s="44">
        <f>IF(_calc!$E$292="","",TRIM(IF(LEN(IF(LEN(INDEX('Assets'!$B$4:$B$503,_calc!$E$292))=0,"",INDEX('Assets'!$B$4:$B$503,_calc!$E$292)))=0,"","Asset ID: "&amp;IF(LEN(INDEX('Assets'!$B$4:$B$503,_calc!$E$292))=0,"",INDEX('Assets'!$B$4:$B$503,_calc!$E$292))&amp;". ")&amp;IF(LEN(IF(LEN(INDEX('Assets'!$C$4:$C$503,_calc!$E$292))=0,"",INDEX('Assets'!$C$4:$C$503,_calc!$E$292)))=0,"","Location: "&amp;IF(LEN(INDEX('Assets'!$C$4:$C$503,_calc!$E$292))=0,"",INDEX('Assets'!$C$4:$C$503,_calc!$E$292))&amp;". ")&amp;IF(LEN(IF(LEN(INDEX('Assets'!$E$4:$E$503,_calc!$E$292))=0,"",INDEX('Assets'!$E$4:$E$503,_calc!$E$292)))=0,"","Every (months): "&amp;IF(LEN(INDEX('Assets'!$E$4:$E$503,_calc!$E$292))=0,"",INDEX('Assets'!$E$4:$E$503,_calc!$E$292))&amp;". ")&amp;IF(LEN(IF(LEN(INDEX('Assets'!$M$4:$M$503,_calc!$E$292))=0,"",INDEX('Assets'!$M$4:$M$503,_calc!$E$292)))=0,"","Last result: "&amp;IF(LEN(INDEX('Assets'!$M$4:$M$503,_calc!$E$292))=0,"",INDEX('Assets'!$M$4:$M$503,_calc!$E$292))&amp;". ")&amp;IF(LEN(IF(LEN(INDEX('Assets'!$Q$4:$Q$503,_calc!$E$292))=0,"",INDEX('Assets'!$Q$4:$Q$503,_calc!$E$292)))=0,"",IF(LEN(INDEX('Assets'!$Q$4:$Q$503,_calc!$E$292))=0,"",INDEX('Assets'!$Q$4:$Q$503,_calc!$E$292)))))</f>
        <v/>
      </c>
      <c r="G290" s="44">
        <f>IF(_calc!$E$292="","",IF(LEN(INDEX('Assets'!$P$4:$P$503,_calc!$E$292))=0,"",INDEX('Assets'!$P$4:$P$503,_calc!$E$292)))</f>
        <v/>
      </c>
      <c r="K290" s="44">
        <f>IF(_calc!$E$292="","",IF(LEN(INDEX('Assets'!$N$4:$N$503,_calc!$E$292))=0,"",INDEX('Assets'!$N$4:$N$503,_calc!$E$292)))</f>
        <v/>
      </c>
    </row>
    <row r="291">
      <c r="A291" s="44">
        <f>IF(_calc!$E$293="","",IF(LEN(INDEX('Assets'!$D$4:$D$503,_calc!$E$293))=0,"",INDEX('Assets'!$D$4:$D$503,_calc!$E$293))&amp;" – "&amp;IF(LEN(INDEX('Assets'!$A$4:$A$503,_calc!$E$293))=0,"",INDEX('Assets'!$A$4:$A$503,_calc!$E$293)))</f>
        <v/>
      </c>
      <c r="B291" s="44">
        <f>IF(_calc!$E$293="","",IF(ISNUMBER(INDEX('Assets'!$G$4:$G$503,_calc!$E$293)),TEXT(INDEX('Assets'!$G$4:$G$503,_calc!$E$293),"yyyy-mm-dd"),""))</f>
        <v/>
      </c>
      <c r="C291" s="44">
        <f>IF(_calc!$E$293="","","Inspection")</f>
        <v/>
      </c>
      <c r="D291" s="44">
        <f>IF(_calc!$E$293="","",IF(ISNUMBER(INDEX('Assets'!$F$4:$F$503,_calc!$E$293)),TEXT(INDEX('Assets'!$F$4:$F$503,_calc!$E$293),"yyyy-mm-dd"),""))</f>
        <v/>
      </c>
      <c r="E291" s="44">
        <f>IF(_calc!$E$293="","",IF(LEN(INDEX('Assets'!$O$4:$O$503,_calc!$E$293))=0,"",INDEX('Assets'!$O$4:$O$503,_calc!$E$293)))</f>
        <v/>
      </c>
      <c r="F291" s="44">
        <f>IF(_calc!$E$293="","",TRIM(IF(LEN(IF(LEN(INDEX('Assets'!$B$4:$B$503,_calc!$E$293))=0,"",INDEX('Assets'!$B$4:$B$503,_calc!$E$293)))=0,"","Asset ID: "&amp;IF(LEN(INDEX('Assets'!$B$4:$B$503,_calc!$E$293))=0,"",INDEX('Assets'!$B$4:$B$503,_calc!$E$293))&amp;". ")&amp;IF(LEN(IF(LEN(INDEX('Assets'!$C$4:$C$503,_calc!$E$293))=0,"",INDEX('Assets'!$C$4:$C$503,_calc!$E$293)))=0,"","Location: "&amp;IF(LEN(INDEX('Assets'!$C$4:$C$503,_calc!$E$293))=0,"",INDEX('Assets'!$C$4:$C$503,_calc!$E$293))&amp;". ")&amp;IF(LEN(IF(LEN(INDEX('Assets'!$E$4:$E$503,_calc!$E$293))=0,"",INDEX('Assets'!$E$4:$E$503,_calc!$E$293)))=0,"","Every (months): "&amp;IF(LEN(INDEX('Assets'!$E$4:$E$503,_calc!$E$293))=0,"",INDEX('Assets'!$E$4:$E$503,_calc!$E$293))&amp;". ")&amp;IF(LEN(IF(LEN(INDEX('Assets'!$M$4:$M$503,_calc!$E$293))=0,"",INDEX('Assets'!$M$4:$M$503,_calc!$E$293)))=0,"","Last result: "&amp;IF(LEN(INDEX('Assets'!$M$4:$M$503,_calc!$E$293))=0,"",INDEX('Assets'!$M$4:$M$503,_calc!$E$293))&amp;". ")&amp;IF(LEN(IF(LEN(INDEX('Assets'!$Q$4:$Q$503,_calc!$E$293))=0,"",INDEX('Assets'!$Q$4:$Q$503,_calc!$E$293)))=0,"",IF(LEN(INDEX('Assets'!$Q$4:$Q$503,_calc!$E$293))=0,"",INDEX('Assets'!$Q$4:$Q$503,_calc!$E$293)))))</f>
        <v/>
      </c>
      <c r="G291" s="44">
        <f>IF(_calc!$E$293="","",IF(LEN(INDEX('Assets'!$P$4:$P$503,_calc!$E$293))=0,"",INDEX('Assets'!$P$4:$P$503,_calc!$E$293)))</f>
        <v/>
      </c>
      <c r="K291" s="44">
        <f>IF(_calc!$E$293="","",IF(LEN(INDEX('Assets'!$N$4:$N$503,_calc!$E$293))=0,"",INDEX('Assets'!$N$4:$N$503,_calc!$E$293)))</f>
        <v/>
      </c>
    </row>
    <row r="292">
      <c r="A292" s="44">
        <f>IF(_calc!$E$294="","",IF(LEN(INDEX('Assets'!$D$4:$D$503,_calc!$E$294))=0,"",INDEX('Assets'!$D$4:$D$503,_calc!$E$294))&amp;" – "&amp;IF(LEN(INDEX('Assets'!$A$4:$A$503,_calc!$E$294))=0,"",INDEX('Assets'!$A$4:$A$503,_calc!$E$294)))</f>
        <v/>
      </c>
      <c r="B292" s="44">
        <f>IF(_calc!$E$294="","",IF(ISNUMBER(INDEX('Assets'!$G$4:$G$503,_calc!$E$294)),TEXT(INDEX('Assets'!$G$4:$G$503,_calc!$E$294),"yyyy-mm-dd"),""))</f>
        <v/>
      </c>
      <c r="C292" s="44">
        <f>IF(_calc!$E$294="","","Inspection")</f>
        <v/>
      </c>
      <c r="D292" s="44">
        <f>IF(_calc!$E$294="","",IF(ISNUMBER(INDEX('Assets'!$F$4:$F$503,_calc!$E$294)),TEXT(INDEX('Assets'!$F$4:$F$503,_calc!$E$294),"yyyy-mm-dd"),""))</f>
        <v/>
      </c>
      <c r="E292" s="44">
        <f>IF(_calc!$E$294="","",IF(LEN(INDEX('Assets'!$O$4:$O$503,_calc!$E$294))=0,"",INDEX('Assets'!$O$4:$O$503,_calc!$E$294)))</f>
        <v/>
      </c>
      <c r="F292" s="44">
        <f>IF(_calc!$E$294="","",TRIM(IF(LEN(IF(LEN(INDEX('Assets'!$B$4:$B$503,_calc!$E$294))=0,"",INDEX('Assets'!$B$4:$B$503,_calc!$E$294)))=0,"","Asset ID: "&amp;IF(LEN(INDEX('Assets'!$B$4:$B$503,_calc!$E$294))=0,"",INDEX('Assets'!$B$4:$B$503,_calc!$E$294))&amp;". ")&amp;IF(LEN(IF(LEN(INDEX('Assets'!$C$4:$C$503,_calc!$E$294))=0,"",INDEX('Assets'!$C$4:$C$503,_calc!$E$294)))=0,"","Location: "&amp;IF(LEN(INDEX('Assets'!$C$4:$C$503,_calc!$E$294))=0,"",INDEX('Assets'!$C$4:$C$503,_calc!$E$294))&amp;". ")&amp;IF(LEN(IF(LEN(INDEX('Assets'!$E$4:$E$503,_calc!$E$294))=0,"",INDEX('Assets'!$E$4:$E$503,_calc!$E$294)))=0,"","Every (months): "&amp;IF(LEN(INDEX('Assets'!$E$4:$E$503,_calc!$E$294))=0,"",INDEX('Assets'!$E$4:$E$503,_calc!$E$294))&amp;". ")&amp;IF(LEN(IF(LEN(INDEX('Assets'!$M$4:$M$503,_calc!$E$294))=0,"",INDEX('Assets'!$M$4:$M$503,_calc!$E$294)))=0,"","Last result: "&amp;IF(LEN(INDEX('Assets'!$M$4:$M$503,_calc!$E$294))=0,"",INDEX('Assets'!$M$4:$M$503,_calc!$E$294))&amp;". ")&amp;IF(LEN(IF(LEN(INDEX('Assets'!$Q$4:$Q$503,_calc!$E$294))=0,"",INDEX('Assets'!$Q$4:$Q$503,_calc!$E$294)))=0,"",IF(LEN(INDEX('Assets'!$Q$4:$Q$503,_calc!$E$294))=0,"",INDEX('Assets'!$Q$4:$Q$503,_calc!$E$294)))))</f>
        <v/>
      </c>
      <c r="G292" s="44">
        <f>IF(_calc!$E$294="","",IF(LEN(INDEX('Assets'!$P$4:$P$503,_calc!$E$294))=0,"",INDEX('Assets'!$P$4:$P$503,_calc!$E$294)))</f>
        <v/>
      </c>
      <c r="K292" s="44">
        <f>IF(_calc!$E$294="","",IF(LEN(INDEX('Assets'!$N$4:$N$503,_calc!$E$294))=0,"",INDEX('Assets'!$N$4:$N$503,_calc!$E$294)))</f>
        <v/>
      </c>
    </row>
    <row r="293">
      <c r="A293" s="44">
        <f>IF(_calc!$E$295="","",IF(LEN(INDEX('Assets'!$D$4:$D$503,_calc!$E$295))=0,"",INDEX('Assets'!$D$4:$D$503,_calc!$E$295))&amp;" – "&amp;IF(LEN(INDEX('Assets'!$A$4:$A$503,_calc!$E$295))=0,"",INDEX('Assets'!$A$4:$A$503,_calc!$E$295)))</f>
        <v/>
      </c>
      <c r="B293" s="44">
        <f>IF(_calc!$E$295="","",IF(ISNUMBER(INDEX('Assets'!$G$4:$G$503,_calc!$E$295)),TEXT(INDEX('Assets'!$G$4:$G$503,_calc!$E$295),"yyyy-mm-dd"),""))</f>
        <v/>
      </c>
      <c r="C293" s="44">
        <f>IF(_calc!$E$295="","","Inspection")</f>
        <v/>
      </c>
      <c r="D293" s="44">
        <f>IF(_calc!$E$295="","",IF(ISNUMBER(INDEX('Assets'!$F$4:$F$503,_calc!$E$295)),TEXT(INDEX('Assets'!$F$4:$F$503,_calc!$E$295),"yyyy-mm-dd"),""))</f>
        <v/>
      </c>
      <c r="E293" s="44">
        <f>IF(_calc!$E$295="","",IF(LEN(INDEX('Assets'!$O$4:$O$503,_calc!$E$295))=0,"",INDEX('Assets'!$O$4:$O$503,_calc!$E$295)))</f>
        <v/>
      </c>
      <c r="F293" s="44">
        <f>IF(_calc!$E$295="","",TRIM(IF(LEN(IF(LEN(INDEX('Assets'!$B$4:$B$503,_calc!$E$295))=0,"",INDEX('Assets'!$B$4:$B$503,_calc!$E$295)))=0,"","Asset ID: "&amp;IF(LEN(INDEX('Assets'!$B$4:$B$503,_calc!$E$295))=0,"",INDEX('Assets'!$B$4:$B$503,_calc!$E$295))&amp;". ")&amp;IF(LEN(IF(LEN(INDEX('Assets'!$C$4:$C$503,_calc!$E$295))=0,"",INDEX('Assets'!$C$4:$C$503,_calc!$E$295)))=0,"","Location: "&amp;IF(LEN(INDEX('Assets'!$C$4:$C$503,_calc!$E$295))=0,"",INDEX('Assets'!$C$4:$C$503,_calc!$E$295))&amp;". ")&amp;IF(LEN(IF(LEN(INDEX('Assets'!$E$4:$E$503,_calc!$E$295))=0,"",INDEX('Assets'!$E$4:$E$503,_calc!$E$295)))=0,"","Every (months): "&amp;IF(LEN(INDEX('Assets'!$E$4:$E$503,_calc!$E$295))=0,"",INDEX('Assets'!$E$4:$E$503,_calc!$E$295))&amp;". ")&amp;IF(LEN(IF(LEN(INDEX('Assets'!$M$4:$M$503,_calc!$E$295))=0,"",INDEX('Assets'!$M$4:$M$503,_calc!$E$295)))=0,"","Last result: "&amp;IF(LEN(INDEX('Assets'!$M$4:$M$503,_calc!$E$295))=0,"",INDEX('Assets'!$M$4:$M$503,_calc!$E$295))&amp;". ")&amp;IF(LEN(IF(LEN(INDEX('Assets'!$Q$4:$Q$503,_calc!$E$295))=0,"",INDEX('Assets'!$Q$4:$Q$503,_calc!$E$295)))=0,"",IF(LEN(INDEX('Assets'!$Q$4:$Q$503,_calc!$E$295))=0,"",INDEX('Assets'!$Q$4:$Q$503,_calc!$E$295)))))</f>
        <v/>
      </c>
      <c r="G293" s="44">
        <f>IF(_calc!$E$295="","",IF(LEN(INDEX('Assets'!$P$4:$P$503,_calc!$E$295))=0,"",INDEX('Assets'!$P$4:$P$503,_calc!$E$295)))</f>
        <v/>
      </c>
      <c r="K293" s="44">
        <f>IF(_calc!$E$295="","",IF(LEN(INDEX('Assets'!$N$4:$N$503,_calc!$E$295))=0,"",INDEX('Assets'!$N$4:$N$503,_calc!$E$295)))</f>
        <v/>
      </c>
    </row>
    <row r="294">
      <c r="A294" s="44">
        <f>IF(_calc!$E$296="","",IF(LEN(INDEX('Assets'!$D$4:$D$503,_calc!$E$296))=0,"",INDEX('Assets'!$D$4:$D$503,_calc!$E$296))&amp;" – "&amp;IF(LEN(INDEX('Assets'!$A$4:$A$503,_calc!$E$296))=0,"",INDEX('Assets'!$A$4:$A$503,_calc!$E$296)))</f>
        <v/>
      </c>
      <c r="B294" s="44">
        <f>IF(_calc!$E$296="","",IF(ISNUMBER(INDEX('Assets'!$G$4:$G$503,_calc!$E$296)),TEXT(INDEX('Assets'!$G$4:$G$503,_calc!$E$296),"yyyy-mm-dd"),""))</f>
        <v/>
      </c>
      <c r="C294" s="44">
        <f>IF(_calc!$E$296="","","Inspection")</f>
        <v/>
      </c>
      <c r="D294" s="44">
        <f>IF(_calc!$E$296="","",IF(ISNUMBER(INDEX('Assets'!$F$4:$F$503,_calc!$E$296)),TEXT(INDEX('Assets'!$F$4:$F$503,_calc!$E$296),"yyyy-mm-dd"),""))</f>
        <v/>
      </c>
      <c r="E294" s="44">
        <f>IF(_calc!$E$296="","",IF(LEN(INDEX('Assets'!$O$4:$O$503,_calc!$E$296))=0,"",INDEX('Assets'!$O$4:$O$503,_calc!$E$296)))</f>
        <v/>
      </c>
      <c r="F294" s="44">
        <f>IF(_calc!$E$296="","",TRIM(IF(LEN(IF(LEN(INDEX('Assets'!$B$4:$B$503,_calc!$E$296))=0,"",INDEX('Assets'!$B$4:$B$503,_calc!$E$296)))=0,"","Asset ID: "&amp;IF(LEN(INDEX('Assets'!$B$4:$B$503,_calc!$E$296))=0,"",INDEX('Assets'!$B$4:$B$503,_calc!$E$296))&amp;". ")&amp;IF(LEN(IF(LEN(INDEX('Assets'!$C$4:$C$503,_calc!$E$296))=0,"",INDEX('Assets'!$C$4:$C$503,_calc!$E$296)))=0,"","Location: "&amp;IF(LEN(INDEX('Assets'!$C$4:$C$503,_calc!$E$296))=0,"",INDEX('Assets'!$C$4:$C$503,_calc!$E$296))&amp;". ")&amp;IF(LEN(IF(LEN(INDEX('Assets'!$E$4:$E$503,_calc!$E$296))=0,"",INDEX('Assets'!$E$4:$E$503,_calc!$E$296)))=0,"","Every (months): "&amp;IF(LEN(INDEX('Assets'!$E$4:$E$503,_calc!$E$296))=0,"",INDEX('Assets'!$E$4:$E$503,_calc!$E$296))&amp;". ")&amp;IF(LEN(IF(LEN(INDEX('Assets'!$M$4:$M$503,_calc!$E$296))=0,"",INDEX('Assets'!$M$4:$M$503,_calc!$E$296)))=0,"","Last result: "&amp;IF(LEN(INDEX('Assets'!$M$4:$M$503,_calc!$E$296))=0,"",INDEX('Assets'!$M$4:$M$503,_calc!$E$296))&amp;". ")&amp;IF(LEN(IF(LEN(INDEX('Assets'!$Q$4:$Q$503,_calc!$E$296))=0,"",INDEX('Assets'!$Q$4:$Q$503,_calc!$E$296)))=0,"",IF(LEN(INDEX('Assets'!$Q$4:$Q$503,_calc!$E$296))=0,"",INDEX('Assets'!$Q$4:$Q$503,_calc!$E$296)))))</f>
        <v/>
      </c>
      <c r="G294" s="44">
        <f>IF(_calc!$E$296="","",IF(LEN(INDEX('Assets'!$P$4:$P$503,_calc!$E$296))=0,"",INDEX('Assets'!$P$4:$P$503,_calc!$E$296)))</f>
        <v/>
      </c>
      <c r="K294" s="44">
        <f>IF(_calc!$E$296="","",IF(LEN(INDEX('Assets'!$N$4:$N$503,_calc!$E$296))=0,"",INDEX('Assets'!$N$4:$N$503,_calc!$E$296)))</f>
        <v/>
      </c>
    </row>
    <row r="295">
      <c r="A295" s="44">
        <f>IF(_calc!$E$297="","",IF(LEN(INDEX('Assets'!$D$4:$D$503,_calc!$E$297))=0,"",INDEX('Assets'!$D$4:$D$503,_calc!$E$297))&amp;" – "&amp;IF(LEN(INDEX('Assets'!$A$4:$A$503,_calc!$E$297))=0,"",INDEX('Assets'!$A$4:$A$503,_calc!$E$297)))</f>
        <v/>
      </c>
      <c r="B295" s="44">
        <f>IF(_calc!$E$297="","",IF(ISNUMBER(INDEX('Assets'!$G$4:$G$503,_calc!$E$297)),TEXT(INDEX('Assets'!$G$4:$G$503,_calc!$E$297),"yyyy-mm-dd"),""))</f>
        <v/>
      </c>
      <c r="C295" s="44">
        <f>IF(_calc!$E$297="","","Inspection")</f>
        <v/>
      </c>
      <c r="D295" s="44">
        <f>IF(_calc!$E$297="","",IF(ISNUMBER(INDEX('Assets'!$F$4:$F$503,_calc!$E$297)),TEXT(INDEX('Assets'!$F$4:$F$503,_calc!$E$297),"yyyy-mm-dd"),""))</f>
        <v/>
      </c>
      <c r="E295" s="44">
        <f>IF(_calc!$E$297="","",IF(LEN(INDEX('Assets'!$O$4:$O$503,_calc!$E$297))=0,"",INDEX('Assets'!$O$4:$O$503,_calc!$E$297)))</f>
        <v/>
      </c>
      <c r="F295" s="44">
        <f>IF(_calc!$E$297="","",TRIM(IF(LEN(IF(LEN(INDEX('Assets'!$B$4:$B$503,_calc!$E$297))=0,"",INDEX('Assets'!$B$4:$B$503,_calc!$E$297)))=0,"","Asset ID: "&amp;IF(LEN(INDEX('Assets'!$B$4:$B$503,_calc!$E$297))=0,"",INDEX('Assets'!$B$4:$B$503,_calc!$E$297))&amp;". ")&amp;IF(LEN(IF(LEN(INDEX('Assets'!$C$4:$C$503,_calc!$E$297))=0,"",INDEX('Assets'!$C$4:$C$503,_calc!$E$297)))=0,"","Location: "&amp;IF(LEN(INDEX('Assets'!$C$4:$C$503,_calc!$E$297))=0,"",INDEX('Assets'!$C$4:$C$503,_calc!$E$297))&amp;". ")&amp;IF(LEN(IF(LEN(INDEX('Assets'!$E$4:$E$503,_calc!$E$297))=0,"",INDEX('Assets'!$E$4:$E$503,_calc!$E$297)))=0,"","Every (months): "&amp;IF(LEN(INDEX('Assets'!$E$4:$E$503,_calc!$E$297))=0,"",INDEX('Assets'!$E$4:$E$503,_calc!$E$297))&amp;". ")&amp;IF(LEN(IF(LEN(INDEX('Assets'!$M$4:$M$503,_calc!$E$297))=0,"",INDEX('Assets'!$M$4:$M$503,_calc!$E$297)))=0,"","Last result: "&amp;IF(LEN(INDEX('Assets'!$M$4:$M$503,_calc!$E$297))=0,"",INDEX('Assets'!$M$4:$M$503,_calc!$E$297))&amp;". ")&amp;IF(LEN(IF(LEN(INDEX('Assets'!$Q$4:$Q$503,_calc!$E$297))=0,"",INDEX('Assets'!$Q$4:$Q$503,_calc!$E$297)))=0,"",IF(LEN(INDEX('Assets'!$Q$4:$Q$503,_calc!$E$297))=0,"",INDEX('Assets'!$Q$4:$Q$503,_calc!$E$297)))))</f>
        <v/>
      </c>
      <c r="G295" s="44">
        <f>IF(_calc!$E$297="","",IF(LEN(INDEX('Assets'!$P$4:$P$503,_calc!$E$297))=0,"",INDEX('Assets'!$P$4:$P$503,_calc!$E$297)))</f>
        <v/>
      </c>
      <c r="K295" s="44">
        <f>IF(_calc!$E$297="","",IF(LEN(INDEX('Assets'!$N$4:$N$503,_calc!$E$297))=0,"",INDEX('Assets'!$N$4:$N$503,_calc!$E$297)))</f>
        <v/>
      </c>
    </row>
    <row r="296">
      <c r="A296" s="44">
        <f>IF(_calc!$E$298="","",IF(LEN(INDEX('Assets'!$D$4:$D$503,_calc!$E$298))=0,"",INDEX('Assets'!$D$4:$D$503,_calc!$E$298))&amp;" – "&amp;IF(LEN(INDEX('Assets'!$A$4:$A$503,_calc!$E$298))=0,"",INDEX('Assets'!$A$4:$A$503,_calc!$E$298)))</f>
        <v/>
      </c>
      <c r="B296" s="44">
        <f>IF(_calc!$E$298="","",IF(ISNUMBER(INDEX('Assets'!$G$4:$G$503,_calc!$E$298)),TEXT(INDEX('Assets'!$G$4:$G$503,_calc!$E$298),"yyyy-mm-dd"),""))</f>
        <v/>
      </c>
      <c r="C296" s="44">
        <f>IF(_calc!$E$298="","","Inspection")</f>
        <v/>
      </c>
      <c r="D296" s="44">
        <f>IF(_calc!$E$298="","",IF(ISNUMBER(INDEX('Assets'!$F$4:$F$503,_calc!$E$298)),TEXT(INDEX('Assets'!$F$4:$F$503,_calc!$E$298),"yyyy-mm-dd"),""))</f>
        <v/>
      </c>
      <c r="E296" s="44">
        <f>IF(_calc!$E$298="","",IF(LEN(INDEX('Assets'!$O$4:$O$503,_calc!$E$298))=0,"",INDEX('Assets'!$O$4:$O$503,_calc!$E$298)))</f>
        <v/>
      </c>
      <c r="F296" s="44">
        <f>IF(_calc!$E$298="","",TRIM(IF(LEN(IF(LEN(INDEX('Assets'!$B$4:$B$503,_calc!$E$298))=0,"",INDEX('Assets'!$B$4:$B$503,_calc!$E$298)))=0,"","Asset ID: "&amp;IF(LEN(INDEX('Assets'!$B$4:$B$503,_calc!$E$298))=0,"",INDEX('Assets'!$B$4:$B$503,_calc!$E$298))&amp;". ")&amp;IF(LEN(IF(LEN(INDEX('Assets'!$C$4:$C$503,_calc!$E$298))=0,"",INDEX('Assets'!$C$4:$C$503,_calc!$E$298)))=0,"","Location: "&amp;IF(LEN(INDEX('Assets'!$C$4:$C$503,_calc!$E$298))=0,"",INDEX('Assets'!$C$4:$C$503,_calc!$E$298))&amp;". ")&amp;IF(LEN(IF(LEN(INDEX('Assets'!$E$4:$E$503,_calc!$E$298))=0,"",INDEX('Assets'!$E$4:$E$503,_calc!$E$298)))=0,"","Every (months): "&amp;IF(LEN(INDEX('Assets'!$E$4:$E$503,_calc!$E$298))=0,"",INDEX('Assets'!$E$4:$E$503,_calc!$E$298))&amp;". ")&amp;IF(LEN(IF(LEN(INDEX('Assets'!$M$4:$M$503,_calc!$E$298))=0,"",INDEX('Assets'!$M$4:$M$503,_calc!$E$298)))=0,"","Last result: "&amp;IF(LEN(INDEX('Assets'!$M$4:$M$503,_calc!$E$298))=0,"",INDEX('Assets'!$M$4:$M$503,_calc!$E$298))&amp;". ")&amp;IF(LEN(IF(LEN(INDEX('Assets'!$Q$4:$Q$503,_calc!$E$298))=0,"",INDEX('Assets'!$Q$4:$Q$503,_calc!$E$298)))=0,"",IF(LEN(INDEX('Assets'!$Q$4:$Q$503,_calc!$E$298))=0,"",INDEX('Assets'!$Q$4:$Q$503,_calc!$E$298)))))</f>
        <v/>
      </c>
      <c r="G296" s="44">
        <f>IF(_calc!$E$298="","",IF(LEN(INDEX('Assets'!$P$4:$P$503,_calc!$E$298))=0,"",INDEX('Assets'!$P$4:$P$503,_calc!$E$298)))</f>
        <v/>
      </c>
      <c r="K296" s="44">
        <f>IF(_calc!$E$298="","",IF(LEN(INDEX('Assets'!$N$4:$N$503,_calc!$E$298))=0,"",INDEX('Assets'!$N$4:$N$503,_calc!$E$298)))</f>
        <v/>
      </c>
    </row>
    <row r="297">
      <c r="A297" s="44">
        <f>IF(_calc!$E$299="","",IF(LEN(INDEX('Assets'!$D$4:$D$503,_calc!$E$299))=0,"",INDEX('Assets'!$D$4:$D$503,_calc!$E$299))&amp;" – "&amp;IF(LEN(INDEX('Assets'!$A$4:$A$503,_calc!$E$299))=0,"",INDEX('Assets'!$A$4:$A$503,_calc!$E$299)))</f>
        <v/>
      </c>
      <c r="B297" s="44">
        <f>IF(_calc!$E$299="","",IF(ISNUMBER(INDEX('Assets'!$G$4:$G$503,_calc!$E$299)),TEXT(INDEX('Assets'!$G$4:$G$503,_calc!$E$299),"yyyy-mm-dd"),""))</f>
        <v/>
      </c>
      <c r="C297" s="44">
        <f>IF(_calc!$E$299="","","Inspection")</f>
        <v/>
      </c>
      <c r="D297" s="44">
        <f>IF(_calc!$E$299="","",IF(ISNUMBER(INDEX('Assets'!$F$4:$F$503,_calc!$E$299)),TEXT(INDEX('Assets'!$F$4:$F$503,_calc!$E$299),"yyyy-mm-dd"),""))</f>
        <v/>
      </c>
      <c r="E297" s="44">
        <f>IF(_calc!$E$299="","",IF(LEN(INDEX('Assets'!$O$4:$O$503,_calc!$E$299))=0,"",INDEX('Assets'!$O$4:$O$503,_calc!$E$299)))</f>
        <v/>
      </c>
      <c r="F297" s="44">
        <f>IF(_calc!$E$299="","",TRIM(IF(LEN(IF(LEN(INDEX('Assets'!$B$4:$B$503,_calc!$E$299))=0,"",INDEX('Assets'!$B$4:$B$503,_calc!$E$299)))=0,"","Asset ID: "&amp;IF(LEN(INDEX('Assets'!$B$4:$B$503,_calc!$E$299))=0,"",INDEX('Assets'!$B$4:$B$503,_calc!$E$299))&amp;". ")&amp;IF(LEN(IF(LEN(INDEX('Assets'!$C$4:$C$503,_calc!$E$299))=0,"",INDEX('Assets'!$C$4:$C$503,_calc!$E$299)))=0,"","Location: "&amp;IF(LEN(INDEX('Assets'!$C$4:$C$503,_calc!$E$299))=0,"",INDEX('Assets'!$C$4:$C$503,_calc!$E$299))&amp;". ")&amp;IF(LEN(IF(LEN(INDEX('Assets'!$E$4:$E$503,_calc!$E$299))=0,"",INDEX('Assets'!$E$4:$E$503,_calc!$E$299)))=0,"","Every (months): "&amp;IF(LEN(INDEX('Assets'!$E$4:$E$503,_calc!$E$299))=0,"",INDEX('Assets'!$E$4:$E$503,_calc!$E$299))&amp;". ")&amp;IF(LEN(IF(LEN(INDEX('Assets'!$M$4:$M$503,_calc!$E$299))=0,"",INDEX('Assets'!$M$4:$M$503,_calc!$E$299)))=0,"","Last result: "&amp;IF(LEN(INDEX('Assets'!$M$4:$M$503,_calc!$E$299))=0,"",INDEX('Assets'!$M$4:$M$503,_calc!$E$299))&amp;". ")&amp;IF(LEN(IF(LEN(INDEX('Assets'!$Q$4:$Q$503,_calc!$E$299))=0,"",INDEX('Assets'!$Q$4:$Q$503,_calc!$E$299)))=0,"",IF(LEN(INDEX('Assets'!$Q$4:$Q$503,_calc!$E$299))=0,"",INDEX('Assets'!$Q$4:$Q$503,_calc!$E$299)))))</f>
        <v/>
      </c>
      <c r="G297" s="44">
        <f>IF(_calc!$E$299="","",IF(LEN(INDEX('Assets'!$P$4:$P$503,_calc!$E$299))=0,"",INDEX('Assets'!$P$4:$P$503,_calc!$E$299)))</f>
        <v/>
      </c>
      <c r="K297" s="44">
        <f>IF(_calc!$E$299="","",IF(LEN(INDEX('Assets'!$N$4:$N$503,_calc!$E$299))=0,"",INDEX('Assets'!$N$4:$N$503,_calc!$E$299)))</f>
        <v/>
      </c>
    </row>
    <row r="298">
      <c r="A298" s="44">
        <f>IF(_calc!$E$300="","",IF(LEN(INDEX('Assets'!$D$4:$D$503,_calc!$E$300))=0,"",INDEX('Assets'!$D$4:$D$503,_calc!$E$300))&amp;" – "&amp;IF(LEN(INDEX('Assets'!$A$4:$A$503,_calc!$E$300))=0,"",INDEX('Assets'!$A$4:$A$503,_calc!$E$300)))</f>
        <v/>
      </c>
      <c r="B298" s="44">
        <f>IF(_calc!$E$300="","",IF(ISNUMBER(INDEX('Assets'!$G$4:$G$503,_calc!$E$300)),TEXT(INDEX('Assets'!$G$4:$G$503,_calc!$E$300),"yyyy-mm-dd"),""))</f>
        <v/>
      </c>
      <c r="C298" s="44">
        <f>IF(_calc!$E$300="","","Inspection")</f>
        <v/>
      </c>
      <c r="D298" s="44">
        <f>IF(_calc!$E$300="","",IF(ISNUMBER(INDEX('Assets'!$F$4:$F$503,_calc!$E$300)),TEXT(INDEX('Assets'!$F$4:$F$503,_calc!$E$300),"yyyy-mm-dd"),""))</f>
        <v/>
      </c>
      <c r="E298" s="44">
        <f>IF(_calc!$E$300="","",IF(LEN(INDEX('Assets'!$O$4:$O$503,_calc!$E$300))=0,"",INDEX('Assets'!$O$4:$O$503,_calc!$E$300)))</f>
        <v/>
      </c>
      <c r="F298" s="44">
        <f>IF(_calc!$E$300="","",TRIM(IF(LEN(IF(LEN(INDEX('Assets'!$B$4:$B$503,_calc!$E$300))=0,"",INDEX('Assets'!$B$4:$B$503,_calc!$E$300)))=0,"","Asset ID: "&amp;IF(LEN(INDEX('Assets'!$B$4:$B$503,_calc!$E$300))=0,"",INDEX('Assets'!$B$4:$B$503,_calc!$E$300))&amp;". ")&amp;IF(LEN(IF(LEN(INDEX('Assets'!$C$4:$C$503,_calc!$E$300))=0,"",INDEX('Assets'!$C$4:$C$503,_calc!$E$300)))=0,"","Location: "&amp;IF(LEN(INDEX('Assets'!$C$4:$C$503,_calc!$E$300))=0,"",INDEX('Assets'!$C$4:$C$503,_calc!$E$300))&amp;". ")&amp;IF(LEN(IF(LEN(INDEX('Assets'!$E$4:$E$503,_calc!$E$300))=0,"",INDEX('Assets'!$E$4:$E$503,_calc!$E$300)))=0,"","Every (months): "&amp;IF(LEN(INDEX('Assets'!$E$4:$E$503,_calc!$E$300))=0,"",INDEX('Assets'!$E$4:$E$503,_calc!$E$300))&amp;". ")&amp;IF(LEN(IF(LEN(INDEX('Assets'!$M$4:$M$503,_calc!$E$300))=0,"",INDEX('Assets'!$M$4:$M$503,_calc!$E$300)))=0,"","Last result: "&amp;IF(LEN(INDEX('Assets'!$M$4:$M$503,_calc!$E$300))=0,"",INDEX('Assets'!$M$4:$M$503,_calc!$E$300))&amp;". ")&amp;IF(LEN(IF(LEN(INDEX('Assets'!$Q$4:$Q$503,_calc!$E$300))=0,"",INDEX('Assets'!$Q$4:$Q$503,_calc!$E$300)))=0,"",IF(LEN(INDEX('Assets'!$Q$4:$Q$503,_calc!$E$300))=0,"",INDEX('Assets'!$Q$4:$Q$503,_calc!$E$300)))))</f>
        <v/>
      </c>
      <c r="G298" s="44">
        <f>IF(_calc!$E$300="","",IF(LEN(INDEX('Assets'!$P$4:$P$503,_calc!$E$300))=0,"",INDEX('Assets'!$P$4:$P$503,_calc!$E$300)))</f>
        <v/>
      </c>
      <c r="K298" s="44">
        <f>IF(_calc!$E$300="","",IF(LEN(INDEX('Assets'!$N$4:$N$503,_calc!$E$300))=0,"",INDEX('Assets'!$N$4:$N$503,_calc!$E$300)))</f>
        <v/>
      </c>
    </row>
    <row r="299">
      <c r="A299" s="44">
        <f>IF(_calc!$E$301="","",IF(LEN(INDEX('Assets'!$D$4:$D$503,_calc!$E$301))=0,"",INDEX('Assets'!$D$4:$D$503,_calc!$E$301))&amp;" – "&amp;IF(LEN(INDEX('Assets'!$A$4:$A$503,_calc!$E$301))=0,"",INDEX('Assets'!$A$4:$A$503,_calc!$E$301)))</f>
        <v/>
      </c>
      <c r="B299" s="44">
        <f>IF(_calc!$E$301="","",IF(ISNUMBER(INDEX('Assets'!$G$4:$G$503,_calc!$E$301)),TEXT(INDEX('Assets'!$G$4:$G$503,_calc!$E$301),"yyyy-mm-dd"),""))</f>
        <v/>
      </c>
      <c r="C299" s="44">
        <f>IF(_calc!$E$301="","","Inspection")</f>
        <v/>
      </c>
      <c r="D299" s="44">
        <f>IF(_calc!$E$301="","",IF(ISNUMBER(INDEX('Assets'!$F$4:$F$503,_calc!$E$301)),TEXT(INDEX('Assets'!$F$4:$F$503,_calc!$E$301),"yyyy-mm-dd"),""))</f>
        <v/>
      </c>
      <c r="E299" s="44">
        <f>IF(_calc!$E$301="","",IF(LEN(INDEX('Assets'!$O$4:$O$503,_calc!$E$301))=0,"",INDEX('Assets'!$O$4:$O$503,_calc!$E$301)))</f>
        <v/>
      </c>
      <c r="F299" s="44">
        <f>IF(_calc!$E$301="","",TRIM(IF(LEN(IF(LEN(INDEX('Assets'!$B$4:$B$503,_calc!$E$301))=0,"",INDEX('Assets'!$B$4:$B$503,_calc!$E$301)))=0,"","Asset ID: "&amp;IF(LEN(INDEX('Assets'!$B$4:$B$503,_calc!$E$301))=0,"",INDEX('Assets'!$B$4:$B$503,_calc!$E$301))&amp;". ")&amp;IF(LEN(IF(LEN(INDEX('Assets'!$C$4:$C$503,_calc!$E$301))=0,"",INDEX('Assets'!$C$4:$C$503,_calc!$E$301)))=0,"","Location: "&amp;IF(LEN(INDEX('Assets'!$C$4:$C$503,_calc!$E$301))=0,"",INDEX('Assets'!$C$4:$C$503,_calc!$E$301))&amp;". ")&amp;IF(LEN(IF(LEN(INDEX('Assets'!$E$4:$E$503,_calc!$E$301))=0,"",INDEX('Assets'!$E$4:$E$503,_calc!$E$301)))=0,"","Every (months): "&amp;IF(LEN(INDEX('Assets'!$E$4:$E$503,_calc!$E$301))=0,"",INDEX('Assets'!$E$4:$E$503,_calc!$E$301))&amp;". ")&amp;IF(LEN(IF(LEN(INDEX('Assets'!$M$4:$M$503,_calc!$E$301))=0,"",INDEX('Assets'!$M$4:$M$503,_calc!$E$301)))=0,"","Last result: "&amp;IF(LEN(INDEX('Assets'!$M$4:$M$503,_calc!$E$301))=0,"",INDEX('Assets'!$M$4:$M$503,_calc!$E$301))&amp;". ")&amp;IF(LEN(IF(LEN(INDEX('Assets'!$Q$4:$Q$503,_calc!$E$301))=0,"",INDEX('Assets'!$Q$4:$Q$503,_calc!$E$301)))=0,"",IF(LEN(INDEX('Assets'!$Q$4:$Q$503,_calc!$E$301))=0,"",INDEX('Assets'!$Q$4:$Q$503,_calc!$E$301)))))</f>
        <v/>
      </c>
      <c r="G299" s="44">
        <f>IF(_calc!$E$301="","",IF(LEN(INDEX('Assets'!$P$4:$P$503,_calc!$E$301))=0,"",INDEX('Assets'!$P$4:$P$503,_calc!$E$301)))</f>
        <v/>
      </c>
      <c r="K299" s="44">
        <f>IF(_calc!$E$301="","",IF(LEN(INDEX('Assets'!$N$4:$N$503,_calc!$E$301))=0,"",INDEX('Assets'!$N$4:$N$503,_calc!$E$301)))</f>
        <v/>
      </c>
    </row>
    <row r="300">
      <c r="A300" s="44">
        <f>IF(_calc!$E$302="","",IF(LEN(INDEX('Assets'!$D$4:$D$503,_calc!$E$302))=0,"",INDEX('Assets'!$D$4:$D$503,_calc!$E$302))&amp;" – "&amp;IF(LEN(INDEX('Assets'!$A$4:$A$503,_calc!$E$302))=0,"",INDEX('Assets'!$A$4:$A$503,_calc!$E$302)))</f>
        <v/>
      </c>
      <c r="B300" s="44">
        <f>IF(_calc!$E$302="","",IF(ISNUMBER(INDEX('Assets'!$G$4:$G$503,_calc!$E$302)),TEXT(INDEX('Assets'!$G$4:$G$503,_calc!$E$302),"yyyy-mm-dd"),""))</f>
        <v/>
      </c>
      <c r="C300" s="44">
        <f>IF(_calc!$E$302="","","Inspection")</f>
        <v/>
      </c>
      <c r="D300" s="44">
        <f>IF(_calc!$E$302="","",IF(ISNUMBER(INDEX('Assets'!$F$4:$F$503,_calc!$E$302)),TEXT(INDEX('Assets'!$F$4:$F$503,_calc!$E$302),"yyyy-mm-dd"),""))</f>
        <v/>
      </c>
      <c r="E300" s="44">
        <f>IF(_calc!$E$302="","",IF(LEN(INDEX('Assets'!$O$4:$O$503,_calc!$E$302))=0,"",INDEX('Assets'!$O$4:$O$503,_calc!$E$302)))</f>
        <v/>
      </c>
      <c r="F300" s="44">
        <f>IF(_calc!$E$302="","",TRIM(IF(LEN(IF(LEN(INDEX('Assets'!$B$4:$B$503,_calc!$E$302))=0,"",INDEX('Assets'!$B$4:$B$503,_calc!$E$302)))=0,"","Asset ID: "&amp;IF(LEN(INDEX('Assets'!$B$4:$B$503,_calc!$E$302))=0,"",INDEX('Assets'!$B$4:$B$503,_calc!$E$302))&amp;". ")&amp;IF(LEN(IF(LEN(INDEX('Assets'!$C$4:$C$503,_calc!$E$302))=0,"",INDEX('Assets'!$C$4:$C$503,_calc!$E$302)))=0,"","Location: "&amp;IF(LEN(INDEX('Assets'!$C$4:$C$503,_calc!$E$302))=0,"",INDEX('Assets'!$C$4:$C$503,_calc!$E$302))&amp;". ")&amp;IF(LEN(IF(LEN(INDEX('Assets'!$E$4:$E$503,_calc!$E$302))=0,"",INDEX('Assets'!$E$4:$E$503,_calc!$E$302)))=0,"","Every (months): "&amp;IF(LEN(INDEX('Assets'!$E$4:$E$503,_calc!$E$302))=0,"",INDEX('Assets'!$E$4:$E$503,_calc!$E$302))&amp;". ")&amp;IF(LEN(IF(LEN(INDEX('Assets'!$M$4:$M$503,_calc!$E$302))=0,"",INDEX('Assets'!$M$4:$M$503,_calc!$E$302)))=0,"","Last result: "&amp;IF(LEN(INDEX('Assets'!$M$4:$M$503,_calc!$E$302))=0,"",INDEX('Assets'!$M$4:$M$503,_calc!$E$302))&amp;". ")&amp;IF(LEN(IF(LEN(INDEX('Assets'!$Q$4:$Q$503,_calc!$E$302))=0,"",INDEX('Assets'!$Q$4:$Q$503,_calc!$E$302)))=0,"",IF(LEN(INDEX('Assets'!$Q$4:$Q$503,_calc!$E$302))=0,"",INDEX('Assets'!$Q$4:$Q$503,_calc!$E$302)))))</f>
        <v/>
      </c>
      <c r="G300" s="44">
        <f>IF(_calc!$E$302="","",IF(LEN(INDEX('Assets'!$P$4:$P$503,_calc!$E$302))=0,"",INDEX('Assets'!$P$4:$P$503,_calc!$E$302)))</f>
        <v/>
      </c>
      <c r="K300" s="44">
        <f>IF(_calc!$E$302="","",IF(LEN(INDEX('Assets'!$N$4:$N$503,_calc!$E$302))=0,"",INDEX('Assets'!$N$4:$N$503,_calc!$E$302)))</f>
        <v/>
      </c>
    </row>
    <row r="301">
      <c r="A301" s="44">
        <f>IF(_calc!$E$303="","",IF(LEN(INDEX('Assets'!$D$4:$D$503,_calc!$E$303))=0,"",INDEX('Assets'!$D$4:$D$503,_calc!$E$303))&amp;" – "&amp;IF(LEN(INDEX('Assets'!$A$4:$A$503,_calc!$E$303))=0,"",INDEX('Assets'!$A$4:$A$503,_calc!$E$303)))</f>
        <v/>
      </c>
      <c r="B301" s="44">
        <f>IF(_calc!$E$303="","",IF(ISNUMBER(INDEX('Assets'!$G$4:$G$503,_calc!$E$303)),TEXT(INDEX('Assets'!$G$4:$G$503,_calc!$E$303),"yyyy-mm-dd"),""))</f>
        <v/>
      </c>
      <c r="C301" s="44">
        <f>IF(_calc!$E$303="","","Inspection")</f>
        <v/>
      </c>
      <c r="D301" s="44">
        <f>IF(_calc!$E$303="","",IF(ISNUMBER(INDEX('Assets'!$F$4:$F$503,_calc!$E$303)),TEXT(INDEX('Assets'!$F$4:$F$503,_calc!$E$303),"yyyy-mm-dd"),""))</f>
        <v/>
      </c>
      <c r="E301" s="44">
        <f>IF(_calc!$E$303="","",IF(LEN(INDEX('Assets'!$O$4:$O$503,_calc!$E$303))=0,"",INDEX('Assets'!$O$4:$O$503,_calc!$E$303)))</f>
        <v/>
      </c>
      <c r="F301" s="44">
        <f>IF(_calc!$E$303="","",TRIM(IF(LEN(IF(LEN(INDEX('Assets'!$B$4:$B$503,_calc!$E$303))=0,"",INDEX('Assets'!$B$4:$B$503,_calc!$E$303)))=0,"","Asset ID: "&amp;IF(LEN(INDEX('Assets'!$B$4:$B$503,_calc!$E$303))=0,"",INDEX('Assets'!$B$4:$B$503,_calc!$E$303))&amp;". ")&amp;IF(LEN(IF(LEN(INDEX('Assets'!$C$4:$C$503,_calc!$E$303))=0,"",INDEX('Assets'!$C$4:$C$503,_calc!$E$303)))=0,"","Location: "&amp;IF(LEN(INDEX('Assets'!$C$4:$C$503,_calc!$E$303))=0,"",INDEX('Assets'!$C$4:$C$503,_calc!$E$303))&amp;". ")&amp;IF(LEN(IF(LEN(INDEX('Assets'!$E$4:$E$503,_calc!$E$303))=0,"",INDEX('Assets'!$E$4:$E$503,_calc!$E$303)))=0,"","Every (months): "&amp;IF(LEN(INDEX('Assets'!$E$4:$E$503,_calc!$E$303))=0,"",INDEX('Assets'!$E$4:$E$503,_calc!$E$303))&amp;". ")&amp;IF(LEN(IF(LEN(INDEX('Assets'!$M$4:$M$503,_calc!$E$303))=0,"",INDEX('Assets'!$M$4:$M$503,_calc!$E$303)))=0,"","Last result: "&amp;IF(LEN(INDEX('Assets'!$M$4:$M$503,_calc!$E$303))=0,"",INDEX('Assets'!$M$4:$M$503,_calc!$E$303))&amp;". ")&amp;IF(LEN(IF(LEN(INDEX('Assets'!$Q$4:$Q$503,_calc!$E$303))=0,"",INDEX('Assets'!$Q$4:$Q$503,_calc!$E$303)))=0,"",IF(LEN(INDEX('Assets'!$Q$4:$Q$503,_calc!$E$303))=0,"",INDEX('Assets'!$Q$4:$Q$503,_calc!$E$303)))))</f>
        <v/>
      </c>
      <c r="G301" s="44">
        <f>IF(_calc!$E$303="","",IF(LEN(INDEX('Assets'!$P$4:$P$503,_calc!$E$303))=0,"",INDEX('Assets'!$P$4:$P$503,_calc!$E$303)))</f>
        <v/>
      </c>
      <c r="K301" s="44">
        <f>IF(_calc!$E$303="","",IF(LEN(INDEX('Assets'!$N$4:$N$503,_calc!$E$303))=0,"",INDEX('Assets'!$N$4:$N$503,_calc!$E$303)))</f>
        <v/>
      </c>
    </row>
    <row r="302">
      <c r="A302" s="44">
        <f>IF(_calc!$E$304="","",IF(LEN(INDEX('Assets'!$D$4:$D$503,_calc!$E$304))=0,"",INDEX('Assets'!$D$4:$D$503,_calc!$E$304))&amp;" – "&amp;IF(LEN(INDEX('Assets'!$A$4:$A$503,_calc!$E$304))=0,"",INDEX('Assets'!$A$4:$A$503,_calc!$E$304)))</f>
        <v/>
      </c>
      <c r="B302" s="44">
        <f>IF(_calc!$E$304="","",IF(ISNUMBER(INDEX('Assets'!$G$4:$G$503,_calc!$E$304)),TEXT(INDEX('Assets'!$G$4:$G$503,_calc!$E$304),"yyyy-mm-dd"),""))</f>
        <v/>
      </c>
      <c r="C302" s="44">
        <f>IF(_calc!$E$304="","","Inspection")</f>
        <v/>
      </c>
      <c r="D302" s="44">
        <f>IF(_calc!$E$304="","",IF(ISNUMBER(INDEX('Assets'!$F$4:$F$503,_calc!$E$304)),TEXT(INDEX('Assets'!$F$4:$F$503,_calc!$E$304),"yyyy-mm-dd"),""))</f>
        <v/>
      </c>
      <c r="E302" s="44">
        <f>IF(_calc!$E$304="","",IF(LEN(INDEX('Assets'!$O$4:$O$503,_calc!$E$304))=0,"",INDEX('Assets'!$O$4:$O$503,_calc!$E$304)))</f>
        <v/>
      </c>
      <c r="F302" s="44">
        <f>IF(_calc!$E$304="","",TRIM(IF(LEN(IF(LEN(INDEX('Assets'!$B$4:$B$503,_calc!$E$304))=0,"",INDEX('Assets'!$B$4:$B$503,_calc!$E$304)))=0,"","Asset ID: "&amp;IF(LEN(INDEX('Assets'!$B$4:$B$503,_calc!$E$304))=0,"",INDEX('Assets'!$B$4:$B$503,_calc!$E$304))&amp;". ")&amp;IF(LEN(IF(LEN(INDEX('Assets'!$C$4:$C$503,_calc!$E$304))=0,"",INDEX('Assets'!$C$4:$C$503,_calc!$E$304)))=0,"","Location: "&amp;IF(LEN(INDEX('Assets'!$C$4:$C$503,_calc!$E$304))=0,"",INDEX('Assets'!$C$4:$C$503,_calc!$E$304))&amp;". ")&amp;IF(LEN(IF(LEN(INDEX('Assets'!$E$4:$E$503,_calc!$E$304))=0,"",INDEX('Assets'!$E$4:$E$503,_calc!$E$304)))=0,"","Every (months): "&amp;IF(LEN(INDEX('Assets'!$E$4:$E$503,_calc!$E$304))=0,"",INDEX('Assets'!$E$4:$E$503,_calc!$E$304))&amp;". ")&amp;IF(LEN(IF(LEN(INDEX('Assets'!$M$4:$M$503,_calc!$E$304))=0,"",INDEX('Assets'!$M$4:$M$503,_calc!$E$304)))=0,"","Last result: "&amp;IF(LEN(INDEX('Assets'!$M$4:$M$503,_calc!$E$304))=0,"",INDEX('Assets'!$M$4:$M$503,_calc!$E$304))&amp;". ")&amp;IF(LEN(IF(LEN(INDEX('Assets'!$Q$4:$Q$503,_calc!$E$304))=0,"",INDEX('Assets'!$Q$4:$Q$503,_calc!$E$304)))=0,"",IF(LEN(INDEX('Assets'!$Q$4:$Q$503,_calc!$E$304))=0,"",INDEX('Assets'!$Q$4:$Q$503,_calc!$E$304)))))</f>
        <v/>
      </c>
      <c r="G302" s="44">
        <f>IF(_calc!$E$304="","",IF(LEN(INDEX('Assets'!$P$4:$P$503,_calc!$E$304))=0,"",INDEX('Assets'!$P$4:$P$503,_calc!$E$304)))</f>
        <v/>
      </c>
      <c r="K302" s="44">
        <f>IF(_calc!$E$304="","",IF(LEN(INDEX('Assets'!$N$4:$N$503,_calc!$E$304))=0,"",INDEX('Assets'!$N$4:$N$503,_calc!$E$304)))</f>
        <v/>
      </c>
    </row>
    <row r="303">
      <c r="A303" s="44">
        <f>IF(_calc!$E$305="","",IF(LEN(INDEX('Assets'!$D$4:$D$503,_calc!$E$305))=0,"",INDEX('Assets'!$D$4:$D$503,_calc!$E$305))&amp;" – "&amp;IF(LEN(INDEX('Assets'!$A$4:$A$503,_calc!$E$305))=0,"",INDEX('Assets'!$A$4:$A$503,_calc!$E$305)))</f>
        <v/>
      </c>
      <c r="B303" s="44">
        <f>IF(_calc!$E$305="","",IF(ISNUMBER(INDEX('Assets'!$G$4:$G$503,_calc!$E$305)),TEXT(INDEX('Assets'!$G$4:$G$503,_calc!$E$305),"yyyy-mm-dd"),""))</f>
        <v/>
      </c>
      <c r="C303" s="44">
        <f>IF(_calc!$E$305="","","Inspection")</f>
        <v/>
      </c>
      <c r="D303" s="44">
        <f>IF(_calc!$E$305="","",IF(ISNUMBER(INDEX('Assets'!$F$4:$F$503,_calc!$E$305)),TEXT(INDEX('Assets'!$F$4:$F$503,_calc!$E$305),"yyyy-mm-dd"),""))</f>
        <v/>
      </c>
      <c r="E303" s="44">
        <f>IF(_calc!$E$305="","",IF(LEN(INDEX('Assets'!$O$4:$O$503,_calc!$E$305))=0,"",INDEX('Assets'!$O$4:$O$503,_calc!$E$305)))</f>
        <v/>
      </c>
      <c r="F303" s="44">
        <f>IF(_calc!$E$305="","",TRIM(IF(LEN(IF(LEN(INDEX('Assets'!$B$4:$B$503,_calc!$E$305))=0,"",INDEX('Assets'!$B$4:$B$503,_calc!$E$305)))=0,"","Asset ID: "&amp;IF(LEN(INDEX('Assets'!$B$4:$B$503,_calc!$E$305))=0,"",INDEX('Assets'!$B$4:$B$503,_calc!$E$305))&amp;". ")&amp;IF(LEN(IF(LEN(INDEX('Assets'!$C$4:$C$503,_calc!$E$305))=0,"",INDEX('Assets'!$C$4:$C$503,_calc!$E$305)))=0,"","Location: "&amp;IF(LEN(INDEX('Assets'!$C$4:$C$503,_calc!$E$305))=0,"",INDEX('Assets'!$C$4:$C$503,_calc!$E$305))&amp;". ")&amp;IF(LEN(IF(LEN(INDEX('Assets'!$E$4:$E$503,_calc!$E$305))=0,"",INDEX('Assets'!$E$4:$E$503,_calc!$E$305)))=0,"","Every (months): "&amp;IF(LEN(INDEX('Assets'!$E$4:$E$503,_calc!$E$305))=0,"",INDEX('Assets'!$E$4:$E$503,_calc!$E$305))&amp;". ")&amp;IF(LEN(IF(LEN(INDEX('Assets'!$M$4:$M$503,_calc!$E$305))=0,"",INDEX('Assets'!$M$4:$M$503,_calc!$E$305)))=0,"","Last result: "&amp;IF(LEN(INDEX('Assets'!$M$4:$M$503,_calc!$E$305))=0,"",INDEX('Assets'!$M$4:$M$503,_calc!$E$305))&amp;". ")&amp;IF(LEN(IF(LEN(INDEX('Assets'!$Q$4:$Q$503,_calc!$E$305))=0,"",INDEX('Assets'!$Q$4:$Q$503,_calc!$E$305)))=0,"",IF(LEN(INDEX('Assets'!$Q$4:$Q$503,_calc!$E$305))=0,"",INDEX('Assets'!$Q$4:$Q$503,_calc!$E$305)))))</f>
        <v/>
      </c>
      <c r="G303" s="44">
        <f>IF(_calc!$E$305="","",IF(LEN(INDEX('Assets'!$P$4:$P$503,_calc!$E$305))=0,"",INDEX('Assets'!$P$4:$P$503,_calc!$E$305)))</f>
        <v/>
      </c>
      <c r="K303" s="44">
        <f>IF(_calc!$E$305="","",IF(LEN(INDEX('Assets'!$N$4:$N$503,_calc!$E$305))=0,"",INDEX('Assets'!$N$4:$N$503,_calc!$E$305)))</f>
        <v/>
      </c>
    </row>
    <row r="304">
      <c r="A304" s="44">
        <f>IF(_calc!$E$306="","",IF(LEN(INDEX('Assets'!$D$4:$D$503,_calc!$E$306))=0,"",INDEX('Assets'!$D$4:$D$503,_calc!$E$306))&amp;" – "&amp;IF(LEN(INDEX('Assets'!$A$4:$A$503,_calc!$E$306))=0,"",INDEX('Assets'!$A$4:$A$503,_calc!$E$306)))</f>
        <v/>
      </c>
      <c r="B304" s="44">
        <f>IF(_calc!$E$306="","",IF(ISNUMBER(INDEX('Assets'!$G$4:$G$503,_calc!$E$306)),TEXT(INDEX('Assets'!$G$4:$G$503,_calc!$E$306),"yyyy-mm-dd"),""))</f>
        <v/>
      </c>
      <c r="C304" s="44">
        <f>IF(_calc!$E$306="","","Inspection")</f>
        <v/>
      </c>
      <c r="D304" s="44">
        <f>IF(_calc!$E$306="","",IF(ISNUMBER(INDEX('Assets'!$F$4:$F$503,_calc!$E$306)),TEXT(INDEX('Assets'!$F$4:$F$503,_calc!$E$306),"yyyy-mm-dd"),""))</f>
        <v/>
      </c>
      <c r="E304" s="44">
        <f>IF(_calc!$E$306="","",IF(LEN(INDEX('Assets'!$O$4:$O$503,_calc!$E$306))=0,"",INDEX('Assets'!$O$4:$O$503,_calc!$E$306)))</f>
        <v/>
      </c>
      <c r="F304" s="44">
        <f>IF(_calc!$E$306="","",TRIM(IF(LEN(IF(LEN(INDEX('Assets'!$B$4:$B$503,_calc!$E$306))=0,"",INDEX('Assets'!$B$4:$B$503,_calc!$E$306)))=0,"","Asset ID: "&amp;IF(LEN(INDEX('Assets'!$B$4:$B$503,_calc!$E$306))=0,"",INDEX('Assets'!$B$4:$B$503,_calc!$E$306))&amp;". ")&amp;IF(LEN(IF(LEN(INDEX('Assets'!$C$4:$C$503,_calc!$E$306))=0,"",INDEX('Assets'!$C$4:$C$503,_calc!$E$306)))=0,"","Location: "&amp;IF(LEN(INDEX('Assets'!$C$4:$C$503,_calc!$E$306))=0,"",INDEX('Assets'!$C$4:$C$503,_calc!$E$306))&amp;". ")&amp;IF(LEN(IF(LEN(INDEX('Assets'!$E$4:$E$503,_calc!$E$306))=0,"",INDEX('Assets'!$E$4:$E$503,_calc!$E$306)))=0,"","Every (months): "&amp;IF(LEN(INDEX('Assets'!$E$4:$E$503,_calc!$E$306))=0,"",INDEX('Assets'!$E$4:$E$503,_calc!$E$306))&amp;". ")&amp;IF(LEN(IF(LEN(INDEX('Assets'!$M$4:$M$503,_calc!$E$306))=0,"",INDEX('Assets'!$M$4:$M$503,_calc!$E$306)))=0,"","Last result: "&amp;IF(LEN(INDEX('Assets'!$M$4:$M$503,_calc!$E$306))=0,"",INDEX('Assets'!$M$4:$M$503,_calc!$E$306))&amp;". ")&amp;IF(LEN(IF(LEN(INDEX('Assets'!$Q$4:$Q$503,_calc!$E$306))=0,"",INDEX('Assets'!$Q$4:$Q$503,_calc!$E$306)))=0,"",IF(LEN(INDEX('Assets'!$Q$4:$Q$503,_calc!$E$306))=0,"",INDEX('Assets'!$Q$4:$Q$503,_calc!$E$306)))))</f>
        <v/>
      </c>
      <c r="G304" s="44">
        <f>IF(_calc!$E$306="","",IF(LEN(INDEX('Assets'!$P$4:$P$503,_calc!$E$306))=0,"",INDEX('Assets'!$P$4:$P$503,_calc!$E$306)))</f>
        <v/>
      </c>
      <c r="K304" s="44">
        <f>IF(_calc!$E$306="","",IF(LEN(INDEX('Assets'!$N$4:$N$503,_calc!$E$306))=0,"",INDEX('Assets'!$N$4:$N$503,_calc!$E$306)))</f>
        <v/>
      </c>
    </row>
    <row r="305">
      <c r="A305" s="44">
        <f>IF(_calc!$E$307="","",IF(LEN(INDEX('Assets'!$D$4:$D$503,_calc!$E$307))=0,"",INDEX('Assets'!$D$4:$D$503,_calc!$E$307))&amp;" – "&amp;IF(LEN(INDEX('Assets'!$A$4:$A$503,_calc!$E$307))=0,"",INDEX('Assets'!$A$4:$A$503,_calc!$E$307)))</f>
        <v/>
      </c>
      <c r="B305" s="44">
        <f>IF(_calc!$E$307="","",IF(ISNUMBER(INDEX('Assets'!$G$4:$G$503,_calc!$E$307)),TEXT(INDEX('Assets'!$G$4:$G$503,_calc!$E$307),"yyyy-mm-dd"),""))</f>
        <v/>
      </c>
      <c r="C305" s="44">
        <f>IF(_calc!$E$307="","","Inspection")</f>
        <v/>
      </c>
      <c r="D305" s="44">
        <f>IF(_calc!$E$307="","",IF(ISNUMBER(INDEX('Assets'!$F$4:$F$503,_calc!$E$307)),TEXT(INDEX('Assets'!$F$4:$F$503,_calc!$E$307),"yyyy-mm-dd"),""))</f>
        <v/>
      </c>
      <c r="E305" s="44">
        <f>IF(_calc!$E$307="","",IF(LEN(INDEX('Assets'!$O$4:$O$503,_calc!$E$307))=0,"",INDEX('Assets'!$O$4:$O$503,_calc!$E$307)))</f>
        <v/>
      </c>
      <c r="F305" s="44">
        <f>IF(_calc!$E$307="","",TRIM(IF(LEN(IF(LEN(INDEX('Assets'!$B$4:$B$503,_calc!$E$307))=0,"",INDEX('Assets'!$B$4:$B$503,_calc!$E$307)))=0,"","Asset ID: "&amp;IF(LEN(INDEX('Assets'!$B$4:$B$503,_calc!$E$307))=0,"",INDEX('Assets'!$B$4:$B$503,_calc!$E$307))&amp;". ")&amp;IF(LEN(IF(LEN(INDEX('Assets'!$C$4:$C$503,_calc!$E$307))=0,"",INDEX('Assets'!$C$4:$C$503,_calc!$E$307)))=0,"","Location: "&amp;IF(LEN(INDEX('Assets'!$C$4:$C$503,_calc!$E$307))=0,"",INDEX('Assets'!$C$4:$C$503,_calc!$E$307))&amp;". ")&amp;IF(LEN(IF(LEN(INDEX('Assets'!$E$4:$E$503,_calc!$E$307))=0,"",INDEX('Assets'!$E$4:$E$503,_calc!$E$307)))=0,"","Every (months): "&amp;IF(LEN(INDEX('Assets'!$E$4:$E$503,_calc!$E$307))=0,"",INDEX('Assets'!$E$4:$E$503,_calc!$E$307))&amp;". ")&amp;IF(LEN(IF(LEN(INDEX('Assets'!$M$4:$M$503,_calc!$E$307))=0,"",INDEX('Assets'!$M$4:$M$503,_calc!$E$307)))=0,"","Last result: "&amp;IF(LEN(INDEX('Assets'!$M$4:$M$503,_calc!$E$307))=0,"",INDEX('Assets'!$M$4:$M$503,_calc!$E$307))&amp;". ")&amp;IF(LEN(IF(LEN(INDEX('Assets'!$Q$4:$Q$503,_calc!$E$307))=0,"",INDEX('Assets'!$Q$4:$Q$503,_calc!$E$307)))=0,"",IF(LEN(INDEX('Assets'!$Q$4:$Q$503,_calc!$E$307))=0,"",INDEX('Assets'!$Q$4:$Q$503,_calc!$E$307)))))</f>
        <v/>
      </c>
      <c r="G305" s="44">
        <f>IF(_calc!$E$307="","",IF(LEN(INDEX('Assets'!$P$4:$P$503,_calc!$E$307))=0,"",INDEX('Assets'!$P$4:$P$503,_calc!$E$307)))</f>
        <v/>
      </c>
      <c r="K305" s="44">
        <f>IF(_calc!$E$307="","",IF(LEN(INDEX('Assets'!$N$4:$N$503,_calc!$E$307))=0,"",INDEX('Assets'!$N$4:$N$503,_calc!$E$307)))</f>
        <v/>
      </c>
    </row>
    <row r="306">
      <c r="A306" s="44">
        <f>IF(_calc!$E$308="","",IF(LEN(INDEX('Assets'!$D$4:$D$503,_calc!$E$308))=0,"",INDEX('Assets'!$D$4:$D$503,_calc!$E$308))&amp;" – "&amp;IF(LEN(INDEX('Assets'!$A$4:$A$503,_calc!$E$308))=0,"",INDEX('Assets'!$A$4:$A$503,_calc!$E$308)))</f>
        <v/>
      </c>
      <c r="B306" s="44">
        <f>IF(_calc!$E$308="","",IF(ISNUMBER(INDEX('Assets'!$G$4:$G$503,_calc!$E$308)),TEXT(INDEX('Assets'!$G$4:$G$503,_calc!$E$308),"yyyy-mm-dd"),""))</f>
        <v/>
      </c>
      <c r="C306" s="44">
        <f>IF(_calc!$E$308="","","Inspection")</f>
        <v/>
      </c>
      <c r="D306" s="44">
        <f>IF(_calc!$E$308="","",IF(ISNUMBER(INDEX('Assets'!$F$4:$F$503,_calc!$E$308)),TEXT(INDEX('Assets'!$F$4:$F$503,_calc!$E$308),"yyyy-mm-dd"),""))</f>
        <v/>
      </c>
      <c r="E306" s="44">
        <f>IF(_calc!$E$308="","",IF(LEN(INDEX('Assets'!$O$4:$O$503,_calc!$E$308))=0,"",INDEX('Assets'!$O$4:$O$503,_calc!$E$308)))</f>
        <v/>
      </c>
      <c r="F306" s="44">
        <f>IF(_calc!$E$308="","",TRIM(IF(LEN(IF(LEN(INDEX('Assets'!$B$4:$B$503,_calc!$E$308))=0,"",INDEX('Assets'!$B$4:$B$503,_calc!$E$308)))=0,"","Asset ID: "&amp;IF(LEN(INDEX('Assets'!$B$4:$B$503,_calc!$E$308))=0,"",INDEX('Assets'!$B$4:$B$503,_calc!$E$308))&amp;". ")&amp;IF(LEN(IF(LEN(INDEX('Assets'!$C$4:$C$503,_calc!$E$308))=0,"",INDEX('Assets'!$C$4:$C$503,_calc!$E$308)))=0,"","Location: "&amp;IF(LEN(INDEX('Assets'!$C$4:$C$503,_calc!$E$308))=0,"",INDEX('Assets'!$C$4:$C$503,_calc!$E$308))&amp;". ")&amp;IF(LEN(IF(LEN(INDEX('Assets'!$E$4:$E$503,_calc!$E$308))=0,"",INDEX('Assets'!$E$4:$E$503,_calc!$E$308)))=0,"","Every (months): "&amp;IF(LEN(INDEX('Assets'!$E$4:$E$503,_calc!$E$308))=0,"",INDEX('Assets'!$E$4:$E$503,_calc!$E$308))&amp;". ")&amp;IF(LEN(IF(LEN(INDEX('Assets'!$M$4:$M$503,_calc!$E$308))=0,"",INDEX('Assets'!$M$4:$M$503,_calc!$E$308)))=0,"","Last result: "&amp;IF(LEN(INDEX('Assets'!$M$4:$M$503,_calc!$E$308))=0,"",INDEX('Assets'!$M$4:$M$503,_calc!$E$308))&amp;". ")&amp;IF(LEN(IF(LEN(INDEX('Assets'!$Q$4:$Q$503,_calc!$E$308))=0,"",INDEX('Assets'!$Q$4:$Q$503,_calc!$E$308)))=0,"",IF(LEN(INDEX('Assets'!$Q$4:$Q$503,_calc!$E$308))=0,"",INDEX('Assets'!$Q$4:$Q$503,_calc!$E$308)))))</f>
        <v/>
      </c>
      <c r="G306" s="44">
        <f>IF(_calc!$E$308="","",IF(LEN(INDEX('Assets'!$P$4:$P$503,_calc!$E$308))=0,"",INDEX('Assets'!$P$4:$P$503,_calc!$E$308)))</f>
        <v/>
      </c>
      <c r="K306" s="44">
        <f>IF(_calc!$E$308="","",IF(LEN(INDEX('Assets'!$N$4:$N$503,_calc!$E$308))=0,"",INDEX('Assets'!$N$4:$N$503,_calc!$E$308)))</f>
        <v/>
      </c>
    </row>
    <row r="307">
      <c r="A307" s="44">
        <f>IF(_calc!$E$309="","",IF(LEN(INDEX('Assets'!$D$4:$D$503,_calc!$E$309))=0,"",INDEX('Assets'!$D$4:$D$503,_calc!$E$309))&amp;" – "&amp;IF(LEN(INDEX('Assets'!$A$4:$A$503,_calc!$E$309))=0,"",INDEX('Assets'!$A$4:$A$503,_calc!$E$309)))</f>
        <v/>
      </c>
      <c r="B307" s="44">
        <f>IF(_calc!$E$309="","",IF(ISNUMBER(INDEX('Assets'!$G$4:$G$503,_calc!$E$309)),TEXT(INDEX('Assets'!$G$4:$G$503,_calc!$E$309),"yyyy-mm-dd"),""))</f>
        <v/>
      </c>
      <c r="C307" s="44">
        <f>IF(_calc!$E$309="","","Inspection")</f>
        <v/>
      </c>
      <c r="D307" s="44">
        <f>IF(_calc!$E$309="","",IF(ISNUMBER(INDEX('Assets'!$F$4:$F$503,_calc!$E$309)),TEXT(INDEX('Assets'!$F$4:$F$503,_calc!$E$309),"yyyy-mm-dd"),""))</f>
        <v/>
      </c>
      <c r="E307" s="44">
        <f>IF(_calc!$E$309="","",IF(LEN(INDEX('Assets'!$O$4:$O$503,_calc!$E$309))=0,"",INDEX('Assets'!$O$4:$O$503,_calc!$E$309)))</f>
        <v/>
      </c>
      <c r="F307" s="44">
        <f>IF(_calc!$E$309="","",TRIM(IF(LEN(IF(LEN(INDEX('Assets'!$B$4:$B$503,_calc!$E$309))=0,"",INDEX('Assets'!$B$4:$B$503,_calc!$E$309)))=0,"","Asset ID: "&amp;IF(LEN(INDEX('Assets'!$B$4:$B$503,_calc!$E$309))=0,"",INDEX('Assets'!$B$4:$B$503,_calc!$E$309))&amp;". ")&amp;IF(LEN(IF(LEN(INDEX('Assets'!$C$4:$C$503,_calc!$E$309))=0,"",INDEX('Assets'!$C$4:$C$503,_calc!$E$309)))=0,"","Location: "&amp;IF(LEN(INDEX('Assets'!$C$4:$C$503,_calc!$E$309))=0,"",INDEX('Assets'!$C$4:$C$503,_calc!$E$309))&amp;". ")&amp;IF(LEN(IF(LEN(INDEX('Assets'!$E$4:$E$503,_calc!$E$309))=0,"",INDEX('Assets'!$E$4:$E$503,_calc!$E$309)))=0,"","Every (months): "&amp;IF(LEN(INDEX('Assets'!$E$4:$E$503,_calc!$E$309))=0,"",INDEX('Assets'!$E$4:$E$503,_calc!$E$309))&amp;". ")&amp;IF(LEN(IF(LEN(INDEX('Assets'!$M$4:$M$503,_calc!$E$309))=0,"",INDEX('Assets'!$M$4:$M$503,_calc!$E$309)))=0,"","Last result: "&amp;IF(LEN(INDEX('Assets'!$M$4:$M$503,_calc!$E$309))=0,"",INDEX('Assets'!$M$4:$M$503,_calc!$E$309))&amp;". ")&amp;IF(LEN(IF(LEN(INDEX('Assets'!$Q$4:$Q$503,_calc!$E$309))=0,"",INDEX('Assets'!$Q$4:$Q$503,_calc!$E$309)))=0,"",IF(LEN(INDEX('Assets'!$Q$4:$Q$503,_calc!$E$309))=0,"",INDEX('Assets'!$Q$4:$Q$503,_calc!$E$309)))))</f>
        <v/>
      </c>
      <c r="G307" s="44">
        <f>IF(_calc!$E$309="","",IF(LEN(INDEX('Assets'!$P$4:$P$503,_calc!$E$309))=0,"",INDEX('Assets'!$P$4:$P$503,_calc!$E$309)))</f>
        <v/>
      </c>
      <c r="K307" s="44">
        <f>IF(_calc!$E$309="","",IF(LEN(INDEX('Assets'!$N$4:$N$503,_calc!$E$309))=0,"",INDEX('Assets'!$N$4:$N$503,_calc!$E$309)))</f>
        <v/>
      </c>
    </row>
    <row r="308">
      <c r="A308" s="44">
        <f>IF(_calc!$E$310="","",IF(LEN(INDEX('Assets'!$D$4:$D$503,_calc!$E$310))=0,"",INDEX('Assets'!$D$4:$D$503,_calc!$E$310))&amp;" – "&amp;IF(LEN(INDEX('Assets'!$A$4:$A$503,_calc!$E$310))=0,"",INDEX('Assets'!$A$4:$A$503,_calc!$E$310)))</f>
        <v/>
      </c>
      <c r="B308" s="44">
        <f>IF(_calc!$E$310="","",IF(ISNUMBER(INDEX('Assets'!$G$4:$G$503,_calc!$E$310)),TEXT(INDEX('Assets'!$G$4:$G$503,_calc!$E$310),"yyyy-mm-dd"),""))</f>
        <v/>
      </c>
      <c r="C308" s="44">
        <f>IF(_calc!$E$310="","","Inspection")</f>
        <v/>
      </c>
      <c r="D308" s="44">
        <f>IF(_calc!$E$310="","",IF(ISNUMBER(INDEX('Assets'!$F$4:$F$503,_calc!$E$310)),TEXT(INDEX('Assets'!$F$4:$F$503,_calc!$E$310),"yyyy-mm-dd"),""))</f>
        <v/>
      </c>
      <c r="E308" s="44">
        <f>IF(_calc!$E$310="","",IF(LEN(INDEX('Assets'!$O$4:$O$503,_calc!$E$310))=0,"",INDEX('Assets'!$O$4:$O$503,_calc!$E$310)))</f>
        <v/>
      </c>
      <c r="F308" s="44">
        <f>IF(_calc!$E$310="","",TRIM(IF(LEN(IF(LEN(INDEX('Assets'!$B$4:$B$503,_calc!$E$310))=0,"",INDEX('Assets'!$B$4:$B$503,_calc!$E$310)))=0,"","Asset ID: "&amp;IF(LEN(INDEX('Assets'!$B$4:$B$503,_calc!$E$310))=0,"",INDEX('Assets'!$B$4:$B$503,_calc!$E$310))&amp;". ")&amp;IF(LEN(IF(LEN(INDEX('Assets'!$C$4:$C$503,_calc!$E$310))=0,"",INDEX('Assets'!$C$4:$C$503,_calc!$E$310)))=0,"","Location: "&amp;IF(LEN(INDEX('Assets'!$C$4:$C$503,_calc!$E$310))=0,"",INDEX('Assets'!$C$4:$C$503,_calc!$E$310))&amp;". ")&amp;IF(LEN(IF(LEN(INDEX('Assets'!$E$4:$E$503,_calc!$E$310))=0,"",INDEX('Assets'!$E$4:$E$503,_calc!$E$310)))=0,"","Every (months): "&amp;IF(LEN(INDEX('Assets'!$E$4:$E$503,_calc!$E$310))=0,"",INDEX('Assets'!$E$4:$E$503,_calc!$E$310))&amp;". ")&amp;IF(LEN(IF(LEN(INDEX('Assets'!$M$4:$M$503,_calc!$E$310))=0,"",INDEX('Assets'!$M$4:$M$503,_calc!$E$310)))=0,"","Last result: "&amp;IF(LEN(INDEX('Assets'!$M$4:$M$503,_calc!$E$310))=0,"",INDEX('Assets'!$M$4:$M$503,_calc!$E$310))&amp;". ")&amp;IF(LEN(IF(LEN(INDEX('Assets'!$Q$4:$Q$503,_calc!$E$310))=0,"",INDEX('Assets'!$Q$4:$Q$503,_calc!$E$310)))=0,"",IF(LEN(INDEX('Assets'!$Q$4:$Q$503,_calc!$E$310))=0,"",INDEX('Assets'!$Q$4:$Q$503,_calc!$E$310)))))</f>
        <v/>
      </c>
      <c r="G308" s="44">
        <f>IF(_calc!$E$310="","",IF(LEN(INDEX('Assets'!$P$4:$P$503,_calc!$E$310))=0,"",INDEX('Assets'!$P$4:$P$503,_calc!$E$310)))</f>
        <v/>
      </c>
      <c r="K308" s="44">
        <f>IF(_calc!$E$310="","",IF(LEN(INDEX('Assets'!$N$4:$N$503,_calc!$E$310))=0,"",INDEX('Assets'!$N$4:$N$503,_calc!$E$310)))</f>
        <v/>
      </c>
    </row>
    <row r="309">
      <c r="A309" s="44">
        <f>IF(_calc!$E$311="","",IF(LEN(INDEX('Assets'!$D$4:$D$503,_calc!$E$311))=0,"",INDEX('Assets'!$D$4:$D$503,_calc!$E$311))&amp;" – "&amp;IF(LEN(INDEX('Assets'!$A$4:$A$503,_calc!$E$311))=0,"",INDEX('Assets'!$A$4:$A$503,_calc!$E$311)))</f>
        <v/>
      </c>
      <c r="B309" s="44">
        <f>IF(_calc!$E$311="","",IF(ISNUMBER(INDEX('Assets'!$G$4:$G$503,_calc!$E$311)),TEXT(INDEX('Assets'!$G$4:$G$503,_calc!$E$311),"yyyy-mm-dd"),""))</f>
        <v/>
      </c>
      <c r="C309" s="44">
        <f>IF(_calc!$E$311="","","Inspection")</f>
        <v/>
      </c>
      <c r="D309" s="44">
        <f>IF(_calc!$E$311="","",IF(ISNUMBER(INDEX('Assets'!$F$4:$F$503,_calc!$E$311)),TEXT(INDEX('Assets'!$F$4:$F$503,_calc!$E$311),"yyyy-mm-dd"),""))</f>
        <v/>
      </c>
      <c r="E309" s="44">
        <f>IF(_calc!$E$311="","",IF(LEN(INDEX('Assets'!$O$4:$O$503,_calc!$E$311))=0,"",INDEX('Assets'!$O$4:$O$503,_calc!$E$311)))</f>
        <v/>
      </c>
      <c r="F309" s="44">
        <f>IF(_calc!$E$311="","",TRIM(IF(LEN(IF(LEN(INDEX('Assets'!$B$4:$B$503,_calc!$E$311))=0,"",INDEX('Assets'!$B$4:$B$503,_calc!$E$311)))=0,"","Asset ID: "&amp;IF(LEN(INDEX('Assets'!$B$4:$B$503,_calc!$E$311))=0,"",INDEX('Assets'!$B$4:$B$503,_calc!$E$311))&amp;". ")&amp;IF(LEN(IF(LEN(INDEX('Assets'!$C$4:$C$503,_calc!$E$311))=0,"",INDEX('Assets'!$C$4:$C$503,_calc!$E$311)))=0,"","Location: "&amp;IF(LEN(INDEX('Assets'!$C$4:$C$503,_calc!$E$311))=0,"",INDEX('Assets'!$C$4:$C$503,_calc!$E$311))&amp;". ")&amp;IF(LEN(IF(LEN(INDEX('Assets'!$E$4:$E$503,_calc!$E$311))=0,"",INDEX('Assets'!$E$4:$E$503,_calc!$E$311)))=0,"","Every (months): "&amp;IF(LEN(INDEX('Assets'!$E$4:$E$503,_calc!$E$311))=0,"",INDEX('Assets'!$E$4:$E$503,_calc!$E$311))&amp;". ")&amp;IF(LEN(IF(LEN(INDEX('Assets'!$M$4:$M$503,_calc!$E$311))=0,"",INDEX('Assets'!$M$4:$M$503,_calc!$E$311)))=0,"","Last result: "&amp;IF(LEN(INDEX('Assets'!$M$4:$M$503,_calc!$E$311))=0,"",INDEX('Assets'!$M$4:$M$503,_calc!$E$311))&amp;". ")&amp;IF(LEN(IF(LEN(INDEX('Assets'!$Q$4:$Q$503,_calc!$E$311))=0,"",INDEX('Assets'!$Q$4:$Q$503,_calc!$E$311)))=0,"",IF(LEN(INDEX('Assets'!$Q$4:$Q$503,_calc!$E$311))=0,"",INDEX('Assets'!$Q$4:$Q$503,_calc!$E$311)))))</f>
        <v/>
      </c>
      <c r="G309" s="44">
        <f>IF(_calc!$E$311="","",IF(LEN(INDEX('Assets'!$P$4:$P$503,_calc!$E$311))=0,"",INDEX('Assets'!$P$4:$P$503,_calc!$E$311)))</f>
        <v/>
      </c>
      <c r="K309" s="44">
        <f>IF(_calc!$E$311="","",IF(LEN(INDEX('Assets'!$N$4:$N$503,_calc!$E$311))=0,"",INDEX('Assets'!$N$4:$N$503,_calc!$E$311)))</f>
        <v/>
      </c>
    </row>
    <row r="310">
      <c r="A310" s="44">
        <f>IF(_calc!$E$312="","",IF(LEN(INDEX('Assets'!$D$4:$D$503,_calc!$E$312))=0,"",INDEX('Assets'!$D$4:$D$503,_calc!$E$312))&amp;" – "&amp;IF(LEN(INDEX('Assets'!$A$4:$A$503,_calc!$E$312))=0,"",INDEX('Assets'!$A$4:$A$503,_calc!$E$312)))</f>
        <v/>
      </c>
      <c r="B310" s="44">
        <f>IF(_calc!$E$312="","",IF(ISNUMBER(INDEX('Assets'!$G$4:$G$503,_calc!$E$312)),TEXT(INDEX('Assets'!$G$4:$G$503,_calc!$E$312),"yyyy-mm-dd"),""))</f>
        <v/>
      </c>
      <c r="C310" s="44">
        <f>IF(_calc!$E$312="","","Inspection")</f>
        <v/>
      </c>
      <c r="D310" s="44">
        <f>IF(_calc!$E$312="","",IF(ISNUMBER(INDEX('Assets'!$F$4:$F$503,_calc!$E$312)),TEXT(INDEX('Assets'!$F$4:$F$503,_calc!$E$312),"yyyy-mm-dd"),""))</f>
        <v/>
      </c>
      <c r="E310" s="44">
        <f>IF(_calc!$E$312="","",IF(LEN(INDEX('Assets'!$O$4:$O$503,_calc!$E$312))=0,"",INDEX('Assets'!$O$4:$O$503,_calc!$E$312)))</f>
        <v/>
      </c>
      <c r="F310" s="44">
        <f>IF(_calc!$E$312="","",TRIM(IF(LEN(IF(LEN(INDEX('Assets'!$B$4:$B$503,_calc!$E$312))=0,"",INDEX('Assets'!$B$4:$B$503,_calc!$E$312)))=0,"","Asset ID: "&amp;IF(LEN(INDEX('Assets'!$B$4:$B$503,_calc!$E$312))=0,"",INDEX('Assets'!$B$4:$B$503,_calc!$E$312))&amp;". ")&amp;IF(LEN(IF(LEN(INDEX('Assets'!$C$4:$C$503,_calc!$E$312))=0,"",INDEX('Assets'!$C$4:$C$503,_calc!$E$312)))=0,"","Location: "&amp;IF(LEN(INDEX('Assets'!$C$4:$C$503,_calc!$E$312))=0,"",INDEX('Assets'!$C$4:$C$503,_calc!$E$312))&amp;". ")&amp;IF(LEN(IF(LEN(INDEX('Assets'!$E$4:$E$503,_calc!$E$312))=0,"",INDEX('Assets'!$E$4:$E$503,_calc!$E$312)))=0,"","Every (months): "&amp;IF(LEN(INDEX('Assets'!$E$4:$E$503,_calc!$E$312))=0,"",INDEX('Assets'!$E$4:$E$503,_calc!$E$312))&amp;". ")&amp;IF(LEN(IF(LEN(INDEX('Assets'!$M$4:$M$503,_calc!$E$312))=0,"",INDEX('Assets'!$M$4:$M$503,_calc!$E$312)))=0,"","Last result: "&amp;IF(LEN(INDEX('Assets'!$M$4:$M$503,_calc!$E$312))=0,"",INDEX('Assets'!$M$4:$M$503,_calc!$E$312))&amp;". ")&amp;IF(LEN(IF(LEN(INDEX('Assets'!$Q$4:$Q$503,_calc!$E$312))=0,"",INDEX('Assets'!$Q$4:$Q$503,_calc!$E$312)))=0,"",IF(LEN(INDEX('Assets'!$Q$4:$Q$503,_calc!$E$312))=0,"",INDEX('Assets'!$Q$4:$Q$503,_calc!$E$312)))))</f>
        <v/>
      </c>
      <c r="G310" s="44">
        <f>IF(_calc!$E$312="","",IF(LEN(INDEX('Assets'!$P$4:$P$503,_calc!$E$312))=0,"",INDEX('Assets'!$P$4:$P$503,_calc!$E$312)))</f>
        <v/>
      </c>
      <c r="K310" s="44">
        <f>IF(_calc!$E$312="","",IF(LEN(INDEX('Assets'!$N$4:$N$503,_calc!$E$312))=0,"",INDEX('Assets'!$N$4:$N$503,_calc!$E$312)))</f>
        <v/>
      </c>
    </row>
    <row r="311">
      <c r="A311" s="44">
        <f>IF(_calc!$E$313="","",IF(LEN(INDEX('Assets'!$D$4:$D$503,_calc!$E$313))=0,"",INDEX('Assets'!$D$4:$D$503,_calc!$E$313))&amp;" – "&amp;IF(LEN(INDEX('Assets'!$A$4:$A$503,_calc!$E$313))=0,"",INDEX('Assets'!$A$4:$A$503,_calc!$E$313)))</f>
        <v/>
      </c>
      <c r="B311" s="44">
        <f>IF(_calc!$E$313="","",IF(ISNUMBER(INDEX('Assets'!$G$4:$G$503,_calc!$E$313)),TEXT(INDEX('Assets'!$G$4:$G$503,_calc!$E$313),"yyyy-mm-dd"),""))</f>
        <v/>
      </c>
      <c r="C311" s="44">
        <f>IF(_calc!$E$313="","","Inspection")</f>
        <v/>
      </c>
      <c r="D311" s="44">
        <f>IF(_calc!$E$313="","",IF(ISNUMBER(INDEX('Assets'!$F$4:$F$503,_calc!$E$313)),TEXT(INDEX('Assets'!$F$4:$F$503,_calc!$E$313),"yyyy-mm-dd"),""))</f>
        <v/>
      </c>
      <c r="E311" s="44">
        <f>IF(_calc!$E$313="","",IF(LEN(INDEX('Assets'!$O$4:$O$503,_calc!$E$313))=0,"",INDEX('Assets'!$O$4:$O$503,_calc!$E$313)))</f>
        <v/>
      </c>
      <c r="F311" s="44">
        <f>IF(_calc!$E$313="","",TRIM(IF(LEN(IF(LEN(INDEX('Assets'!$B$4:$B$503,_calc!$E$313))=0,"",INDEX('Assets'!$B$4:$B$503,_calc!$E$313)))=0,"","Asset ID: "&amp;IF(LEN(INDEX('Assets'!$B$4:$B$503,_calc!$E$313))=0,"",INDEX('Assets'!$B$4:$B$503,_calc!$E$313))&amp;". ")&amp;IF(LEN(IF(LEN(INDEX('Assets'!$C$4:$C$503,_calc!$E$313))=0,"",INDEX('Assets'!$C$4:$C$503,_calc!$E$313)))=0,"","Location: "&amp;IF(LEN(INDEX('Assets'!$C$4:$C$503,_calc!$E$313))=0,"",INDEX('Assets'!$C$4:$C$503,_calc!$E$313))&amp;". ")&amp;IF(LEN(IF(LEN(INDEX('Assets'!$E$4:$E$503,_calc!$E$313))=0,"",INDEX('Assets'!$E$4:$E$503,_calc!$E$313)))=0,"","Every (months): "&amp;IF(LEN(INDEX('Assets'!$E$4:$E$503,_calc!$E$313))=0,"",INDEX('Assets'!$E$4:$E$503,_calc!$E$313))&amp;". ")&amp;IF(LEN(IF(LEN(INDEX('Assets'!$M$4:$M$503,_calc!$E$313))=0,"",INDEX('Assets'!$M$4:$M$503,_calc!$E$313)))=0,"","Last result: "&amp;IF(LEN(INDEX('Assets'!$M$4:$M$503,_calc!$E$313))=0,"",INDEX('Assets'!$M$4:$M$503,_calc!$E$313))&amp;". ")&amp;IF(LEN(IF(LEN(INDEX('Assets'!$Q$4:$Q$503,_calc!$E$313))=0,"",INDEX('Assets'!$Q$4:$Q$503,_calc!$E$313)))=0,"",IF(LEN(INDEX('Assets'!$Q$4:$Q$503,_calc!$E$313))=0,"",INDEX('Assets'!$Q$4:$Q$503,_calc!$E$313)))))</f>
        <v/>
      </c>
      <c r="G311" s="44">
        <f>IF(_calc!$E$313="","",IF(LEN(INDEX('Assets'!$P$4:$P$503,_calc!$E$313))=0,"",INDEX('Assets'!$P$4:$P$503,_calc!$E$313)))</f>
        <v/>
      </c>
      <c r="K311" s="44">
        <f>IF(_calc!$E$313="","",IF(LEN(INDEX('Assets'!$N$4:$N$503,_calc!$E$313))=0,"",INDEX('Assets'!$N$4:$N$503,_calc!$E$313)))</f>
        <v/>
      </c>
    </row>
    <row r="312">
      <c r="A312" s="44">
        <f>IF(_calc!$E$314="","",IF(LEN(INDEX('Assets'!$D$4:$D$503,_calc!$E$314))=0,"",INDEX('Assets'!$D$4:$D$503,_calc!$E$314))&amp;" – "&amp;IF(LEN(INDEX('Assets'!$A$4:$A$503,_calc!$E$314))=0,"",INDEX('Assets'!$A$4:$A$503,_calc!$E$314)))</f>
        <v/>
      </c>
      <c r="B312" s="44">
        <f>IF(_calc!$E$314="","",IF(ISNUMBER(INDEX('Assets'!$G$4:$G$503,_calc!$E$314)),TEXT(INDEX('Assets'!$G$4:$G$503,_calc!$E$314),"yyyy-mm-dd"),""))</f>
        <v/>
      </c>
      <c r="C312" s="44">
        <f>IF(_calc!$E$314="","","Inspection")</f>
        <v/>
      </c>
      <c r="D312" s="44">
        <f>IF(_calc!$E$314="","",IF(ISNUMBER(INDEX('Assets'!$F$4:$F$503,_calc!$E$314)),TEXT(INDEX('Assets'!$F$4:$F$503,_calc!$E$314),"yyyy-mm-dd"),""))</f>
        <v/>
      </c>
      <c r="E312" s="44">
        <f>IF(_calc!$E$314="","",IF(LEN(INDEX('Assets'!$O$4:$O$503,_calc!$E$314))=0,"",INDEX('Assets'!$O$4:$O$503,_calc!$E$314)))</f>
        <v/>
      </c>
      <c r="F312" s="44">
        <f>IF(_calc!$E$314="","",TRIM(IF(LEN(IF(LEN(INDEX('Assets'!$B$4:$B$503,_calc!$E$314))=0,"",INDEX('Assets'!$B$4:$B$503,_calc!$E$314)))=0,"","Asset ID: "&amp;IF(LEN(INDEX('Assets'!$B$4:$B$503,_calc!$E$314))=0,"",INDEX('Assets'!$B$4:$B$503,_calc!$E$314))&amp;". ")&amp;IF(LEN(IF(LEN(INDEX('Assets'!$C$4:$C$503,_calc!$E$314))=0,"",INDEX('Assets'!$C$4:$C$503,_calc!$E$314)))=0,"","Location: "&amp;IF(LEN(INDEX('Assets'!$C$4:$C$503,_calc!$E$314))=0,"",INDEX('Assets'!$C$4:$C$503,_calc!$E$314))&amp;". ")&amp;IF(LEN(IF(LEN(INDEX('Assets'!$E$4:$E$503,_calc!$E$314))=0,"",INDEX('Assets'!$E$4:$E$503,_calc!$E$314)))=0,"","Every (months): "&amp;IF(LEN(INDEX('Assets'!$E$4:$E$503,_calc!$E$314))=0,"",INDEX('Assets'!$E$4:$E$503,_calc!$E$314))&amp;". ")&amp;IF(LEN(IF(LEN(INDEX('Assets'!$M$4:$M$503,_calc!$E$314))=0,"",INDEX('Assets'!$M$4:$M$503,_calc!$E$314)))=0,"","Last result: "&amp;IF(LEN(INDEX('Assets'!$M$4:$M$503,_calc!$E$314))=0,"",INDEX('Assets'!$M$4:$M$503,_calc!$E$314))&amp;". ")&amp;IF(LEN(IF(LEN(INDEX('Assets'!$Q$4:$Q$503,_calc!$E$314))=0,"",INDEX('Assets'!$Q$4:$Q$503,_calc!$E$314)))=0,"",IF(LEN(INDEX('Assets'!$Q$4:$Q$503,_calc!$E$314))=0,"",INDEX('Assets'!$Q$4:$Q$503,_calc!$E$314)))))</f>
        <v/>
      </c>
      <c r="G312" s="44">
        <f>IF(_calc!$E$314="","",IF(LEN(INDEX('Assets'!$P$4:$P$503,_calc!$E$314))=0,"",INDEX('Assets'!$P$4:$P$503,_calc!$E$314)))</f>
        <v/>
      </c>
      <c r="K312" s="44">
        <f>IF(_calc!$E$314="","",IF(LEN(INDEX('Assets'!$N$4:$N$503,_calc!$E$314))=0,"",INDEX('Assets'!$N$4:$N$503,_calc!$E$314)))</f>
        <v/>
      </c>
    </row>
    <row r="313">
      <c r="A313" s="44">
        <f>IF(_calc!$E$315="","",IF(LEN(INDEX('Assets'!$D$4:$D$503,_calc!$E$315))=0,"",INDEX('Assets'!$D$4:$D$503,_calc!$E$315))&amp;" – "&amp;IF(LEN(INDEX('Assets'!$A$4:$A$503,_calc!$E$315))=0,"",INDEX('Assets'!$A$4:$A$503,_calc!$E$315)))</f>
        <v/>
      </c>
      <c r="B313" s="44">
        <f>IF(_calc!$E$315="","",IF(ISNUMBER(INDEX('Assets'!$G$4:$G$503,_calc!$E$315)),TEXT(INDEX('Assets'!$G$4:$G$503,_calc!$E$315),"yyyy-mm-dd"),""))</f>
        <v/>
      </c>
      <c r="C313" s="44">
        <f>IF(_calc!$E$315="","","Inspection")</f>
        <v/>
      </c>
      <c r="D313" s="44">
        <f>IF(_calc!$E$315="","",IF(ISNUMBER(INDEX('Assets'!$F$4:$F$503,_calc!$E$315)),TEXT(INDEX('Assets'!$F$4:$F$503,_calc!$E$315),"yyyy-mm-dd"),""))</f>
        <v/>
      </c>
      <c r="E313" s="44">
        <f>IF(_calc!$E$315="","",IF(LEN(INDEX('Assets'!$O$4:$O$503,_calc!$E$315))=0,"",INDEX('Assets'!$O$4:$O$503,_calc!$E$315)))</f>
        <v/>
      </c>
      <c r="F313" s="44">
        <f>IF(_calc!$E$315="","",TRIM(IF(LEN(IF(LEN(INDEX('Assets'!$B$4:$B$503,_calc!$E$315))=0,"",INDEX('Assets'!$B$4:$B$503,_calc!$E$315)))=0,"","Asset ID: "&amp;IF(LEN(INDEX('Assets'!$B$4:$B$503,_calc!$E$315))=0,"",INDEX('Assets'!$B$4:$B$503,_calc!$E$315))&amp;". ")&amp;IF(LEN(IF(LEN(INDEX('Assets'!$C$4:$C$503,_calc!$E$315))=0,"",INDEX('Assets'!$C$4:$C$503,_calc!$E$315)))=0,"","Location: "&amp;IF(LEN(INDEX('Assets'!$C$4:$C$503,_calc!$E$315))=0,"",INDEX('Assets'!$C$4:$C$503,_calc!$E$315))&amp;". ")&amp;IF(LEN(IF(LEN(INDEX('Assets'!$E$4:$E$503,_calc!$E$315))=0,"",INDEX('Assets'!$E$4:$E$503,_calc!$E$315)))=0,"","Every (months): "&amp;IF(LEN(INDEX('Assets'!$E$4:$E$503,_calc!$E$315))=0,"",INDEX('Assets'!$E$4:$E$503,_calc!$E$315))&amp;". ")&amp;IF(LEN(IF(LEN(INDEX('Assets'!$M$4:$M$503,_calc!$E$315))=0,"",INDEX('Assets'!$M$4:$M$503,_calc!$E$315)))=0,"","Last result: "&amp;IF(LEN(INDEX('Assets'!$M$4:$M$503,_calc!$E$315))=0,"",INDEX('Assets'!$M$4:$M$503,_calc!$E$315))&amp;". ")&amp;IF(LEN(IF(LEN(INDEX('Assets'!$Q$4:$Q$503,_calc!$E$315))=0,"",INDEX('Assets'!$Q$4:$Q$503,_calc!$E$315)))=0,"",IF(LEN(INDEX('Assets'!$Q$4:$Q$503,_calc!$E$315))=0,"",INDEX('Assets'!$Q$4:$Q$503,_calc!$E$315)))))</f>
        <v/>
      </c>
      <c r="G313" s="44">
        <f>IF(_calc!$E$315="","",IF(LEN(INDEX('Assets'!$P$4:$P$503,_calc!$E$315))=0,"",INDEX('Assets'!$P$4:$P$503,_calc!$E$315)))</f>
        <v/>
      </c>
      <c r="K313" s="44">
        <f>IF(_calc!$E$315="","",IF(LEN(INDEX('Assets'!$N$4:$N$503,_calc!$E$315))=0,"",INDEX('Assets'!$N$4:$N$503,_calc!$E$315)))</f>
        <v/>
      </c>
    </row>
    <row r="314">
      <c r="A314" s="44">
        <f>IF(_calc!$E$316="","",IF(LEN(INDEX('Assets'!$D$4:$D$503,_calc!$E$316))=0,"",INDEX('Assets'!$D$4:$D$503,_calc!$E$316))&amp;" – "&amp;IF(LEN(INDEX('Assets'!$A$4:$A$503,_calc!$E$316))=0,"",INDEX('Assets'!$A$4:$A$503,_calc!$E$316)))</f>
        <v/>
      </c>
      <c r="B314" s="44">
        <f>IF(_calc!$E$316="","",IF(ISNUMBER(INDEX('Assets'!$G$4:$G$503,_calc!$E$316)),TEXT(INDEX('Assets'!$G$4:$G$503,_calc!$E$316),"yyyy-mm-dd"),""))</f>
        <v/>
      </c>
      <c r="C314" s="44">
        <f>IF(_calc!$E$316="","","Inspection")</f>
        <v/>
      </c>
      <c r="D314" s="44">
        <f>IF(_calc!$E$316="","",IF(ISNUMBER(INDEX('Assets'!$F$4:$F$503,_calc!$E$316)),TEXT(INDEX('Assets'!$F$4:$F$503,_calc!$E$316),"yyyy-mm-dd"),""))</f>
        <v/>
      </c>
      <c r="E314" s="44">
        <f>IF(_calc!$E$316="","",IF(LEN(INDEX('Assets'!$O$4:$O$503,_calc!$E$316))=0,"",INDEX('Assets'!$O$4:$O$503,_calc!$E$316)))</f>
        <v/>
      </c>
      <c r="F314" s="44">
        <f>IF(_calc!$E$316="","",TRIM(IF(LEN(IF(LEN(INDEX('Assets'!$B$4:$B$503,_calc!$E$316))=0,"",INDEX('Assets'!$B$4:$B$503,_calc!$E$316)))=0,"","Asset ID: "&amp;IF(LEN(INDEX('Assets'!$B$4:$B$503,_calc!$E$316))=0,"",INDEX('Assets'!$B$4:$B$503,_calc!$E$316))&amp;". ")&amp;IF(LEN(IF(LEN(INDEX('Assets'!$C$4:$C$503,_calc!$E$316))=0,"",INDEX('Assets'!$C$4:$C$503,_calc!$E$316)))=0,"","Location: "&amp;IF(LEN(INDEX('Assets'!$C$4:$C$503,_calc!$E$316))=0,"",INDEX('Assets'!$C$4:$C$503,_calc!$E$316))&amp;". ")&amp;IF(LEN(IF(LEN(INDEX('Assets'!$E$4:$E$503,_calc!$E$316))=0,"",INDEX('Assets'!$E$4:$E$503,_calc!$E$316)))=0,"","Every (months): "&amp;IF(LEN(INDEX('Assets'!$E$4:$E$503,_calc!$E$316))=0,"",INDEX('Assets'!$E$4:$E$503,_calc!$E$316))&amp;". ")&amp;IF(LEN(IF(LEN(INDEX('Assets'!$M$4:$M$503,_calc!$E$316))=0,"",INDEX('Assets'!$M$4:$M$503,_calc!$E$316)))=0,"","Last result: "&amp;IF(LEN(INDEX('Assets'!$M$4:$M$503,_calc!$E$316))=0,"",INDEX('Assets'!$M$4:$M$503,_calc!$E$316))&amp;". ")&amp;IF(LEN(IF(LEN(INDEX('Assets'!$Q$4:$Q$503,_calc!$E$316))=0,"",INDEX('Assets'!$Q$4:$Q$503,_calc!$E$316)))=0,"",IF(LEN(INDEX('Assets'!$Q$4:$Q$503,_calc!$E$316))=0,"",INDEX('Assets'!$Q$4:$Q$503,_calc!$E$316)))))</f>
        <v/>
      </c>
      <c r="G314" s="44">
        <f>IF(_calc!$E$316="","",IF(LEN(INDEX('Assets'!$P$4:$P$503,_calc!$E$316))=0,"",INDEX('Assets'!$P$4:$P$503,_calc!$E$316)))</f>
        <v/>
      </c>
      <c r="K314" s="44">
        <f>IF(_calc!$E$316="","",IF(LEN(INDEX('Assets'!$N$4:$N$503,_calc!$E$316))=0,"",INDEX('Assets'!$N$4:$N$503,_calc!$E$316)))</f>
        <v/>
      </c>
    </row>
    <row r="315">
      <c r="A315" s="44">
        <f>IF(_calc!$E$317="","",IF(LEN(INDEX('Assets'!$D$4:$D$503,_calc!$E$317))=0,"",INDEX('Assets'!$D$4:$D$503,_calc!$E$317))&amp;" – "&amp;IF(LEN(INDEX('Assets'!$A$4:$A$503,_calc!$E$317))=0,"",INDEX('Assets'!$A$4:$A$503,_calc!$E$317)))</f>
        <v/>
      </c>
      <c r="B315" s="44">
        <f>IF(_calc!$E$317="","",IF(ISNUMBER(INDEX('Assets'!$G$4:$G$503,_calc!$E$317)),TEXT(INDEX('Assets'!$G$4:$G$503,_calc!$E$317),"yyyy-mm-dd"),""))</f>
        <v/>
      </c>
      <c r="C315" s="44">
        <f>IF(_calc!$E$317="","","Inspection")</f>
        <v/>
      </c>
      <c r="D315" s="44">
        <f>IF(_calc!$E$317="","",IF(ISNUMBER(INDEX('Assets'!$F$4:$F$503,_calc!$E$317)),TEXT(INDEX('Assets'!$F$4:$F$503,_calc!$E$317),"yyyy-mm-dd"),""))</f>
        <v/>
      </c>
      <c r="E315" s="44">
        <f>IF(_calc!$E$317="","",IF(LEN(INDEX('Assets'!$O$4:$O$503,_calc!$E$317))=0,"",INDEX('Assets'!$O$4:$O$503,_calc!$E$317)))</f>
        <v/>
      </c>
      <c r="F315" s="44">
        <f>IF(_calc!$E$317="","",TRIM(IF(LEN(IF(LEN(INDEX('Assets'!$B$4:$B$503,_calc!$E$317))=0,"",INDEX('Assets'!$B$4:$B$503,_calc!$E$317)))=0,"","Asset ID: "&amp;IF(LEN(INDEX('Assets'!$B$4:$B$503,_calc!$E$317))=0,"",INDEX('Assets'!$B$4:$B$503,_calc!$E$317))&amp;". ")&amp;IF(LEN(IF(LEN(INDEX('Assets'!$C$4:$C$503,_calc!$E$317))=0,"",INDEX('Assets'!$C$4:$C$503,_calc!$E$317)))=0,"","Location: "&amp;IF(LEN(INDEX('Assets'!$C$4:$C$503,_calc!$E$317))=0,"",INDEX('Assets'!$C$4:$C$503,_calc!$E$317))&amp;". ")&amp;IF(LEN(IF(LEN(INDEX('Assets'!$E$4:$E$503,_calc!$E$317))=0,"",INDEX('Assets'!$E$4:$E$503,_calc!$E$317)))=0,"","Every (months): "&amp;IF(LEN(INDEX('Assets'!$E$4:$E$503,_calc!$E$317))=0,"",INDEX('Assets'!$E$4:$E$503,_calc!$E$317))&amp;". ")&amp;IF(LEN(IF(LEN(INDEX('Assets'!$M$4:$M$503,_calc!$E$317))=0,"",INDEX('Assets'!$M$4:$M$503,_calc!$E$317)))=0,"","Last result: "&amp;IF(LEN(INDEX('Assets'!$M$4:$M$503,_calc!$E$317))=0,"",INDEX('Assets'!$M$4:$M$503,_calc!$E$317))&amp;". ")&amp;IF(LEN(IF(LEN(INDEX('Assets'!$Q$4:$Q$503,_calc!$E$317))=0,"",INDEX('Assets'!$Q$4:$Q$503,_calc!$E$317)))=0,"",IF(LEN(INDEX('Assets'!$Q$4:$Q$503,_calc!$E$317))=0,"",INDEX('Assets'!$Q$4:$Q$503,_calc!$E$317)))))</f>
        <v/>
      </c>
      <c r="G315" s="44">
        <f>IF(_calc!$E$317="","",IF(LEN(INDEX('Assets'!$P$4:$P$503,_calc!$E$317))=0,"",INDEX('Assets'!$P$4:$P$503,_calc!$E$317)))</f>
        <v/>
      </c>
      <c r="K315" s="44">
        <f>IF(_calc!$E$317="","",IF(LEN(INDEX('Assets'!$N$4:$N$503,_calc!$E$317))=0,"",INDEX('Assets'!$N$4:$N$503,_calc!$E$317)))</f>
        <v/>
      </c>
    </row>
    <row r="316">
      <c r="A316" s="44">
        <f>IF(_calc!$E$318="","",IF(LEN(INDEX('Assets'!$D$4:$D$503,_calc!$E$318))=0,"",INDEX('Assets'!$D$4:$D$503,_calc!$E$318))&amp;" – "&amp;IF(LEN(INDEX('Assets'!$A$4:$A$503,_calc!$E$318))=0,"",INDEX('Assets'!$A$4:$A$503,_calc!$E$318)))</f>
        <v/>
      </c>
      <c r="B316" s="44">
        <f>IF(_calc!$E$318="","",IF(ISNUMBER(INDEX('Assets'!$G$4:$G$503,_calc!$E$318)),TEXT(INDEX('Assets'!$G$4:$G$503,_calc!$E$318),"yyyy-mm-dd"),""))</f>
        <v/>
      </c>
      <c r="C316" s="44">
        <f>IF(_calc!$E$318="","","Inspection")</f>
        <v/>
      </c>
      <c r="D316" s="44">
        <f>IF(_calc!$E$318="","",IF(ISNUMBER(INDEX('Assets'!$F$4:$F$503,_calc!$E$318)),TEXT(INDEX('Assets'!$F$4:$F$503,_calc!$E$318),"yyyy-mm-dd"),""))</f>
        <v/>
      </c>
      <c r="E316" s="44">
        <f>IF(_calc!$E$318="","",IF(LEN(INDEX('Assets'!$O$4:$O$503,_calc!$E$318))=0,"",INDEX('Assets'!$O$4:$O$503,_calc!$E$318)))</f>
        <v/>
      </c>
      <c r="F316" s="44">
        <f>IF(_calc!$E$318="","",TRIM(IF(LEN(IF(LEN(INDEX('Assets'!$B$4:$B$503,_calc!$E$318))=0,"",INDEX('Assets'!$B$4:$B$503,_calc!$E$318)))=0,"","Asset ID: "&amp;IF(LEN(INDEX('Assets'!$B$4:$B$503,_calc!$E$318))=0,"",INDEX('Assets'!$B$4:$B$503,_calc!$E$318))&amp;". ")&amp;IF(LEN(IF(LEN(INDEX('Assets'!$C$4:$C$503,_calc!$E$318))=0,"",INDEX('Assets'!$C$4:$C$503,_calc!$E$318)))=0,"","Location: "&amp;IF(LEN(INDEX('Assets'!$C$4:$C$503,_calc!$E$318))=0,"",INDEX('Assets'!$C$4:$C$503,_calc!$E$318))&amp;". ")&amp;IF(LEN(IF(LEN(INDEX('Assets'!$E$4:$E$503,_calc!$E$318))=0,"",INDEX('Assets'!$E$4:$E$503,_calc!$E$318)))=0,"","Every (months): "&amp;IF(LEN(INDEX('Assets'!$E$4:$E$503,_calc!$E$318))=0,"",INDEX('Assets'!$E$4:$E$503,_calc!$E$318))&amp;". ")&amp;IF(LEN(IF(LEN(INDEX('Assets'!$M$4:$M$503,_calc!$E$318))=0,"",INDEX('Assets'!$M$4:$M$503,_calc!$E$318)))=0,"","Last result: "&amp;IF(LEN(INDEX('Assets'!$M$4:$M$503,_calc!$E$318))=0,"",INDEX('Assets'!$M$4:$M$503,_calc!$E$318))&amp;". ")&amp;IF(LEN(IF(LEN(INDEX('Assets'!$Q$4:$Q$503,_calc!$E$318))=0,"",INDEX('Assets'!$Q$4:$Q$503,_calc!$E$318)))=0,"",IF(LEN(INDEX('Assets'!$Q$4:$Q$503,_calc!$E$318))=0,"",INDEX('Assets'!$Q$4:$Q$503,_calc!$E$318)))))</f>
        <v/>
      </c>
      <c r="G316" s="44">
        <f>IF(_calc!$E$318="","",IF(LEN(INDEX('Assets'!$P$4:$P$503,_calc!$E$318))=0,"",INDEX('Assets'!$P$4:$P$503,_calc!$E$318)))</f>
        <v/>
      </c>
      <c r="K316" s="44">
        <f>IF(_calc!$E$318="","",IF(LEN(INDEX('Assets'!$N$4:$N$503,_calc!$E$318))=0,"",INDEX('Assets'!$N$4:$N$503,_calc!$E$318)))</f>
        <v/>
      </c>
    </row>
    <row r="317">
      <c r="A317" s="44">
        <f>IF(_calc!$E$319="","",IF(LEN(INDEX('Assets'!$D$4:$D$503,_calc!$E$319))=0,"",INDEX('Assets'!$D$4:$D$503,_calc!$E$319))&amp;" – "&amp;IF(LEN(INDEX('Assets'!$A$4:$A$503,_calc!$E$319))=0,"",INDEX('Assets'!$A$4:$A$503,_calc!$E$319)))</f>
        <v/>
      </c>
      <c r="B317" s="44">
        <f>IF(_calc!$E$319="","",IF(ISNUMBER(INDEX('Assets'!$G$4:$G$503,_calc!$E$319)),TEXT(INDEX('Assets'!$G$4:$G$503,_calc!$E$319),"yyyy-mm-dd"),""))</f>
        <v/>
      </c>
      <c r="C317" s="44">
        <f>IF(_calc!$E$319="","","Inspection")</f>
        <v/>
      </c>
      <c r="D317" s="44">
        <f>IF(_calc!$E$319="","",IF(ISNUMBER(INDEX('Assets'!$F$4:$F$503,_calc!$E$319)),TEXT(INDEX('Assets'!$F$4:$F$503,_calc!$E$319),"yyyy-mm-dd"),""))</f>
        <v/>
      </c>
      <c r="E317" s="44">
        <f>IF(_calc!$E$319="","",IF(LEN(INDEX('Assets'!$O$4:$O$503,_calc!$E$319))=0,"",INDEX('Assets'!$O$4:$O$503,_calc!$E$319)))</f>
        <v/>
      </c>
      <c r="F317" s="44">
        <f>IF(_calc!$E$319="","",TRIM(IF(LEN(IF(LEN(INDEX('Assets'!$B$4:$B$503,_calc!$E$319))=0,"",INDEX('Assets'!$B$4:$B$503,_calc!$E$319)))=0,"","Asset ID: "&amp;IF(LEN(INDEX('Assets'!$B$4:$B$503,_calc!$E$319))=0,"",INDEX('Assets'!$B$4:$B$503,_calc!$E$319))&amp;". ")&amp;IF(LEN(IF(LEN(INDEX('Assets'!$C$4:$C$503,_calc!$E$319))=0,"",INDEX('Assets'!$C$4:$C$503,_calc!$E$319)))=0,"","Location: "&amp;IF(LEN(INDEX('Assets'!$C$4:$C$503,_calc!$E$319))=0,"",INDEX('Assets'!$C$4:$C$503,_calc!$E$319))&amp;". ")&amp;IF(LEN(IF(LEN(INDEX('Assets'!$E$4:$E$503,_calc!$E$319))=0,"",INDEX('Assets'!$E$4:$E$503,_calc!$E$319)))=0,"","Every (months): "&amp;IF(LEN(INDEX('Assets'!$E$4:$E$503,_calc!$E$319))=0,"",INDEX('Assets'!$E$4:$E$503,_calc!$E$319))&amp;". ")&amp;IF(LEN(IF(LEN(INDEX('Assets'!$M$4:$M$503,_calc!$E$319))=0,"",INDEX('Assets'!$M$4:$M$503,_calc!$E$319)))=0,"","Last result: "&amp;IF(LEN(INDEX('Assets'!$M$4:$M$503,_calc!$E$319))=0,"",INDEX('Assets'!$M$4:$M$503,_calc!$E$319))&amp;". ")&amp;IF(LEN(IF(LEN(INDEX('Assets'!$Q$4:$Q$503,_calc!$E$319))=0,"",INDEX('Assets'!$Q$4:$Q$503,_calc!$E$319)))=0,"",IF(LEN(INDEX('Assets'!$Q$4:$Q$503,_calc!$E$319))=0,"",INDEX('Assets'!$Q$4:$Q$503,_calc!$E$319)))))</f>
        <v/>
      </c>
      <c r="G317" s="44">
        <f>IF(_calc!$E$319="","",IF(LEN(INDEX('Assets'!$P$4:$P$503,_calc!$E$319))=0,"",INDEX('Assets'!$P$4:$P$503,_calc!$E$319)))</f>
        <v/>
      </c>
      <c r="K317" s="44">
        <f>IF(_calc!$E$319="","",IF(LEN(INDEX('Assets'!$N$4:$N$503,_calc!$E$319))=0,"",INDEX('Assets'!$N$4:$N$503,_calc!$E$319)))</f>
        <v/>
      </c>
    </row>
    <row r="318">
      <c r="A318" s="44">
        <f>IF(_calc!$E$320="","",IF(LEN(INDEX('Assets'!$D$4:$D$503,_calc!$E$320))=0,"",INDEX('Assets'!$D$4:$D$503,_calc!$E$320))&amp;" – "&amp;IF(LEN(INDEX('Assets'!$A$4:$A$503,_calc!$E$320))=0,"",INDEX('Assets'!$A$4:$A$503,_calc!$E$320)))</f>
        <v/>
      </c>
      <c r="B318" s="44">
        <f>IF(_calc!$E$320="","",IF(ISNUMBER(INDEX('Assets'!$G$4:$G$503,_calc!$E$320)),TEXT(INDEX('Assets'!$G$4:$G$503,_calc!$E$320),"yyyy-mm-dd"),""))</f>
        <v/>
      </c>
      <c r="C318" s="44">
        <f>IF(_calc!$E$320="","","Inspection")</f>
        <v/>
      </c>
      <c r="D318" s="44">
        <f>IF(_calc!$E$320="","",IF(ISNUMBER(INDEX('Assets'!$F$4:$F$503,_calc!$E$320)),TEXT(INDEX('Assets'!$F$4:$F$503,_calc!$E$320),"yyyy-mm-dd"),""))</f>
        <v/>
      </c>
      <c r="E318" s="44">
        <f>IF(_calc!$E$320="","",IF(LEN(INDEX('Assets'!$O$4:$O$503,_calc!$E$320))=0,"",INDEX('Assets'!$O$4:$O$503,_calc!$E$320)))</f>
        <v/>
      </c>
      <c r="F318" s="44">
        <f>IF(_calc!$E$320="","",TRIM(IF(LEN(IF(LEN(INDEX('Assets'!$B$4:$B$503,_calc!$E$320))=0,"",INDEX('Assets'!$B$4:$B$503,_calc!$E$320)))=0,"","Asset ID: "&amp;IF(LEN(INDEX('Assets'!$B$4:$B$503,_calc!$E$320))=0,"",INDEX('Assets'!$B$4:$B$503,_calc!$E$320))&amp;". ")&amp;IF(LEN(IF(LEN(INDEX('Assets'!$C$4:$C$503,_calc!$E$320))=0,"",INDEX('Assets'!$C$4:$C$503,_calc!$E$320)))=0,"","Location: "&amp;IF(LEN(INDEX('Assets'!$C$4:$C$503,_calc!$E$320))=0,"",INDEX('Assets'!$C$4:$C$503,_calc!$E$320))&amp;". ")&amp;IF(LEN(IF(LEN(INDEX('Assets'!$E$4:$E$503,_calc!$E$320))=0,"",INDEX('Assets'!$E$4:$E$503,_calc!$E$320)))=0,"","Every (months): "&amp;IF(LEN(INDEX('Assets'!$E$4:$E$503,_calc!$E$320))=0,"",INDEX('Assets'!$E$4:$E$503,_calc!$E$320))&amp;". ")&amp;IF(LEN(IF(LEN(INDEX('Assets'!$M$4:$M$503,_calc!$E$320))=0,"",INDEX('Assets'!$M$4:$M$503,_calc!$E$320)))=0,"","Last result: "&amp;IF(LEN(INDEX('Assets'!$M$4:$M$503,_calc!$E$320))=0,"",INDEX('Assets'!$M$4:$M$503,_calc!$E$320))&amp;". ")&amp;IF(LEN(IF(LEN(INDEX('Assets'!$Q$4:$Q$503,_calc!$E$320))=0,"",INDEX('Assets'!$Q$4:$Q$503,_calc!$E$320)))=0,"",IF(LEN(INDEX('Assets'!$Q$4:$Q$503,_calc!$E$320))=0,"",INDEX('Assets'!$Q$4:$Q$503,_calc!$E$320)))))</f>
        <v/>
      </c>
      <c r="G318" s="44">
        <f>IF(_calc!$E$320="","",IF(LEN(INDEX('Assets'!$P$4:$P$503,_calc!$E$320))=0,"",INDEX('Assets'!$P$4:$P$503,_calc!$E$320)))</f>
        <v/>
      </c>
      <c r="K318" s="44">
        <f>IF(_calc!$E$320="","",IF(LEN(INDEX('Assets'!$N$4:$N$503,_calc!$E$320))=0,"",INDEX('Assets'!$N$4:$N$503,_calc!$E$320)))</f>
        <v/>
      </c>
    </row>
    <row r="319">
      <c r="A319" s="44">
        <f>IF(_calc!$E$321="","",IF(LEN(INDEX('Assets'!$D$4:$D$503,_calc!$E$321))=0,"",INDEX('Assets'!$D$4:$D$503,_calc!$E$321))&amp;" – "&amp;IF(LEN(INDEX('Assets'!$A$4:$A$503,_calc!$E$321))=0,"",INDEX('Assets'!$A$4:$A$503,_calc!$E$321)))</f>
        <v/>
      </c>
      <c r="B319" s="44">
        <f>IF(_calc!$E$321="","",IF(ISNUMBER(INDEX('Assets'!$G$4:$G$503,_calc!$E$321)),TEXT(INDEX('Assets'!$G$4:$G$503,_calc!$E$321),"yyyy-mm-dd"),""))</f>
        <v/>
      </c>
      <c r="C319" s="44">
        <f>IF(_calc!$E$321="","","Inspection")</f>
        <v/>
      </c>
      <c r="D319" s="44">
        <f>IF(_calc!$E$321="","",IF(ISNUMBER(INDEX('Assets'!$F$4:$F$503,_calc!$E$321)),TEXT(INDEX('Assets'!$F$4:$F$503,_calc!$E$321),"yyyy-mm-dd"),""))</f>
        <v/>
      </c>
      <c r="E319" s="44">
        <f>IF(_calc!$E$321="","",IF(LEN(INDEX('Assets'!$O$4:$O$503,_calc!$E$321))=0,"",INDEX('Assets'!$O$4:$O$503,_calc!$E$321)))</f>
        <v/>
      </c>
      <c r="F319" s="44">
        <f>IF(_calc!$E$321="","",TRIM(IF(LEN(IF(LEN(INDEX('Assets'!$B$4:$B$503,_calc!$E$321))=0,"",INDEX('Assets'!$B$4:$B$503,_calc!$E$321)))=0,"","Asset ID: "&amp;IF(LEN(INDEX('Assets'!$B$4:$B$503,_calc!$E$321))=0,"",INDEX('Assets'!$B$4:$B$503,_calc!$E$321))&amp;". ")&amp;IF(LEN(IF(LEN(INDEX('Assets'!$C$4:$C$503,_calc!$E$321))=0,"",INDEX('Assets'!$C$4:$C$503,_calc!$E$321)))=0,"","Location: "&amp;IF(LEN(INDEX('Assets'!$C$4:$C$503,_calc!$E$321))=0,"",INDEX('Assets'!$C$4:$C$503,_calc!$E$321))&amp;". ")&amp;IF(LEN(IF(LEN(INDEX('Assets'!$E$4:$E$503,_calc!$E$321))=0,"",INDEX('Assets'!$E$4:$E$503,_calc!$E$321)))=0,"","Every (months): "&amp;IF(LEN(INDEX('Assets'!$E$4:$E$503,_calc!$E$321))=0,"",INDEX('Assets'!$E$4:$E$503,_calc!$E$321))&amp;". ")&amp;IF(LEN(IF(LEN(INDEX('Assets'!$M$4:$M$503,_calc!$E$321))=0,"",INDEX('Assets'!$M$4:$M$503,_calc!$E$321)))=0,"","Last result: "&amp;IF(LEN(INDEX('Assets'!$M$4:$M$503,_calc!$E$321))=0,"",INDEX('Assets'!$M$4:$M$503,_calc!$E$321))&amp;". ")&amp;IF(LEN(IF(LEN(INDEX('Assets'!$Q$4:$Q$503,_calc!$E$321))=0,"",INDEX('Assets'!$Q$4:$Q$503,_calc!$E$321)))=0,"",IF(LEN(INDEX('Assets'!$Q$4:$Q$503,_calc!$E$321))=0,"",INDEX('Assets'!$Q$4:$Q$503,_calc!$E$321)))))</f>
        <v/>
      </c>
      <c r="G319" s="44">
        <f>IF(_calc!$E$321="","",IF(LEN(INDEX('Assets'!$P$4:$P$503,_calc!$E$321))=0,"",INDEX('Assets'!$P$4:$P$503,_calc!$E$321)))</f>
        <v/>
      </c>
      <c r="K319" s="44">
        <f>IF(_calc!$E$321="","",IF(LEN(INDEX('Assets'!$N$4:$N$503,_calc!$E$321))=0,"",INDEX('Assets'!$N$4:$N$503,_calc!$E$321)))</f>
        <v/>
      </c>
    </row>
    <row r="320">
      <c r="A320" s="44">
        <f>IF(_calc!$E$322="","",IF(LEN(INDEX('Assets'!$D$4:$D$503,_calc!$E$322))=0,"",INDEX('Assets'!$D$4:$D$503,_calc!$E$322))&amp;" – "&amp;IF(LEN(INDEX('Assets'!$A$4:$A$503,_calc!$E$322))=0,"",INDEX('Assets'!$A$4:$A$503,_calc!$E$322)))</f>
        <v/>
      </c>
      <c r="B320" s="44">
        <f>IF(_calc!$E$322="","",IF(ISNUMBER(INDEX('Assets'!$G$4:$G$503,_calc!$E$322)),TEXT(INDEX('Assets'!$G$4:$G$503,_calc!$E$322),"yyyy-mm-dd"),""))</f>
        <v/>
      </c>
      <c r="C320" s="44">
        <f>IF(_calc!$E$322="","","Inspection")</f>
        <v/>
      </c>
      <c r="D320" s="44">
        <f>IF(_calc!$E$322="","",IF(ISNUMBER(INDEX('Assets'!$F$4:$F$503,_calc!$E$322)),TEXT(INDEX('Assets'!$F$4:$F$503,_calc!$E$322),"yyyy-mm-dd"),""))</f>
        <v/>
      </c>
      <c r="E320" s="44">
        <f>IF(_calc!$E$322="","",IF(LEN(INDEX('Assets'!$O$4:$O$503,_calc!$E$322))=0,"",INDEX('Assets'!$O$4:$O$503,_calc!$E$322)))</f>
        <v/>
      </c>
      <c r="F320" s="44">
        <f>IF(_calc!$E$322="","",TRIM(IF(LEN(IF(LEN(INDEX('Assets'!$B$4:$B$503,_calc!$E$322))=0,"",INDEX('Assets'!$B$4:$B$503,_calc!$E$322)))=0,"","Asset ID: "&amp;IF(LEN(INDEX('Assets'!$B$4:$B$503,_calc!$E$322))=0,"",INDEX('Assets'!$B$4:$B$503,_calc!$E$322))&amp;". ")&amp;IF(LEN(IF(LEN(INDEX('Assets'!$C$4:$C$503,_calc!$E$322))=0,"",INDEX('Assets'!$C$4:$C$503,_calc!$E$322)))=0,"","Location: "&amp;IF(LEN(INDEX('Assets'!$C$4:$C$503,_calc!$E$322))=0,"",INDEX('Assets'!$C$4:$C$503,_calc!$E$322))&amp;". ")&amp;IF(LEN(IF(LEN(INDEX('Assets'!$E$4:$E$503,_calc!$E$322))=0,"",INDEX('Assets'!$E$4:$E$503,_calc!$E$322)))=0,"","Every (months): "&amp;IF(LEN(INDEX('Assets'!$E$4:$E$503,_calc!$E$322))=0,"",INDEX('Assets'!$E$4:$E$503,_calc!$E$322))&amp;". ")&amp;IF(LEN(IF(LEN(INDEX('Assets'!$M$4:$M$503,_calc!$E$322))=0,"",INDEX('Assets'!$M$4:$M$503,_calc!$E$322)))=0,"","Last result: "&amp;IF(LEN(INDEX('Assets'!$M$4:$M$503,_calc!$E$322))=0,"",INDEX('Assets'!$M$4:$M$503,_calc!$E$322))&amp;". ")&amp;IF(LEN(IF(LEN(INDEX('Assets'!$Q$4:$Q$503,_calc!$E$322))=0,"",INDEX('Assets'!$Q$4:$Q$503,_calc!$E$322)))=0,"",IF(LEN(INDEX('Assets'!$Q$4:$Q$503,_calc!$E$322))=0,"",INDEX('Assets'!$Q$4:$Q$503,_calc!$E$322)))))</f>
        <v/>
      </c>
      <c r="G320" s="44">
        <f>IF(_calc!$E$322="","",IF(LEN(INDEX('Assets'!$P$4:$P$503,_calc!$E$322))=0,"",INDEX('Assets'!$P$4:$P$503,_calc!$E$322)))</f>
        <v/>
      </c>
      <c r="K320" s="44">
        <f>IF(_calc!$E$322="","",IF(LEN(INDEX('Assets'!$N$4:$N$503,_calc!$E$322))=0,"",INDEX('Assets'!$N$4:$N$503,_calc!$E$322)))</f>
        <v/>
      </c>
    </row>
    <row r="321">
      <c r="A321" s="44">
        <f>IF(_calc!$E$323="","",IF(LEN(INDEX('Assets'!$D$4:$D$503,_calc!$E$323))=0,"",INDEX('Assets'!$D$4:$D$503,_calc!$E$323))&amp;" – "&amp;IF(LEN(INDEX('Assets'!$A$4:$A$503,_calc!$E$323))=0,"",INDEX('Assets'!$A$4:$A$503,_calc!$E$323)))</f>
        <v/>
      </c>
      <c r="B321" s="44">
        <f>IF(_calc!$E$323="","",IF(ISNUMBER(INDEX('Assets'!$G$4:$G$503,_calc!$E$323)),TEXT(INDEX('Assets'!$G$4:$G$503,_calc!$E$323),"yyyy-mm-dd"),""))</f>
        <v/>
      </c>
      <c r="C321" s="44">
        <f>IF(_calc!$E$323="","","Inspection")</f>
        <v/>
      </c>
      <c r="D321" s="44">
        <f>IF(_calc!$E$323="","",IF(ISNUMBER(INDEX('Assets'!$F$4:$F$503,_calc!$E$323)),TEXT(INDEX('Assets'!$F$4:$F$503,_calc!$E$323),"yyyy-mm-dd"),""))</f>
        <v/>
      </c>
      <c r="E321" s="44">
        <f>IF(_calc!$E$323="","",IF(LEN(INDEX('Assets'!$O$4:$O$503,_calc!$E$323))=0,"",INDEX('Assets'!$O$4:$O$503,_calc!$E$323)))</f>
        <v/>
      </c>
      <c r="F321" s="44">
        <f>IF(_calc!$E$323="","",TRIM(IF(LEN(IF(LEN(INDEX('Assets'!$B$4:$B$503,_calc!$E$323))=0,"",INDEX('Assets'!$B$4:$B$503,_calc!$E$323)))=0,"","Asset ID: "&amp;IF(LEN(INDEX('Assets'!$B$4:$B$503,_calc!$E$323))=0,"",INDEX('Assets'!$B$4:$B$503,_calc!$E$323))&amp;". ")&amp;IF(LEN(IF(LEN(INDEX('Assets'!$C$4:$C$503,_calc!$E$323))=0,"",INDEX('Assets'!$C$4:$C$503,_calc!$E$323)))=0,"","Location: "&amp;IF(LEN(INDEX('Assets'!$C$4:$C$503,_calc!$E$323))=0,"",INDEX('Assets'!$C$4:$C$503,_calc!$E$323))&amp;". ")&amp;IF(LEN(IF(LEN(INDEX('Assets'!$E$4:$E$503,_calc!$E$323))=0,"",INDEX('Assets'!$E$4:$E$503,_calc!$E$323)))=0,"","Every (months): "&amp;IF(LEN(INDEX('Assets'!$E$4:$E$503,_calc!$E$323))=0,"",INDEX('Assets'!$E$4:$E$503,_calc!$E$323))&amp;". ")&amp;IF(LEN(IF(LEN(INDEX('Assets'!$M$4:$M$503,_calc!$E$323))=0,"",INDEX('Assets'!$M$4:$M$503,_calc!$E$323)))=0,"","Last result: "&amp;IF(LEN(INDEX('Assets'!$M$4:$M$503,_calc!$E$323))=0,"",INDEX('Assets'!$M$4:$M$503,_calc!$E$323))&amp;". ")&amp;IF(LEN(IF(LEN(INDEX('Assets'!$Q$4:$Q$503,_calc!$E$323))=0,"",INDEX('Assets'!$Q$4:$Q$503,_calc!$E$323)))=0,"",IF(LEN(INDEX('Assets'!$Q$4:$Q$503,_calc!$E$323))=0,"",INDEX('Assets'!$Q$4:$Q$503,_calc!$E$323)))))</f>
        <v/>
      </c>
      <c r="G321" s="44">
        <f>IF(_calc!$E$323="","",IF(LEN(INDEX('Assets'!$P$4:$P$503,_calc!$E$323))=0,"",INDEX('Assets'!$P$4:$P$503,_calc!$E$323)))</f>
        <v/>
      </c>
      <c r="K321" s="44">
        <f>IF(_calc!$E$323="","",IF(LEN(INDEX('Assets'!$N$4:$N$503,_calc!$E$323))=0,"",INDEX('Assets'!$N$4:$N$503,_calc!$E$323)))</f>
        <v/>
      </c>
    </row>
    <row r="322">
      <c r="A322" s="44">
        <f>IF(_calc!$E$324="","",IF(LEN(INDEX('Assets'!$D$4:$D$503,_calc!$E$324))=0,"",INDEX('Assets'!$D$4:$D$503,_calc!$E$324))&amp;" – "&amp;IF(LEN(INDEX('Assets'!$A$4:$A$503,_calc!$E$324))=0,"",INDEX('Assets'!$A$4:$A$503,_calc!$E$324)))</f>
        <v/>
      </c>
      <c r="B322" s="44">
        <f>IF(_calc!$E$324="","",IF(ISNUMBER(INDEX('Assets'!$G$4:$G$503,_calc!$E$324)),TEXT(INDEX('Assets'!$G$4:$G$503,_calc!$E$324),"yyyy-mm-dd"),""))</f>
        <v/>
      </c>
      <c r="C322" s="44">
        <f>IF(_calc!$E$324="","","Inspection")</f>
        <v/>
      </c>
      <c r="D322" s="44">
        <f>IF(_calc!$E$324="","",IF(ISNUMBER(INDEX('Assets'!$F$4:$F$503,_calc!$E$324)),TEXT(INDEX('Assets'!$F$4:$F$503,_calc!$E$324),"yyyy-mm-dd"),""))</f>
        <v/>
      </c>
      <c r="E322" s="44">
        <f>IF(_calc!$E$324="","",IF(LEN(INDEX('Assets'!$O$4:$O$503,_calc!$E$324))=0,"",INDEX('Assets'!$O$4:$O$503,_calc!$E$324)))</f>
        <v/>
      </c>
      <c r="F322" s="44">
        <f>IF(_calc!$E$324="","",TRIM(IF(LEN(IF(LEN(INDEX('Assets'!$B$4:$B$503,_calc!$E$324))=0,"",INDEX('Assets'!$B$4:$B$503,_calc!$E$324)))=0,"","Asset ID: "&amp;IF(LEN(INDEX('Assets'!$B$4:$B$503,_calc!$E$324))=0,"",INDEX('Assets'!$B$4:$B$503,_calc!$E$324))&amp;". ")&amp;IF(LEN(IF(LEN(INDEX('Assets'!$C$4:$C$503,_calc!$E$324))=0,"",INDEX('Assets'!$C$4:$C$503,_calc!$E$324)))=0,"","Location: "&amp;IF(LEN(INDEX('Assets'!$C$4:$C$503,_calc!$E$324))=0,"",INDEX('Assets'!$C$4:$C$503,_calc!$E$324))&amp;". ")&amp;IF(LEN(IF(LEN(INDEX('Assets'!$E$4:$E$503,_calc!$E$324))=0,"",INDEX('Assets'!$E$4:$E$503,_calc!$E$324)))=0,"","Every (months): "&amp;IF(LEN(INDEX('Assets'!$E$4:$E$503,_calc!$E$324))=0,"",INDEX('Assets'!$E$4:$E$503,_calc!$E$324))&amp;". ")&amp;IF(LEN(IF(LEN(INDEX('Assets'!$M$4:$M$503,_calc!$E$324))=0,"",INDEX('Assets'!$M$4:$M$503,_calc!$E$324)))=0,"","Last result: "&amp;IF(LEN(INDEX('Assets'!$M$4:$M$503,_calc!$E$324))=0,"",INDEX('Assets'!$M$4:$M$503,_calc!$E$324))&amp;". ")&amp;IF(LEN(IF(LEN(INDEX('Assets'!$Q$4:$Q$503,_calc!$E$324))=0,"",INDEX('Assets'!$Q$4:$Q$503,_calc!$E$324)))=0,"",IF(LEN(INDEX('Assets'!$Q$4:$Q$503,_calc!$E$324))=0,"",INDEX('Assets'!$Q$4:$Q$503,_calc!$E$324)))))</f>
        <v/>
      </c>
      <c r="G322" s="44">
        <f>IF(_calc!$E$324="","",IF(LEN(INDEX('Assets'!$P$4:$P$503,_calc!$E$324))=0,"",INDEX('Assets'!$P$4:$P$503,_calc!$E$324)))</f>
        <v/>
      </c>
      <c r="K322" s="44">
        <f>IF(_calc!$E$324="","",IF(LEN(INDEX('Assets'!$N$4:$N$503,_calc!$E$324))=0,"",INDEX('Assets'!$N$4:$N$503,_calc!$E$324)))</f>
        <v/>
      </c>
    </row>
    <row r="323">
      <c r="A323" s="44">
        <f>IF(_calc!$E$325="","",IF(LEN(INDEX('Assets'!$D$4:$D$503,_calc!$E$325))=0,"",INDEX('Assets'!$D$4:$D$503,_calc!$E$325))&amp;" – "&amp;IF(LEN(INDEX('Assets'!$A$4:$A$503,_calc!$E$325))=0,"",INDEX('Assets'!$A$4:$A$503,_calc!$E$325)))</f>
        <v/>
      </c>
      <c r="B323" s="44">
        <f>IF(_calc!$E$325="","",IF(ISNUMBER(INDEX('Assets'!$G$4:$G$503,_calc!$E$325)),TEXT(INDEX('Assets'!$G$4:$G$503,_calc!$E$325),"yyyy-mm-dd"),""))</f>
        <v/>
      </c>
      <c r="C323" s="44">
        <f>IF(_calc!$E$325="","","Inspection")</f>
        <v/>
      </c>
      <c r="D323" s="44">
        <f>IF(_calc!$E$325="","",IF(ISNUMBER(INDEX('Assets'!$F$4:$F$503,_calc!$E$325)),TEXT(INDEX('Assets'!$F$4:$F$503,_calc!$E$325),"yyyy-mm-dd"),""))</f>
        <v/>
      </c>
      <c r="E323" s="44">
        <f>IF(_calc!$E$325="","",IF(LEN(INDEX('Assets'!$O$4:$O$503,_calc!$E$325))=0,"",INDEX('Assets'!$O$4:$O$503,_calc!$E$325)))</f>
        <v/>
      </c>
      <c r="F323" s="44">
        <f>IF(_calc!$E$325="","",TRIM(IF(LEN(IF(LEN(INDEX('Assets'!$B$4:$B$503,_calc!$E$325))=0,"",INDEX('Assets'!$B$4:$B$503,_calc!$E$325)))=0,"","Asset ID: "&amp;IF(LEN(INDEX('Assets'!$B$4:$B$503,_calc!$E$325))=0,"",INDEX('Assets'!$B$4:$B$503,_calc!$E$325))&amp;". ")&amp;IF(LEN(IF(LEN(INDEX('Assets'!$C$4:$C$503,_calc!$E$325))=0,"",INDEX('Assets'!$C$4:$C$503,_calc!$E$325)))=0,"","Location: "&amp;IF(LEN(INDEX('Assets'!$C$4:$C$503,_calc!$E$325))=0,"",INDEX('Assets'!$C$4:$C$503,_calc!$E$325))&amp;". ")&amp;IF(LEN(IF(LEN(INDEX('Assets'!$E$4:$E$503,_calc!$E$325))=0,"",INDEX('Assets'!$E$4:$E$503,_calc!$E$325)))=0,"","Every (months): "&amp;IF(LEN(INDEX('Assets'!$E$4:$E$503,_calc!$E$325))=0,"",INDEX('Assets'!$E$4:$E$503,_calc!$E$325))&amp;". ")&amp;IF(LEN(IF(LEN(INDEX('Assets'!$M$4:$M$503,_calc!$E$325))=0,"",INDEX('Assets'!$M$4:$M$503,_calc!$E$325)))=0,"","Last result: "&amp;IF(LEN(INDEX('Assets'!$M$4:$M$503,_calc!$E$325))=0,"",INDEX('Assets'!$M$4:$M$503,_calc!$E$325))&amp;". ")&amp;IF(LEN(IF(LEN(INDEX('Assets'!$Q$4:$Q$503,_calc!$E$325))=0,"",INDEX('Assets'!$Q$4:$Q$503,_calc!$E$325)))=0,"",IF(LEN(INDEX('Assets'!$Q$4:$Q$503,_calc!$E$325))=0,"",INDEX('Assets'!$Q$4:$Q$503,_calc!$E$325)))))</f>
        <v/>
      </c>
      <c r="G323" s="44">
        <f>IF(_calc!$E$325="","",IF(LEN(INDEX('Assets'!$P$4:$P$503,_calc!$E$325))=0,"",INDEX('Assets'!$P$4:$P$503,_calc!$E$325)))</f>
        <v/>
      </c>
      <c r="K323" s="44">
        <f>IF(_calc!$E$325="","",IF(LEN(INDEX('Assets'!$N$4:$N$503,_calc!$E$325))=0,"",INDEX('Assets'!$N$4:$N$503,_calc!$E$325)))</f>
        <v/>
      </c>
    </row>
    <row r="324">
      <c r="A324" s="44">
        <f>IF(_calc!$E$326="","",IF(LEN(INDEX('Assets'!$D$4:$D$503,_calc!$E$326))=0,"",INDEX('Assets'!$D$4:$D$503,_calc!$E$326))&amp;" – "&amp;IF(LEN(INDEX('Assets'!$A$4:$A$503,_calc!$E$326))=0,"",INDEX('Assets'!$A$4:$A$503,_calc!$E$326)))</f>
        <v/>
      </c>
      <c r="B324" s="44">
        <f>IF(_calc!$E$326="","",IF(ISNUMBER(INDEX('Assets'!$G$4:$G$503,_calc!$E$326)),TEXT(INDEX('Assets'!$G$4:$G$503,_calc!$E$326),"yyyy-mm-dd"),""))</f>
        <v/>
      </c>
      <c r="C324" s="44">
        <f>IF(_calc!$E$326="","","Inspection")</f>
        <v/>
      </c>
      <c r="D324" s="44">
        <f>IF(_calc!$E$326="","",IF(ISNUMBER(INDEX('Assets'!$F$4:$F$503,_calc!$E$326)),TEXT(INDEX('Assets'!$F$4:$F$503,_calc!$E$326),"yyyy-mm-dd"),""))</f>
        <v/>
      </c>
      <c r="E324" s="44">
        <f>IF(_calc!$E$326="","",IF(LEN(INDEX('Assets'!$O$4:$O$503,_calc!$E$326))=0,"",INDEX('Assets'!$O$4:$O$503,_calc!$E$326)))</f>
        <v/>
      </c>
      <c r="F324" s="44">
        <f>IF(_calc!$E$326="","",TRIM(IF(LEN(IF(LEN(INDEX('Assets'!$B$4:$B$503,_calc!$E$326))=0,"",INDEX('Assets'!$B$4:$B$503,_calc!$E$326)))=0,"","Asset ID: "&amp;IF(LEN(INDEX('Assets'!$B$4:$B$503,_calc!$E$326))=0,"",INDEX('Assets'!$B$4:$B$503,_calc!$E$326))&amp;". ")&amp;IF(LEN(IF(LEN(INDEX('Assets'!$C$4:$C$503,_calc!$E$326))=0,"",INDEX('Assets'!$C$4:$C$503,_calc!$E$326)))=0,"","Location: "&amp;IF(LEN(INDEX('Assets'!$C$4:$C$503,_calc!$E$326))=0,"",INDEX('Assets'!$C$4:$C$503,_calc!$E$326))&amp;". ")&amp;IF(LEN(IF(LEN(INDEX('Assets'!$E$4:$E$503,_calc!$E$326))=0,"",INDEX('Assets'!$E$4:$E$503,_calc!$E$326)))=0,"","Every (months): "&amp;IF(LEN(INDEX('Assets'!$E$4:$E$503,_calc!$E$326))=0,"",INDEX('Assets'!$E$4:$E$503,_calc!$E$326))&amp;". ")&amp;IF(LEN(IF(LEN(INDEX('Assets'!$M$4:$M$503,_calc!$E$326))=0,"",INDEX('Assets'!$M$4:$M$503,_calc!$E$326)))=0,"","Last result: "&amp;IF(LEN(INDEX('Assets'!$M$4:$M$503,_calc!$E$326))=0,"",INDEX('Assets'!$M$4:$M$503,_calc!$E$326))&amp;". ")&amp;IF(LEN(IF(LEN(INDEX('Assets'!$Q$4:$Q$503,_calc!$E$326))=0,"",INDEX('Assets'!$Q$4:$Q$503,_calc!$E$326)))=0,"",IF(LEN(INDEX('Assets'!$Q$4:$Q$503,_calc!$E$326))=0,"",INDEX('Assets'!$Q$4:$Q$503,_calc!$E$326)))))</f>
        <v/>
      </c>
      <c r="G324" s="44">
        <f>IF(_calc!$E$326="","",IF(LEN(INDEX('Assets'!$P$4:$P$503,_calc!$E$326))=0,"",INDEX('Assets'!$P$4:$P$503,_calc!$E$326)))</f>
        <v/>
      </c>
      <c r="K324" s="44">
        <f>IF(_calc!$E$326="","",IF(LEN(INDEX('Assets'!$N$4:$N$503,_calc!$E$326))=0,"",INDEX('Assets'!$N$4:$N$503,_calc!$E$326)))</f>
        <v/>
      </c>
    </row>
    <row r="325">
      <c r="A325" s="44">
        <f>IF(_calc!$E$327="","",IF(LEN(INDEX('Assets'!$D$4:$D$503,_calc!$E$327))=0,"",INDEX('Assets'!$D$4:$D$503,_calc!$E$327))&amp;" – "&amp;IF(LEN(INDEX('Assets'!$A$4:$A$503,_calc!$E$327))=0,"",INDEX('Assets'!$A$4:$A$503,_calc!$E$327)))</f>
        <v/>
      </c>
      <c r="B325" s="44">
        <f>IF(_calc!$E$327="","",IF(ISNUMBER(INDEX('Assets'!$G$4:$G$503,_calc!$E$327)),TEXT(INDEX('Assets'!$G$4:$G$503,_calc!$E$327),"yyyy-mm-dd"),""))</f>
        <v/>
      </c>
      <c r="C325" s="44">
        <f>IF(_calc!$E$327="","","Inspection")</f>
        <v/>
      </c>
      <c r="D325" s="44">
        <f>IF(_calc!$E$327="","",IF(ISNUMBER(INDEX('Assets'!$F$4:$F$503,_calc!$E$327)),TEXT(INDEX('Assets'!$F$4:$F$503,_calc!$E$327),"yyyy-mm-dd"),""))</f>
        <v/>
      </c>
      <c r="E325" s="44">
        <f>IF(_calc!$E$327="","",IF(LEN(INDEX('Assets'!$O$4:$O$503,_calc!$E$327))=0,"",INDEX('Assets'!$O$4:$O$503,_calc!$E$327)))</f>
        <v/>
      </c>
      <c r="F325" s="44">
        <f>IF(_calc!$E$327="","",TRIM(IF(LEN(IF(LEN(INDEX('Assets'!$B$4:$B$503,_calc!$E$327))=0,"",INDEX('Assets'!$B$4:$B$503,_calc!$E$327)))=0,"","Asset ID: "&amp;IF(LEN(INDEX('Assets'!$B$4:$B$503,_calc!$E$327))=0,"",INDEX('Assets'!$B$4:$B$503,_calc!$E$327))&amp;". ")&amp;IF(LEN(IF(LEN(INDEX('Assets'!$C$4:$C$503,_calc!$E$327))=0,"",INDEX('Assets'!$C$4:$C$503,_calc!$E$327)))=0,"","Location: "&amp;IF(LEN(INDEX('Assets'!$C$4:$C$503,_calc!$E$327))=0,"",INDEX('Assets'!$C$4:$C$503,_calc!$E$327))&amp;". ")&amp;IF(LEN(IF(LEN(INDEX('Assets'!$E$4:$E$503,_calc!$E$327))=0,"",INDEX('Assets'!$E$4:$E$503,_calc!$E$327)))=0,"","Every (months): "&amp;IF(LEN(INDEX('Assets'!$E$4:$E$503,_calc!$E$327))=0,"",INDEX('Assets'!$E$4:$E$503,_calc!$E$327))&amp;". ")&amp;IF(LEN(IF(LEN(INDEX('Assets'!$M$4:$M$503,_calc!$E$327))=0,"",INDEX('Assets'!$M$4:$M$503,_calc!$E$327)))=0,"","Last result: "&amp;IF(LEN(INDEX('Assets'!$M$4:$M$503,_calc!$E$327))=0,"",INDEX('Assets'!$M$4:$M$503,_calc!$E$327))&amp;". ")&amp;IF(LEN(IF(LEN(INDEX('Assets'!$Q$4:$Q$503,_calc!$E$327))=0,"",INDEX('Assets'!$Q$4:$Q$503,_calc!$E$327)))=0,"",IF(LEN(INDEX('Assets'!$Q$4:$Q$503,_calc!$E$327))=0,"",INDEX('Assets'!$Q$4:$Q$503,_calc!$E$327)))))</f>
        <v/>
      </c>
      <c r="G325" s="44">
        <f>IF(_calc!$E$327="","",IF(LEN(INDEX('Assets'!$P$4:$P$503,_calc!$E$327))=0,"",INDEX('Assets'!$P$4:$P$503,_calc!$E$327)))</f>
        <v/>
      </c>
      <c r="K325" s="44">
        <f>IF(_calc!$E$327="","",IF(LEN(INDEX('Assets'!$N$4:$N$503,_calc!$E$327))=0,"",INDEX('Assets'!$N$4:$N$503,_calc!$E$327)))</f>
        <v/>
      </c>
    </row>
    <row r="326">
      <c r="A326" s="44">
        <f>IF(_calc!$E$328="","",IF(LEN(INDEX('Assets'!$D$4:$D$503,_calc!$E$328))=0,"",INDEX('Assets'!$D$4:$D$503,_calc!$E$328))&amp;" – "&amp;IF(LEN(INDEX('Assets'!$A$4:$A$503,_calc!$E$328))=0,"",INDEX('Assets'!$A$4:$A$503,_calc!$E$328)))</f>
        <v/>
      </c>
      <c r="B326" s="44">
        <f>IF(_calc!$E$328="","",IF(ISNUMBER(INDEX('Assets'!$G$4:$G$503,_calc!$E$328)),TEXT(INDEX('Assets'!$G$4:$G$503,_calc!$E$328),"yyyy-mm-dd"),""))</f>
        <v/>
      </c>
      <c r="C326" s="44">
        <f>IF(_calc!$E$328="","","Inspection")</f>
        <v/>
      </c>
      <c r="D326" s="44">
        <f>IF(_calc!$E$328="","",IF(ISNUMBER(INDEX('Assets'!$F$4:$F$503,_calc!$E$328)),TEXT(INDEX('Assets'!$F$4:$F$503,_calc!$E$328),"yyyy-mm-dd"),""))</f>
        <v/>
      </c>
      <c r="E326" s="44">
        <f>IF(_calc!$E$328="","",IF(LEN(INDEX('Assets'!$O$4:$O$503,_calc!$E$328))=0,"",INDEX('Assets'!$O$4:$O$503,_calc!$E$328)))</f>
        <v/>
      </c>
      <c r="F326" s="44">
        <f>IF(_calc!$E$328="","",TRIM(IF(LEN(IF(LEN(INDEX('Assets'!$B$4:$B$503,_calc!$E$328))=0,"",INDEX('Assets'!$B$4:$B$503,_calc!$E$328)))=0,"","Asset ID: "&amp;IF(LEN(INDEX('Assets'!$B$4:$B$503,_calc!$E$328))=0,"",INDEX('Assets'!$B$4:$B$503,_calc!$E$328))&amp;". ")&amp;IF(LEN(IF(LEN(INDEX('Assets'!$C$4:$C$503,_calc!$E$328))=0,"",INDEX('Assets'!$C$4:$C$503,_calc!$E$328)))=0,"","Location: "&amp;IF(LEN(INDEX('Assets'!$C$4:$C$503,_calc!$E$328))=0,"",INDEX('Assets'!$C$4:$C$503,_calc!$E$328))&amp;". ")&amp;IF(LEN(IF(LEN(INDEX('Assets'!$E$4:$E$503,_calc!$E$328))=0,"",INDEX('Assets'!$E$4:$E$503,_calc!$E$328)))=0,"","Every (months): "&amp;IF(LEN(INDEX('Assets'!$E$4:$E$503,_calc!$E$328))=0,"",INDEX('Assets'!$E$4:$E$503,_calc!$E$328))&amp;". ")&amp;IF(LEN(IF(LEN(INDEX('Assets'!$M$4:$M$503,_calc!$E$328))=0,"",INDEX('Assets'!$M$4:$M$503,_calc!$E$328)))=0,"","Last result: "&amp;IF(LEN(INDEX('Assets'!$M$4:$M$503,_calc!$E$328))=0,"",INDEX('Assets'!$M$4:$M$503,_calc!$E$328))&amp;". ")&amp;IF(LEN(IF(LEN(INDEX('Assets'!$Q$4:$Q$503,_calc!$E$328))=0,"",INDEX('Assets'!$Q$4:$Q$503,_calc!$E$328)))=0,"",IF(LEN(INDEX('Assets'!$Q$4:$Q$503,_calc!$E$328))=0,"",INDEX('Assets'!$Q$4:$Q$503,_calc!$E$328)))))</f>
        <v/>
      </c>
      <c r="G326" s="44">
        <f>IF(_calc!$E$328="","",IF(LEN(INDEX('Assets'!$P$4:$P$503,_calc!$E$328))=0,"",INDEX('Assets'!$P$4:$P$503,_calc!$E$328)))</f>
        <v/>
      </c>
      <c r="K326" s="44">
        <f>IF(_calc!$E$328="","",IF(LEN(INDEX('Assets'!$N$4:$N$503,_calc!$E$328))=0,"",INDEX('Assets'!$N$4:$N$503,_calc!$E$328)))</f>
        <v/>
      </c>
    </row>
    <row r="327">
      <c r="A327" s="44">
        <f>IF(_calc!$E$329="","",IF(LEN(INDEX('Assets'!$D$4:$D$503,_calc!$E$329))=0,"",INDEX('Assets'!$D$4:$D$503,_calc!$E$329))&amp;" – "&amp;IF(LEN(INDEX('Assets'!$A$4:$A$503,_calc!$E$329))=0,"",INDEX('Assets'!$A$4:$A$503,_calc!$E$329)))</f>
        <v/>
      </c>
      <c r="B327" s="44">
        <f>IF(_calc!$E$329="","",IF(ISNUMBER(INDEX('Assets'!$G$4:$G$503,_calc!$E$329)),TEXT(INDEX('Assets'!$G$4:$G$503,_calc!$E$329),"yyyy-mm-dd"),""))</f>
        <v/>
      </c>
      <c r="C327" s="44">
        <f>IF(_calc!$E$329="","","Inspection")</f>
        <v/>
      </c>
      <c r="D327" s="44">
        <f>IF(_calc!$E$329="","",IF(ISNUMBER(INDEX('Assets'!$F$4:$F$503,_calc!$E$329)),TEXT(INDEX('Assets'!$F$4:$F$503,_calc!$E$329),"yyyy-mm-dd"),""))</f>
        <v/>
      </c>
      <c r="E327" s="44">
        <f>IF(_calc!$E$329="","",IF(LEN(INDEX('Assets'!$O$4:$O$503,_calc!$E$329))=0,"",INDEX('Assets'!$O$4:$O$503,_calc!$E$329)))</f>
        <v/>
      </c>
      <c r="F327" s="44">
        <f>IF(_calc!$E$329="","",TRIM(IF(LEN(IF(LEN(INDEX('Assets'!$B$4:$B$503,_calc!$E$329))=0,"",INDEX('Assets'!$B$4:$B$503,_calc!$E$329)))=0,"","Asset ID: "&amp;IF(LEN(INDEX('Assets'!$B$4:$B$503,_calc!$E$329))=0,"",INDEX('Assets'!$B$4:$B$503,_calc!$E$329))&amp;". ")&amp;IF(LEN(IF(LEN(INDEX('Assets'!$C$4:$C$503,_calc!$E$329))=0,"",INDEX('Assets'!$C$4:$C$503,_calc!$E$329)))=0,"","Location: "&amp;IF(LEN(INDEX('Assets'!$C$4:$C$503,_calc!$E$329))=0,"",INDEX('Assets'!$C$4:$C$503,_calc!$E$329))&amp;". ")&amp;IF(LEN(IF(LEN(INDEX('Assets'!$E$4:$E$503,_calc!$E$329))=0,"",INDEX('Assets'!$E$4:$E$503,_calc!$E$329)))=0,"","Every (months): "&amp;IF(LEN(INDEX('Assets'!$E$4:$E$503,_calc!$E$329))=0,"",INDEX('Assets'!$E$4:$E$503,_calc!$E$329))&amp;". ")&amp;IF(LEN(IF(LEN(INDEX('Assets'!$M$4:$M$503,_calc!$E$329))=0,"",INDEX('Assets'!$M$4:$M$503,_calc!$E$329)))=0,"","Last result: "&amp;IF(LEN(INDEX('Assets'!$M$4:$M$503,_calc!$E$329))=0,"",INDEX('Assets'!$M$4:$M$503,_calc!$E$329))&amp;". ")&amp;IF(LEN(IF(LEN(INDEX('Assets'!$Q$4:$Q$503,_calc!$E$329))=0,"",INDEX('Assets'!$Q$4:$Q$503,_calc!$E$329)))=0,"",IF(LEN(INDEX('Assets'!$Q$4:$Q$503,_calc!$E$329))=0,"",INDEX('Assets'!$Q$4:$Q$503,_calc!$E$329)))))</f>
        <v/>
      </c>
      <c r="G327" s="44">
        <f>IF(_calc!$E$329="","",IF(LEN(INDEX('Assets'!$P$4:$P$503,_calc!$E$329))=0,"",INDEX('Assets'!$P$4:$P$503,_calc!$E$329)))</f>
        <v/>
      </c>
      <c r="K327" s="44">
        <f>IF(_calc!$E$329="","",IF(LEN(INDEX('Assets'!$N$4:$N$503,_calc!$E$329))=0,"",INDEX('Assets'!$N$4:$N$503,_calc!$E$329)))</f>
        <v/>
      </c>
    </row>
    <row r="328">
      <c r="A328" s="44">
        <f>IF(_calc!$E$330="","",IF(LEN(INDEX('Assets'!$D$4:$D$503,_calc!$E$330))=0,"",INDEX('Assets'!$D$4:$D$503,_calc!$E$330))&amp;" – "&amp;IF(LEN(INDEX('Assets'!$A$4:$A$503,_calc!$E$330))=0,"",INDEX('Assets'!$A$4:$A$503,_calc!$E$330)))</f>
        <v/>
      </c>
      <c r="B328" s="44">
        <f>IF(_calc!$E$330="","",IF(ISNUMBER(INDEX('Assets'!$G$4:$G$503,_calc!$E$330)),TEXT(INDEX('Assets'!$G$4:$G$503,_calc!$E$330),"yyyy-mm-dd"),""))</f>
        <v/>
      </c>
      <c r="C328" s="44">
        <f>IF(_calc!$E$330="","","Inspection")</f>
        <v/>
      </c>
      <c r="D328" s="44">
        <f>IF(_calc!$E$330="","",IF(ISNUMBER(INDEX('Assets'!$F$4:$F$503,_calc!$E$330)),TEXT(INDEX('Assets'!$F$4:$F$503,_calc!$E$330),"yyyy-mm-dd"),""))</f>
        <v/>
      </c>
      <c r="E328" s="44">
        <f>IF(_calc!$E$330="","",IF(LEN(INDEX('Assets'!$O$4:$O$503,_calc!$E$330))=0,"",INDEX('Assets'!$O$4:$O$503,_calc!$E$330)))</f>
        <v/>
      </c>
      <c r="F328" s="44">
        <f>IF(_calc!$E$330="","",TRIM(IF(LEN(IF(LEN(INDEX('Assets'!$B$4:$B$503,_calc!$E$330))=0,"",INDEX('Assets'!$B$4:$B$503,_calc!$E$330)))=0,"","Asset ID: "&amp;IF(LEN(INDEX('Assets'!$B$4:$B$503,_calc!$E$330))=0,"",INDEX('Assets'!$B$4:$B$503,_calc!$E$330))&amp;". ")&amp;IF(LEN(IF(LEN(INDEX('Assets'!$C$4:$C$503,_calc!$E$330))=0,"",INDEX('Assets'!$C$4:$C$503,_calc!$E$330)))=0,"","Location: "&amp;IF(LEN(INDEX('Assets'!$C$4:$C$503,_calc!$E$330))=0,"",INDEX('Assets'!$C$4:$C$503,_calc!$E$330))&amp;". ")&amp;IF(LEN(IF(LEN(INDEX('Assets'!$E$4:$E$503,_calc!$E$330))=0,"",INDEX('Assets'!$E$4:$E$503,_calc!$E$330)))=0,"","Every (months): "&amp;IF(LEN(INDEX('Assets'!$E$4:$E$503,_calc!$E$330))=0,"",INDEX('Assets'!$E$4:$E$503,_calc!$E$330))&amp;". ")&amp;IF(LEN(IF(LEN(INDEX('Assets'!$M$4:$M$503,_calc!$E$330))=0,"",INDEX('Assets'!$M$4:$M$503,_calc!$E$330)))=0,"","Last result: "&amp;IF(LEN(INDEX('Assets'!$M$4:$M$503,_calc!$E$330))=0,"",INDEX('Assets'!$M$4:$M$503,_calc!$E$330))&amp;". ")&amp;IF(LEN(IF(LEN(INDEX('Assets'!$Q$4:$Q$503,_calc!$E$330))=0,"",INDEX('Assets'!$Q$4:$Q$503,_calc!$E$330)))=0,"",IF(LEN(INDEX('Assets'!$Q$4:$Q$503,_calc!$E$330))=0,"",INDEX('Assets'!$Q$4:$Q$503,_calc!$E$330)))))</f>
        <v/>
      </c>
      <c r="G328" s="44">
        <f>IF(_calc!$E$330="","",IF(LEN(INDEX('Assets'!$P$4:$P$503,_calc!$E$330))=0,"",INDEX('Assets'!$P$4:$P$503,_calc!$E$330)))</f>
        <v/>
      </c>
      <c r="K328" s="44">
        <f>IF(_calc!$E$330="","",IF(LEN(INDEX('Assets'!$N$4:$N$503,_calc!$E$330))=0,"",INDEX('Assets'!$N$4:$N$503,_calc!$E$330)))</f>
        <v/>
      </c>
    </row>
    <row r="329">
      <c r="A329" s="44">
        <f>IF(_calc!$E$331="","",IF(LEN(INDEX('Assets'!$D$4:$D$503,_calc!$E$331))=0,"",INDEX('Assets'!$D$4:$D$503,_calc!$E$331))&amp;" – "&amp;IF(LEN(INDEX('Assets'!$A$4:$A$503,_calc!$E$331))=0,"",INDEX('Assets'!$A$4:$A$503,_calc!$E$331)))</f>
        <v/>
      </c>
      <c r="B329" s="44">
        <f>IF(_calc!$E$331="","",IF(ISNUMBER(INDEX('Assets'!$G$4:$G$503,_calc!$E$331)),TEXT(INDEX('Assets'!$G$4:$G$503,_calc!$E$331),"yyyy-mm-dd"),""))</f>
        <v/>
      </c>
      <c r="C329" s="44">
        <f>IF(_calc!$E$331="","","Inspection")</f>
        <v/>
      </c>
      <c r="D329" s="44">
        <f>IF(_calc!$E$331="","",IF(ISNUMBER(INDEX('Assets'!$F$4:$F$503,_calc!$E$331)),TEXT(INDEX('Assets'!$F$4:$F$503,_calc!$E$331),"yyyy-mm-dd"),""))</f>
        <v/>
      </c>
      <c r="E329" s="44">
        <f>IF(_calc!$E$331="","",IF(LEN(INDEX('Assets'!$O$4:$O$503,_calc!$E$331))=0,"",INDEX('Assets'!$O$4:$O$503,_calc!$E$331)))</f>
        <v/>
      </c>
      <c r="F329" s="44">
        <f>IF(_calc!$E$331="","",TRIM(IF(LEN(IF(LEN(INDEX('Assets'!$B$4:$B$503,_calc!$E$331))=0,"",INDEX('Assets'!$B$4:$B$503,_calc!$E$331)))=0,"","Asset ID: "&amp;IF(LEN(INDEX('Assets'!$B$4:$B$503,_calc!$E$331))=0,"",INDEX('Assets'!$B$4:$B$503,_calc!$E$331))&amp;". ")&amp;IF(LEN(IF(LEN(INDEX('Assets'!$C$4:$C$503,_calc!$E$331))=0,"",INDEX('Assets'!$C$4:$C$503,_calc!$E$331)))=0,"","Location: "&amp;IF(LEN(INDEX('Assets'!$C$4:$C$503,_calc!$E$331))=0,"",INDEX('Assets'!$C$4:$C$503,_calc!$E$331))&amp;". ")&amp;IF(LEN(IF(LEN(INDEX('Assets'!$E$4:$E$503,_calc!$E$331))=0,"",INDEX('Assets'!$E$4:$E$503,_calc!$E$331)))=0,"","Every (months): "&amp;IF(LEN(INDEX('Assets'!$E$4:$E$503,_calc!$E$331))=0,"",INDEX('Assets'!$E$4:$E$503,_calc!$E$331))&amp;". ")&amp;IF(LEN(IF(LEN(INDEX('Assets'!$M$4:$M$503,_calc!$E$331))=0,"",INDEX('Assets'!$M$4:$M$503,_calc!$E$331)))=0,"","Last result: "&amp;IF(LEN(INDEX('Assets'!$M$4:$M$503,_calc!$E$331))=0,"",INDEX('Assets'!$M$4:$M$503,_calc!$E$331))&amp;". ")&amp;IF(LEN(IF(LEN(INDEX('Assets'!$Q$4:$Q$503,_calc!$E$331))=0,"",INDEX('Assets'!$Q$4:$Q$503,_calc!$E$331)))=0,"",IF(LEN(INDEX('Assets'!$Q$4:$Q$503,_calc!$E$331))=0,"",INDEX('Assets'!$Q$4:$Q$503,_calc!$E$331)))))</f>
        <v/>
      </c>
      <c r="G329" s="44">
        <f>IF(_calc!$E$331="","",IF(LEN(INDEX('Assets'!$P$4:$P$503,_calc!$E$331))=0,"",INDEX('Assets'!$P$4:$P$503,_calc!$E$331)))</f>
        <v/>
      </c>
      <c r="K329" s="44">
        <f>IF(_calc!$E$331="","",IF(LEN(INDEX('Assets'!$N$4:$N$503,_calc!$E$331))=0,"",INDEX('Assets'!$N$4:$N$503,_calc!$E$331)))</f>
        <v/>
      </c>
    </row>
    <row r="330">
      <c r="A330" s="44">
        <f>IF(_calc!$E$332="","",IF(LEN(INDEX('Assets'!$D$4:$D$503,_calc!$E$332))=0,"",INDEX('Assets'!$D$4:$D$503,_calc!$E$332))&amp;" – "&amp;IF(LEN(INDEX('Assets'!$A$4:$A$503,_calc!$E$332))=0,"",INDEX('Assets'!$A$4:$A$503,_calc!$E$332)))</f>
        <v/>
      </c>
      <c r="B330" s="44">
        <f>IF(_calc!$E$332="","",IF(ISNUMBER(INDEX('Assets'!$G$4:$G$503,_calc!$E$332)),TEXT(INDEX('Assets'!$G$4:$G$503,_calc!$E$332),"yyyy-mm-dd"),""))</f>
        <v/>
      </c>
      <c r="C330" s="44">
        <f>IF(_calc!$E$332="","","Inspection")</f>
        <v/>
      </c>
      <c r="D330" s="44">
        <f>IF(_calc!$E$332="","",IF(ISNUMBER(INDEX('Assets'!$F$4:$F$503,_calc!$E$332)),TEXT(INDEX('Assets'!$F$4:$F$503,_calc!$E$332),"yyyy-mm-dd"),""))</f>
        <v/>
      </c>
      <c r="E330" s="44">
        <f>IF(_calc!$E$332="","",IF(LEN(INDEX('Assets'!$O$4:$O$503,_calc!$E$332))=0,"",INDEX('Assets'!$O$4:$O$503,_calc!$E$332)))</f>
        <v/>
      </c>
      <c r="F330" s="44">
        <f>IF(_calc!$E$332="","",TRIM(IF(LEN(IF(LEN(INDEX('Assets'!$B$4:$B$503,_calc!$E$332))=0,"",INDEX('Assets'!$B$4:$B$503,_calc!$E$332)))=0,"","Asset ID: "&amp;IF(LEN(INDEX('Assets'!$B$4:$B$503,_calc!$E$332))=0,"",INDEX('Assets'!$B$4:$B$503,_calc!$E$332))&amp;". ")&amp;IF(LEN(IF(LEN(INDEX('Assets'!$C$4:$C$503,_calc!$E$332))=0,"",INDEX('Assets'!$C$4:$C$503,_calc!$E$332)))=0,"","Location: "&amp;IF(LEN(INDEX('Assets'!$C$4:$C$503,_calc!$E$332))=0,"",INDEX('Assets'!$C$4:$C$503,_calc!$E$332))&amp;". ")&amp;IF(LEN(IF(LEN(INDEX('Assets'!$E$4:$E$503,_calc!$E$332))=0,"",INDEX('Assets'!$E$4:$E$503,_calc!$E$332)))=0,"","Every (months): "&amp;IF(LEN(INDEX('Assets'!$E$4:$E$503,_calc!$E$332))=0,"",INDEX('Assets'!$E$4:$E$503,_calc!$E$332))&amp;". ")&amp;IF(LEN(IF(LEN(INDEX('Assets'!$M$4:$M$503,_calc!$E$332))=0,"",INDEX('Assets'!$M$4:$M$503,_calc!$E$332)))=0,"","Last result: "&amp;IF(LEN(INDEX('Assets'!$M$4:$M$503,_calc!$E$332))=0,"",INDEX('Assets'!$M$4:$M$503,_calc!$E$332))&amp;". ")&amp;IF(LEN(IF(LEN(INDEX('Assets'!$Q$4:$Q$503,_calc!$E$332))=0,"",INDEX('Assets'!$Q$4:$Q$503,_calc!$E$332)))=0,"",IF(LEN(INDEX('Assets'!$Q$4:$Q$503,_calc!$E$332))=0,"",INDEX('Assets'!$Q$4:$Q$503,_calc!$E$332)))))</f>
        <v/>
      </c>
      <c r="G330" s="44">
        <f>IF(_calc!$E$332="","",IF(LEN(INDEX('Assets'!$P$4:$P$503,_calc!$E$332))=0,"",INDEX('Assets'!$P$4:$P$503,_calc!$E$332)))</f>
        <v/>
      </c>
      <c r="K330" s="44">
        <f>IF(_calc!$E$332="","",IF(LEN(INDEX('Assets'!$N$4:$N$503,_calc!$E$332))=0,"",INDEX('Assets'!$N$4:$N$503,_calc!$E$332)))</f>
        <v/>
      </c>
    </row>
    <row r="331">
      <c r="A331" s="44">
        <f>IF(_calc!$E$333="","",IF(LEN(INDEX('Assets'!$D$4:$D$503,_calc!$E$333))=0,"",INDEX('Assets'!$D$4:$D$503,_calc!$E$333))&amp;" – "&amp;IF(LEN(INDEX('Assets'!$A$4:$A$503,_calc!$E$333))=0,"",INDEX('Assets'!$A$4:$A$503,_calc!$E$333)))</f>
        <v/>
      </c>
      <c r="B331" s="44">
        <f>IF(_calc!$E$333="","",IF(ISNUMBER(INDEX('Assets'!$G$4:$G$503,_calc!$E$333)),TEXT(INDEX('Assets'!$G$4:$G$503,_calc!$E$333),"yyyy-mm-dd"),""))</f>
        <v/>
      </c>
      <c r="C331" s="44">
        <f>IF(_calc!$E$333="","","Inspection")</f>
        <v/>
      </c>
      <c r="D331" s="44">
        <f>IF(_calc!$E$333="","",IF(ISNUMBER(INDEX('Assets'!$F$4:$F$503,_calc!$E$333)),TEXT(INDEX('Assets'!$F$4:$F$503,_calc!$E$333),"yyyy-mm-dd"),""))</f>
        <v/>
      </c>
      <c r="E331" s="44">
        <f>IF(_calc!$E$333="","",IF(LEN(INDEX('Assets'!$O$4:$O$503,_calc!$E$333))=0,"",INDEX('Assets'!$O$4:$O$503,_calc!$E$333)))</f>
        <v/>
      </c>
      <c r="F331" s="44">
        <f>IF(_calc!$E$333="","",TRIM(IF(LEN(IF(LEN(INDEX('Assets'!$B$4:$B$503,_calc!$E$333))=0,"",INDEX('Assets'!$B$4:$B$503,_calc!$E$333)))=0,"","Asset ID: "&amp;IF(LEN(INDEX('Assets'!$B$4:$B$503,_calc!$E$333))=0,"",INDEX('Assets'!$B$4:$B$503,_calc!$E$333))&amp;". ")&amp;IF(LEN(IF(LEN(INDEX('Assets'!$C$4:$C$503,_calc!$E$333))=0,"",INDEX('Assets'!$C$4:$C$503,_calc!$E$333)))=0,"","Location: "&amp;IF(LEN(INDEX('Assets'!$C$4:$C$503,_calc!$E$333))=0,"",INDEX('Assets'!$C$4:$C$503,_calc!$E$333))&amp;". ")&amp;IF(LEN(IF(LEN(INDEX('Assets'!$E$4:$E$503,_calc!$E$333))=0,"",INDEX('Assets'!$E$4:$E$503,_calc!$E$333)))=0,"","Every (months): "&amp;IF(LEN(INDEX('Assets'!$E$4:$E$503,_calc!$E$333))=0,"",INDEX('Assets'!$E$4:$E$503,_calc!$E$333))&amp;". ")&amp;IF(LEN(IF(LEN(INDEX('Assets'!$M$4:$M$503,_calc!$E$333))=0,"",INDEX('Assets'!$M$4:$M$503,_calc!$E$333)))=0,"","Last result: "&amp;IF(LEN(INDEX('Assets'!$M$4:$M$503,_calc!$E$333))=0,"",INDEX('Assets'!$M$4:$M$503,_calc!$E$333))&amp;". ")&amp;IF(LEN(IF(LEN(INDEX('Assets'!$Q$4:$Q$503,_calc!$E$333))=0,"",INDEX('Assets'!$Q$4:$Q$503,_calc!$E$333)))=0,"",IF(LEN(INDEX('Assets'!$Q$4:$Q$503,_calc!$E$333))=0,"",INDEX('Assets'!$Q$4:$Q$503,_calc!$E$333)))))</f>
        <v/>
      </c>
      <c r="G331" s="44">
        <f>IF(_calc!$E$333="","",IF(LEN(INDEX('Assets'!$P$4:$P$503,_calc!$E$333))=0,"",INDEX('Assets'!$P$4:$P$503,_calc!$E$333)))</f>
        <v/>
      </c>
      <c r="K331" s="44">
        <f>IF(_calc!$E$333="","",IF(LEN(INDEX('Assets'!$N$4:$N$503,_calc!$E$333))=0,"",INDEX('Assets'!$N$4:$N$503,_calc!$E$333)))</f>
        <v/>
      </c>
    </row>
    <row r="332">
      <c r="A332" s="44">
        <f>IF(_calc!$E$334="","",IF(LEN(INDEX('Assets'!$D$4:$D$503,_calc!$E$334))=0,"",INDEX('Assets'!$D$4:$D$503,_calc!$E$334))&amp;" – "&amp;IF(LEN(INDEX('Assets'!$A$4:$A$503,_calc!$E$334))=0,"",INDEX('Assets'!$A$4:$A$503,_calc!$E$334)))</f>
        <v/>
      </c>
      <c r="B332" s="44">
        <f>IF(_calc!$E$334="","",IF(ISNUMBER(INDEX('Assets'!$G$4:$G$503,_calc!$E$334)),TEXT(INDEX('Assets'!$G$4:$G$503,_calc!$E$334),"yyyy-mm-dd"),""))</f>
        <v/>
      </c>
      <c r="C332" s="44">
        <f>IF(_calc!$E$334="","","Inspection")</f>
        <v/>
      </c>
      <c r="D332" s="44">
        <f>IF(_calc!$E$334="","",IF(ISNUMBER(INDEX('Assets'!$F$4:$F$503,_calc!$E$334)),TEXT(INDEX('Assets'!$F$4:$F$503,_calc!$E$334),"yyyy-mm-dd"),""))</f>
        <v/>
      </c>
      <c r="E332" s="44">
        <f>IF(_calc!$E$334="","",IF(LEN(INDEX('Assets'!$O$4:$O$503,_calc!$E$334))=0,"",INDEX('Assets'!$O$4:$O$503,_calc!$E$334)))</f>
        <v/>
      </c>
      <c r="F332" s="44">
        <f>IF(_calc!$E$334="","",TRIM(IF(LEN(IF(LEN(INDEX('Assets'!$B$4:$B$503,_calc!$E$334))=0,"",INDEX('Assets'!$B$4:$B$503,_calc!$E$334)))=0,"","Asset ID: "&amp;IF(LEN(INDEX('Assets'!$B$4:$B$503,_calc!$E$334))=0,"",INDEX('Assets'!$B$4:$B$503,_calc!$E$334))&amp;". ")&amp;IF(LEN(IF(LEN(INDEX('Assets'!$C$4:$C$503,_calc!$E$334))=0,"",INDEX('Assets'!$C$4:$C$503,_calc!$E$334)))=0,"","Location: "&amp;IF(LEN(INDEX('Assets'!$C$4:$C$503,_calc!$E$334))=0,"",INDEX('Assets'!$C$4:$C$503,_calc!$E$334))&amp;". ")&amp;IF(LEN(IF(LEN(INDEX('Assets'!$E$4:$E$503,_calc!$E$334))=0,"",INDEX('Assets'!$E$4:$E$503,_calc!$E$334)))=0,"","Every (months): "&amp;IF(LEN(INDEX('Assets'!$E$4:$E$503,_calc!$E$334))=0,"",INDEX('Assets'!$E$4:$E$503,_calc!$E$334))&amp;". ")&amp;IF(LEN(IF(LEN(INDEX('Assets'!$M$4:$M$503,_calc!$E$334))=0,"",INDEX('Assets'!$M$4:$M$503,_calc!$E$334)))=0,"","Last result: "&amp;IF(LEN(INDEX('Assets'!$M$4:$M$503,_calc!$E$334))=0,"",INDEX('Assets'!$M$4:$M$503,_calc!$E$334))&amp;". ")&amp;IF(LEN(IF(LEN(INDEX('Assets'!$Q$4:$Q$503,_calc!$E$334))=0,"",INDEX('Assets'!$Q$4:$Q$503,_calc!$E$334)))=0,"",IF(LEN(INDEX('Assets'!$Q$4:$Q$503,_calc!$E$334))=0,"",INDEX('Assets'!$Q$4:$Q$503,_calc!$E$334)))))</f>
        <v/>
      </c>
      <c r="G332" s="44">
        <f>IF(_calc!$E$334="","",IF(LEN(INDEX('Assets'!$P$4:$P$503,_calc!$E$334))=0,"",INDEX('Assets'!$P$4:$P$503,_calc!$E$334)))</f>
        <v/>
      </c>
      <c r="K332" s="44">
        <f>IF(_calc!$E$334="","",IF(LEN(INDEX('Assets'!$N$4:$N$503,_calc!$E$334))=0,"",INDEX('Assets'!$N$4:$N$503,_calc!$E$334)))</f>
        <v/>
      </c>
    </row>
    <row r="333">
      <c r="A333" s="44">
        <f>IF(_calc!$E$335="","",IF(LEN(INDEX('Assets'!$D$4:$D$503,_calc!$E$335))=0,"",INDEX('Assets'!$D$4:$D$503,_calc!$E$335))&amp;" – "&amp;IF(LEN(INDEX('Assets'!$A$4:$A$503,_calc!$E$335))=0,"",INDEX('Assets'!$A$4:$A$503,_calc!$E$335)))</f>
        <v/>
      </c>
      <c r="B333" s="44">
        <f>IF(_calc!$E$335="","",IF(ISNUMBER(INDEX('Assets'!$G$4:$G$503,_calc!$E$335)),TEXT(INDEX('Assets'!$G$4:$G$503,_calc!$E$335),"yyyy-mm-dd"),""))</f>
        <v/>
      </c>
      <c r="C333" s="44">
        <f>IF(_calc!$E$335="","","Inspection")</f>
        <v/>
      </c>
      <c r="D333" s="44">
        <f>IF(_calc!$E$335="","",IF(ISNUMBER(INDEX('Assets'!$F$4:$F$503,_calc!$E$335)),TEXT(INDEX('Assets'!$F$4:$F$503,_calc!$E$335),"yyyy-mm-dd"),""))</f>
        <v/>
      </c>
      <c r="E333" s="44">
        <f>IF(_calc!$E$335="","",IF(LEN(INDEX('Assets'!$O$4:$O$503,_calc!$E$335))=0,"",INDEX('Assets'!$O$4:$O$503,_calc!$E$335)))</f>
        <v/>
      </c>
      <c r="F333" s="44">
        <f>IF(_calc!$E$335="","",TRIM(IF(LEN(IF(LEN(INDEX('Assets'!$B$4:$B$503,_calc!$E$335))=0,"",INDEX('Assets'!$B$4:$B$503,_calc!$E$335)))=0,"","Asset ID: "&amp;IF(LEN(INDEX('Assets'!$B$4:$B$503,_calc!$E$335))=0,"",INDEX('Assets'!$B$4:$B$503,_calc!$E$335))&amp;". ")&amp;IF(LEN(IF(LEN(INDEX('Assets'!$C$4:$C$503,_calc!$E$335))=0,"",INDEX('Assets'!$C$4:$C$503,_calc!$E$335)))=0,"","Location: "&amp;IF(LEN(INDEX('Assets'!$C$4:$C$503,_calc!$E$335))=0,"",INDEX('Assets'!$C$4:$C$503,_calc!$E$335))&amp;". ")&amp;IF(LEN(IF(LEN(INDEX('Assets'!$E$4:$E$503,_calc!$E$335))=0,"",INDEX('Assets'!$E$4:$E$503,_calc!$E$335)))=0,"","Every (months): "&amp;IF(LEN(INDEX('Assets'!$E$4:$E$503,_calc!$E$335))=0,"",INDEX('Assets'!$E$4:$E$503,_calc!$E$335))&amp;". ")&amp;IF(LEN(IF(LEN(INDEX('Assets'!$M$4:$M$503,_calc!$E$335))=0,"",INDEX('Assets'!$M$4:$M$503,_calc!$E$335)))=0,"","Last result: "&amp;IF(LEN(INDEX('Assets'!$M$4:$M$503,_calc!$E$335))=0,"",INDEX('Assets'!$M$4:$M$503,_calc!$E$335))&amp;". ")&amp;IF(LEN(IF(LEN(INDEX('Assets'!$Q$4:$Q$503,_calc!$E$335))=0,"",INDEX('Assets'!$Q$4:$Q$503,_calc!$E$335)))=0,"",IF(LEN(INDEX('Assets'!$Q$4:$Q$503,_calc!$E$335))=0,"",INDEX('Assets'!$Q$4:$Q$503,_calc!$E$335)))))</f>
        <v/>
      </c>
      <c r="G333" s="44">
        <f>IF(_calc!$E$335="","",IF(LEN(INDEX('Assets'!$P$4:$P$503,_calc!$E$335))=0,"",INDEX('Assets'!$P$4:$P$503,_calc!$E$335)))</f>
        <v/>
      </c>
      <c r="K333" s="44">
        <f>IF(_calc!$E$335="","",IF(LEN(INDEX('Assets'!$N$4:$N$503,_calc!$E$335))=0,"",INDEX('Assets'!$N$4:$N$503,_calc!$E$335)))</f>
        <v/>
      </c>
    </row>
    <row r="334">
      <c r="A334" s="44">
        <f>IF(_calc!$E$336="","",IF(LEN(INDEX('Assets'!$D$4:$D$503,_calc!$E$336))=0,"",INDEX('Assets'!$D$4:$D$503,_calc!$E$336))&amp;" – "&amp;IF(LEN(INDEX('Assets'!$A$4:$A$503,_calc!$E$336))=0,"",INDEX('Assets'!$A$4:$A$503,_calc!$E$336)))</f>
        <v/>
      </c>
      <c r="B334" s="44">
        <f>IF(_calc!$E$336="","",IF(ISNUMBER(INDEX('Assets'!$G$4:$G$503,_calc!$E$336)),TEXT(INDEX('Assets'!$G$4:$G$503,_calc!$E$336),"yyyy-mm-dd"),""))</f>
        <v/>
      </c>
      <c r="C334" s="44">
        <f>IF(_calc!$E$336="","","Inspection")</f>
        <v/>
      </c>
      <c r="D334" s="44">
        <f>IF(_calc!$E$336="","",IF(ISNUMBER(INDEX('Assets'!$F$4:$F$503,_calc!$E$336)),TEXT(INDEX('Assets'!$F$4:$F$503,_calc!$E$336),"yyyy-mm-dd"),""))</f>
        <v/>
      </c>
      <c r="E334" s="44">
        <f>IF(_calc!$E$336="","",IF(LEN(INDEX('Assets'!$O$4:$O$503,_calc!$E$336))=0,"",INDEX('Assets'!$O$4:$O$503,_calc!$E$336)))</f>
        <v/>
      </c>
      <c r="F334" s="44">
        <f>IF(_calc!$E$336="","",TRIM(IF(LEN(IF(LEN(INDEX('Assets'!$B$4:$B$503,_calc!$E$336))=0,"",INDEX('Assets'!$B$4:$B$503,_calc!$E$336)))=0,"","Asset ID: "&amp;IF(LEN(INDEX('Assets'!$B$4:$B$503,_calc!$E$336))=0,"",INDEX('Assets'!$B$4:$B$503,_calc!$E$336))&amp;". ")&amp;IF(LEN(IF(LEN(INDEX('Assets'!$C$4:$C$503,_calc!$E$336))=0,"",INDEX('Assets'!$C$4:$C$503,_calc!$E$336)))=0,"","Location: "&amp;IF(LEN(INDEX('Assets'!$C$4:$C$503,_calc!$E$336))=0,"",INDEX('Assets'!$C$4:$C$503,_calc!$E$336))&amp;". ")&amp;IF(LEN(IF(LEN(INDEX('Assets'!$E$4:$E$503,_calc!$E$336))=0,"",INDEX('Assets'!$E$4:$E$503,_calc!$E$336)))=0,"","Every (months): "&amp;IF(LEN(INDEX('Assets'!$E$4:$E$503,_calc!$E$336))=0,"",INDEX('Assets'!$E$4:$E$503,_calc!$E$336))&amp;". ")&amp;IF(LEN(IF(LEN(INDEX('Assets'!$M$4:$M$503,_calc!$E$336))=0,"",INDEX('Assets'!$M$4:$M$503,_calc!$E$336)))=0,"","Last result: "&amp;IF(LEN(INDEX('Assets'!$M$4:$M$503,_calc!$E$336))=0,"",INDEX('Assets'!$M$4:$M$503,_calc!$E$336))&amp;". ")&amp;IF(LEN(IF(LEN(INDEX('Assets'!$Q$4:$Q$503,_calc!$E$336))=0,"",INDEX('Assets'!$Q$4:$Q$503,_calc!$E$336)))=0,"",IF(LEN(INDEX('Assets'!$Q$4:$Q$503,_calc!$E$336))=0,"",INDEX('Assets'!$Q$4:$Q$503,_calc!$E$336)))))</f>
        <v/>
      </c>
      <c r="G334" s="44">
        <f>IF(_calc!$E$336="","",IF(LEN(INDEX('Assets'!$P$4:$P$503,_calc!$E$336))=0,"",INDEX('Assets'!$P$4:$P$503,_calc!$E$336)))</f>
        <v/>
      </c>
      <c r="K334" s="44">
        <f>IF(_calc!$E$336="","",IF(LEN(INDEX('Assets'!$N$4:$N$503,_calc!$E$336))=0,"",INDEX('Assets'!$N$4:$N$503,_calc!$E$336)))</f>
        <v/>
      </c>
    </row>
    <row r="335">
      <c r="A335" s="44">
        <f>IF(_calc!$E$337="","",IF(LEN(INDEX('Assets'!$D$4:$D$503,_calc!$E$337))=0,"",INDEX('Assets'!$D$4:$D$503,_calc!$E$337))&amp;" – "&amp;IF(LEN(INDEX('Assets'!$A$4:$A$503,_calc!$E$337))=0,"",INDEX('Assets'!$A$4:$A$503,_calc!$E$337)))</f>
        <v/>
      </c>
      <c r="B335" s="44">
        <f>IF(_calc!$E$337="","",IF(ISNUMBER(INDEX('Assets'!$G$4:$G$503,_calc!$E$337)),TEXT(INDEX('Assets'!$G$4:$G$503,_calc!$E$337),"yyyy-mm-dd"),""))</f>
        <v/>
      </c>
      <c r="C335" s="44">
        <f>IF(_calc!$E$337="","","Inspection")</f>
        <v/>
      </c>
      <c r="D335" s="44">
        <f>IF(_calc!$E$337="","",IF(ISNUMBER(INDEX('Assets'!$F$4:$F$503,_calc!$E$337)),TEXT(INDEX('Assets'!$F$4:$F$503,_calc!$E$337),"yyyy-mm-dd"),""))</f>
        <v/>
      </c>
      <c r="E335" s="44">
        <f>IF(_calc!$E$337="","",IF(LEN(INDEX('Assets'!$O$4:$O$503,_calc!$E$337))=0,"",INDEX('Assets'!$O$4:$O$503,_calc!$E$337)))</f>
        <v/>
      </c>
      <c r="F335" s="44">
        <f>IF(_calc!$E$337="","",TRIM(IF(LEN(IF(LEN(INDEX('Assets'!$B$4:$B$503,_calc!$E$337))=0,"",INDEX('Assets'!$B$4:$B$503,_calc!$E$337)))=0,"","Asset ID: "&amp;IF(LEN(INDEX('Assets'!$B$4:$B$503,_calc!$E$337))=0,"",INDEX('Assets'!$B$4:$B$503,_calc!$E$337))&amp;". ")&amp;IF(LEN(IF(LEN(INDEX('Assets'!$C$4:$C$503,_calc!$E$337))=0,"",INDEX('Assets'!$C$4:$C$503,_calc!$E$337)))=0,"","Location: "&amp;IF(LEN(INDEX('Assets'!$C$4:$C$503,_calc!$E$337))=0,"",INDEX('Assets'!$C$4:$C$503,_calc!$E$337))&amp;". ")&amp;IF(LEN(IF(LEN(INDEX('Assets'!$E$4:$E$503,_calc!$E$337))=0,"",INDEX('Assets'!$E$4:$E$503,_calc!$E$337)))=0,"","Every (months): "&amp;IF(LEN(INDEX('Assets'!$E$4:$E$503,_calc!$E$337))=0,"",INDEX('Assets'!$E$4:$E$503,_calc!$E$337))&amp;". ")&amp;IF(LEN(IF(LEN(INDEX('Assets'!$M$4:$M$503,_calc!$E$337))=0,"",INDEX('Assets'!$M$4:$M$503,_calc!$E$337)))=0,"","Last result: "&amp;IF(LEN(INDEX('Assets'!$M$4:$M$503,_calc!$E$337))=0,"",INDEX('Assets'!$M$4:$M$503,_calc!$E$337))&amp;". ")&amp;IF(LEN(IF(LEN(INDEX('Assets'!$Q$4:$Q$503,_calc!$E$337))=0,"",INDEX('Assets'!$Q$4:$Q$503,_calc!$E$337)))=0,"",IF(LEN(INDEX('Assets'!$Q$4:$Q$503,_calc!$E$337))=0,"",INDEX('Assets'!$Q$4:$Q$503,_calc!$E$337)))))</f>
        <v/>
      </c>
      <c r="G335" s="44">
        <f>IF(_calc!$E$337="","",IF(LEN(INDEX('Assets'!$P$4:$P$503,_calc!$E$337))=0,"",INDEX('Assets'!$P$4:$P$503,_calc!$E$337)))</f>
        <v/>
      </c>
      <c r="K335" s="44">
        <f>IF(_calc!$E$337="","",IF(LEN(INDEX('Assets'!$N$4:$N$503,_calc!$E$337))=0,"",INDEX('Assets'!$N$4:$N$503,_calc!$E$337)))</f>
        <v/>
      </c>
    </row>
    <row r="336">
      <c r="A336" s="44">
        <f>IF(_calc!$E$338="","",IF(LEN(INDEX('Assets'!$D$4:$D$503,_calc!$E$338))=0,"",INDEX('Assets'!$D$4:$D$503,_calc!$E$338))&amp;" – "&amp;IF(LEN(INDEX('Assets'!$A$4:$A$503,_calc!$E$338))=0,"",INDEX('Assets'!$A$4:$A$503,_calc!$E$338)))</f>
        <v/>
      </c>
      <c r="B336" s="44">
        <f>IF(_calc!$E$338="","",IF(ISNUMBER(INDEX('Assets'!$G$4:$G$503,_calc!$E$338)),TEXT(INDEX('Assets'!$G$4:$G$503,_calc!$E$338),"yyyy-mm-dd"),""))</f>
        <v/>
      </c>
      <c r="C336" s="44">
        <f>IF(_calc!$E$338="","","Inspection")</f>
        <v/>
      </c>
      <c r="D336" s="44">
        <f>IF(_calc!$E$338="","",IF(ISNUMBER(INDEX('Assets'!$F$4:$F$503,_calc!$E$338)),TEXT(INDEX('Assets'!$F$4:$F$503,_calc!$E$338),"yyyy-mm-dd"),""))</f>
        <v/>
      </c>
      <c r="E336" s="44">
        <f>IF(_calc!$E$338="","",IF(LEN(INDEX('Assets'!$O$4:$O$503,_calc!$E$338))=0,"",INDEX('Assets'!$O$4:$O$503,_calc!$E$338)))</f>
        <v/>
      </c>
      <c r="F336" s="44">
        <f>IF(_calc!$E$338="","",TRIM(IF(LEN(IF(LEN(INDEX('Assets'!$B$4:$B$503,_calc!$E$338))=0,"",INDEX('Assets'!$B$4:$B$503,_calc!$E$338)))=0,"","Asset ID: "&amp;IF(LEN(INDEX('Assets'!$B$4:$B$503,_calc!$E$338))=0,"",INDEX('Assets'!$B$4:$B$503,_calc!$E$338))&amp;". ")&amp;IF(LEN(IF(LEN(INDEX('Assets'!$C$4:$C$503,_calc!$E$338))=0,"",INDEX('Assets'!$C$4:$C$503,_calc!$E$338)))=0,"","Location: "&amp;IF(LEN(INDEX('Assets'!$C$4:$C$503,_calc!$E$338))=0,"",INDEX('Assets'!$C$4:$C$503,_calc!$E$338))&amp;". ")&amp;IF(LEN(IF(LEN(INDEX('Assets'!$E$4:$E$503,_calc!$E$338))=0,"",INDEX('Assets'!$E$4:$E$503,_calc!$E$338)))=0,"","Every (months): "&amp;IF(LEN(INDEX('Assets'!$E$4:$E$503,_calc!$E$338))=0,"",INDEX('Assets'!$E$4:$E$503,_calc!$E$338))&amp;". ")&amp;IF(LEN(IF(LEN(INDEX('Assets'!$M$4:$M$503,_calc!$E$338))=0,"",INDEX('Assets'!$M$4:$M$503,_calc!$E$338)))=0,"","Last result: "&amp;IF(LEN(INDEX('Assets'!$M$4:$M$503,_calc!$E$338))=0,"",INDEX('Assets'!$M$4:$M$503,_calc!$E$338))&amp;". ")&amp;IF(LEN(IF(LEN(INDEX('Assets'!$Q$4:$Q$503,_calc!$E$338))=0,"",INDEX('Assets'!$Q$4:$Q$503,_calc!$E$338)))=0,"",IF(LEN(INDEX('Assets'!$Q$4:$Q$503,_calc!$E$338))=0,"",INDEX('Assets'!$Q$4:$Q$503,_calc!$E$338)))))</f>
        <v/>
      </c>
      <c r="G336" s="44">
        <f>IF(_calc!$E$338="","",IF(LEN(INDEX('Assets'!$P$4:$P$503,_calc!$E$338))=0,"",INDEX('Assets'!$P$4:$P$503,_calc!$E$338)))</f>
        <v/>
      </c>
      <c r="K336" s="44">
        <f>IF(_calc!$E$338="","",IF(LEN(INDEX('Assets'!$N$4:$N$503,_calc!$E$338))=0,"",INDEX('Assets'!$N$4:$N$503,_calc!$E$338)))</f>
        <v/>
      </c>
    </row>
    <row r="337">
      <c r="A337" s="44">
        <f>IF(_calc!$E$339="","",IF(LEN(INDEX('Assets'!$D$4:$D$503,_calc!$E$339))=0,"",INDEX('Assets'!$D$4:$D$503,_calc!$E$339))&amp;" – "&amp;IF(LEN(INDEX('Assets'!$A$4:$A$503,_calc!$E$339))=0,"",INDEX('Assets'!$A$4:$A$503,_calc!$E$339)))</f>
        <v/>
      </c>
      <c r="B337" s="44">
        <f>IF(_calc!$E$339="","",IF(ISNUMBER(INDEX('Assets'!$G$4:$G$503,_calc!$E$339)),TEXT(INDEX('Assets'!$G$4:$G$503,_calc!$E$339),"yyyy-mm-dd"),""))</f>
        <v/>
      </c>
      <c r="C337" s="44">
        <f>IF(_calc!$E$339="","","Inspection")</f>
        <v/>
      </c>
      <c r="D337" s="44">
        <f>IF(_calc!$E$339="","",IF(ISNUMBER(INDEX('Assets'!$F$4:$F$503,_calc!$E$339)),TEXT(INDEX('Assets'!$F$4:$F$503,_calc!$E$339),"yyyy-mm-dd"),""))</f>
        <v/>
      </c>
      <c r="E337" s="44">
        <f>IF(_calc!$E$339="","",IF(LEN(INDEX('Assets'!$O$4:$O$503,_calc!$E$339))=0,"",INDEX('Assets'!$O$4:$O$503,_calc!$E$339)))</f>
        <v/>
      </c>
      <c r="F337" s="44">
        <f>IF(_calc!$E$339="","",TRIM(IF(LEN(IF(LEN(INDEX('Assets'!$B$4:$B$503,_calc!$E$339))=0,"",INDEX('Assets'!$B$4:$B$503,_calc!$E$339)))=0,"","Asset ID: "&amp;IF(LEN(INDEX('Assets'!$B$4:$B$503,_calc!$E$339))=0,"",INDEX('Assets'!$B$4:$B$503,_calc!$E$339))&amp;". ")&amp;IF(LEN(IF(LEN(INDEX('Assets'!$C$4:$C$503,_calc!$E$339))=0,"",INDEX('Assets'!$C$4:$C$503,_calc!$E$339)))=0,"","Location: "&amp;IF(LEN(INDEX('Assets'!$C$4:$C$503,_calc!$E$339))=0,"",INDEX('Assets'!$C$4:$C$503,_calc!$E$339))&amp;". ")&amp;IF(LEN(IF(LEN(INDEX('Assets'!$E$4:$E$503,_calc!$E$339))=0,"",INDEX('Assets'!$E$4:$E$503,_calc!$E$339)))=0,"","Every (months): "&amp;IF(LEN(INDEX('Assets'!$E$4:$E$503,_calc!$E$339))=0,"",INDEX('Assets'!$E$4:$E$503,_calc!$E$339))&amp;". ")&amp;IF(LEN(IF(LEN(INDEX('Assets'!$M$4:$M$503,_calc!$E$339))=0,"",INDEX('Assets'!$M$4:$M$503,_calc!$E$339)))=0,"","Last result: "&amp;IF(LEN(INDEX('Assets'!$M$4:$M$503,_calc!$E$339))=0,"",INDEX('Assets'!$M$4:$M$503,_calc!$E$339))&amp;". ")&amp;IF(LEN(IF(LEN(INDEX('Assets'!$Q$4:$Q$503,_calc!$E$339))=0,"",INDEX('Assets'!$Q$4:$Q$503,_calc!$E$339)))=0,"",IF(LEN(INDEX('Assets'!$Q$4:$Q$503,_calc!$E$339))=0,"",INDEX('Assets'!$Q$4:$Q$503,_calc!$E$339)))))</f>
        <v/>
      </c>
      <c r="G337" s="44">
        <f>IF(_calc!$E$339="","",IF(LEN(INDEX('Assets'!$P$4:$P$503,_calc!$E$339))=0,"",INDEX('Assets'!$P$4:$P$503,_calc!$E$339)))</f>
        <v/>
      </c>
      <c r="K337" s="44">
        <f>IF(_calc!$E$339="","",IF(LEN(INDEX('Assets'!$N$4:$N$503,_calc!$E$339))=0,"",INDEX('Assets'!$N$4:$N$503,_calc!$E$339)))</f>
        <v/>
      </c>
    </row>
    <row r="338">
      <c r="A338" s="44">
        <f>IF(_calc!$E$340="","",IF(LEN(INDEX('Assets'!$D$4:$D$503,_calc!$E$340))=0,"",INDEX('Assets'!$D$4:$D$503,_calc!$E$340))&amp;" – "&amp;IF(LEN(INDEX('Assets'!$A$4:$A$503,_calc!$E$340))=0,"",INDEX('Assets'!$A$4:$A$503,_calc!$E$340)))</f>
        <v/>
      </c>
      <c r="B338" s="44">
        <f>IF(_calc!$E$340="","",IF(ISNUMBER(INDEX('Assets'!$G$4:$G$503,_calc!$E$340)),TEXT(INDEX('Assets'!$G$4:$G$503,_calc!$E$340),"yyyy-mm-dd"),""))</f>
        <v/>
      </c>
      <c r="C338" s="44">
        <f>IF(_calc!$E$340="","","Inspection")</f>
        <v/>
      </c>
      <c r="D338" s="44">
        <f>IF(_calc!$E$340="","",IF(ISNUMBER(INDEX('Assets'!$F$4:$F$503,_calc!$E$340)),TEXT(INDEX('Assets'!$F$4:$F$503,_calc!$E$340),"yyyy-mm-dd"),""))</f>
        <v/>
      </c>
      <c r="E338" s="44">
        <f>IF(_calc!$E$340="","",IF(LEN(INDEX('Assets'!$O$4:$O$503,_calc!$E$340))=0,"",INDEX('Assets'!$O$4:$O$503,_calc!$E$340)))</f>
        <v/>
      </c>
      <c r="F338" s="44">
        <f>IF(_calc!$E$340="","",TRIM(IF(LEN(IF(LEN(INDEX('Assets'!$B$4:$B$503,_calc!$E$340))=0,"",INDEX('Assets'!$B$4:$B$503,_calc!$E$340)))=0,"","Asset ID: "&amp;IF(LEN(INDEX('Assets'!$B$4:$B$503,_calc!$E$340))=0,"",INDEX('Assets'!$B$4:$B$503,_calc!$E$340))&amp;". ")&amp;IF(LEN(IF(LEN(INDEX('Assets'!$C$4:$C$503,_calc!$E$340))=0,"",INDEX('Assets'!$C$4:$C$503,_calc!$E$340)))=0,"","Location: "&amp;IF(LEN(INDEX('Assets'!$C$4:$C$503,_calc!$E$340))=0,"",INDEX('Assets'!$C$4:$C$503,_calc!$E$340))&amp;". ")&amp;IF(LEN(IF(LEN(INDEX('Assets'!$E$4:$E$503,_calc!$E$340))=0,"",INDEX('Assets'!$E$4:$E$503,_calc!$E$340)))=0,"","Every (months): "&amp;IF(LEN(INDEX('Assets'!$E$4:$E$503,_calc!$E$340))=0,"",INDEX('Assets'!$E$4:$E$503,_calc!$E$340))&amp;". ")&amp;IF(LEN(IF(LEN(INDEX('Assets'!$M$4:$M$503,_calc!$E$340))=0,"",INDEX('Assets'!$M$4:$M$503,_calc!$E$340)))=0,"","Last result: "&amp;IF(LEN(INDEX('Assets'!$M$4:$M$503,_calc!$E$340))=0,"",INDEX('Assets'!$M$4:$M$503,_calc!$E$340))&amp;". ")&amp;IF(LEN(IF(LEN(INDEX('Assets'!$Q$4:$Q$503,_calc!$E$340))=0,"",INDEX('Assets'!$Q$4:$Q$503,_calc!$E$340)))=0,"",IF(LEN(INDEX('Assets'!$Q$4:$Q$503,_calc!$E$340))=0,"",INDEX('Assets'!$Q$4:$Q$503,_calc!$E$340)))))</f>
        <v/>
      </c>
      <c r="G338" s="44">
        <f>IF(_calc!$E$340="","",IF(LEN(INDEX('Assets'!$P$4:$P$503,_calc!$E$340))=0,"",INDEX('Assets'!$P$4:$P$503,_calc!$E$340)))</f>
        <v/>
      </c>
      <c r="K338" s="44">
        <f>IF(_calc!$E$340="","",IF(LEN(INDEX('Assets'!$N$4:$N$503,_calc!$E$340))=0,"",INDEX('Assets'!$N$4:$N$503,_calc!$E$340)))</f>
        <v/>
      </c>
    </row>
    <row r="339">
      <c r="A339" s="44">
        <f>IF(_calc!$E$341="","",IF(LEN(INDEX('Assets'!$D$4:$D$503,_calc!$E$341))=0,"",INDEX('Assets'!$D$4:$D$503,_calc!$E$341))&amp;" – "&amp;IF(LEN(INDEX('Assets'!$A$4:$A$503,_calc!$E$341))=0,"",INDEX('Assets'!$A$4:$A$503,_calc!$E$341)))</f>
        <v/>
      </c>
      <c r="B339" s="44">
        <f>IF(_calc!$E$341="","",IF(ISNUMBER(INDEX('Assets'!$G$4:$G$503,_calc!$E$341)),TEXT(INDEX('Assets'!$G$4:$G$503,_calc!$E$341),"yyyy-mm-dd"),""))</f>
        <v/>
      </c>
      <c r="C339" s="44">
        <f>IF(_calc!$E$341="","","Inspection")</f>
        <v/>
      </c>
      <c r="D339" s="44">
        <f>IF(_calc!$E$341="","",IF(ISNUMBER(INDEX('Assets'!$F$4:$F$503,_calc!$E$341)),TEXT(INDEX('Assets'!$F$4:$F$503,_calc!$E$341),"yyyy-mm-dd"),""))</f>
        <v/>
      </c>
      <c r="E339" s="44">
        <f>IF(_calc!$E$341="","",IF(LEN(INDEX('Assets'!$O$4:$O$503,_calc!$E$341))=0,"",INDEX('Assets'!$O$4:$O$503,_calc!$E$341)))</f>
        <v/>
      </c>
      <c r="F339" s="44">
        <f>IF(_calc!$E$341="","",TRIM(IF(LEN(IF(LEN(INDEX('Assets'!$B$4:$B$503,_calc!$E$341))=0,"",INDEX('Assets'!$B$4:$B$503,_calc!$E$341)))=0,"","Asset ID: "&amp;IF(LEN(INDEX('Assets'!$B$4:$B$503,_calc!$E$341))=0,"",INDEX('Assets'!$B$4:$B$503,_calc!$E$341))&amp;". ")&amp;IF(LEN(IF(LEN(INDEX('Assets'!$C$4:$C$503,_calc!$E$341))=0,"",INDEX('Assets'!$C$4:$C$503,_calc!$E$341)))=0,"","Location: "&amp;IF(LEN(INDEX('Assets'!$C$4:$C$503,_calc!$E$341))=0,"",INDEX('Assets'!$C$4:$C$503,_calc!$E$341))&amp;". ")&amp;IF(LEN(IF(LEN(INDEX('Assets'!$E$4:$E$503,_calc!$E$341))=0,"",INDEX('Assets'!$E$4:$E$503,_calc!$E$341)))=0,"","Every (months): "&amp;IF(LEN(INDEX('Assets'!$E$4:$E$503,_calc!$E$341))=0,"",INDEX('Assets'!$E$4:$E$503,_calc!$E$341))&amp;". ")&amp;IF(LEN(IF(LEN(INDEX('Assets'!$M$4:$M$503,_calc!$E$341))=0,"",INDEX('Assets'!$M$4:$M$503,_calc!$E$341)))=0,"","Last result: "&amp;IF(LEN(INDEX('Assets'!$M$4:$M$503,_calc!$E$341))=0,"",INDEX('Assets'!$M$4:$M$503,_calc!$E$341))&amp;". ")&amp;IF(LEN(IF(LEN(INDEX('Assets'!$Q$4:$Q$503,_calc!$E$341))=0,"",INDEX('Assets'!$Q$4:$Q$503,_calc!$E$341)))=0,"",IF(LEN(INDEX('Assets'!$Q$4:$Q$503,_calc!$E$341))=0,"",INDEX('Assets'!$Q$4:$Q$503,_calc!$E$341)))))</f>
        <v/>
      </c>
      <c r="G339" s="44">
        <f>IF(_calc!$E$341="","",IF(LEN(INDEX('Assets'!$P$4:$P$503,_calc!$E$341))=0,"",INDEX('Assets'!$P$4:$P$503,_calc!$E$341)))</f>
        <v/>
      </c>
      <c r="K339" s="44">
        <f>IF(_calc!$E$341="","",IF(LEN(INDEX('Assets'!$N$4:$N$503,_calc!$E$341))=0,"",INDEX('Assets'!$N$4:$N$503,_calc!$E$341)))</f>
        <v/>
      </c>
    </row>
    <row r="340">
      <c r="A340" s="44">
        <f>IF(_calc!$E$342="","",IF(LEN(INDEX('Assets'!$D$4:$D$503,_calc!$E$342))=0,"",INDEX('Assets'!$D$4:$D$503,_calc!$E$342))&amp;" – "&amp;IF(LEN(INDEX('Assets'!$A$4:$A$503,_calc!$E$342))=0,"",INDEX('Assets'!$A$4:$A$503,_calc!$E$342)))</f>
        <v/>
      </c>
      <c r="B340" s="44">
        <f>IF(_calc!$E$342="","",IF(ISNUMBER(INDEX('Assets'!$G$4:$G$503,_calc!$E$342)),TEXT(INDEX('Assets'!$G$4:$G$503,_calc!$E$342),"yyyy-mm-dd"),""))</f>
        <v/>
      </c>
      <c r="C340" s="44">
        <f>IF(_calc!$E$342="","","Inspection")</f>
        <v/>
      </c>
      <c r="D340" s="44">
        <f>IF(_calc!$E$342="","",IF(ISNUMBER(INDEX('Assets'!$F$4:$F$503,_calc!$E$342)),TEXT(INDEX('Assets'!$F$4:$F$503,_calc!$E$342),"yyyy-mm-dd"),""))</f>
        <v/>
      </c>
      <c r="E340" s="44">
        <f>IF(_calc!$E$342="","",IF(LEN(INDEX('Assets'!$O$4:$O$503,_calc!$E$342))=0,"",INDEX('Assets'!$O$4:$O$503,_calc!$E$342)))</f>
        <v/>
      </c>
      <c r="F340" s="44">
        <f>IF(_calc!$E$342="","",TRIM(IF(LEN(IF(LEN(INDEX('Assets'!$B$4:$B$503,_calc!$E$342))=0,"",INDEX('Assets'!$B$4:$B$503,_calc!$E$342)))=0,"","Asset ID: "&amp;IF(LEN(INDEX('Assets'!$B$4:$B$503,_calc!$E$342))=0,"",INDEX('Assets'!$B$4:$B$503,_calc!$E$342))&amp;". ")&amp;IF(LEN(IF(LEN(INDEX('Assets'!$C$4:$C$503,_calc!$E$342))=0,"",INDEX('Assets'!$C$4:$C$503,_calc!$E$342)))=0,"","Location: "&amp;IF(LEN(INDEX('Assets'!$C$4:$C$503,_calc!$E$342))=0,"",INDEX('Assets'!$C$4:$C$503,_calc!$E$342))&amp;". ")&amp;IF(LEN(IF(LEN(INDEX('Assets'!$E$4:$E$503,_calc!$E$342))=0,"",INDEX('Assets'!$E$4:$E$503,_calc!$E$342)))=0,"","Every (months): "&amp;IF(LEN(INDEX('Assets'!$E$4:$E$503,_calc!$E$342))=0,"",INDEX('Assets'!$E$4:$E$503,_calc!$E$342))&amp;". ")&amp;IF(LEN(IF(LEN(INDEX('Assets'!$M$4:$M$503,_calc!$E$342))=0,"",INDEX('Assets'!$M$4:$M$503,_calc!$E$342)))=0,"","Last result: "&amp;IF(LEN(INDEX('Assets'!$M$4:$M$503,_calc!$E$342))=0,"",INDEX('Assets'!$M$4:$M$503,_calc!$E$342))&amp;". ")&amp;IF(LEN(IF(LEN(INDEX('Assets'!$Q$4:$Q$503,_calc!$E$342))=0,"",INDEX('Assets'!$Q$4:$Q$503,_calc!$E$342)))=0,"",IF(LEN(INDEX('Assets'!$Q$4:$Q$503,_calc!$E$342))=0,"",INDEX('Assets'!$Q$4:$Q$503,_calc!$E$342)))))</f>
        <v/>
      </c>
      <c r="G340" s="44">
        <f>IF(_calc!$E$342="","",IF(LEN(INDEX('Assets'!$P$4:$P$503,_calc!$E$342))=0,"",INDEX('Assets'!$P$4:$P$503,_calc!$E$342)))</f>
        <v/>
      </c>
      <c r="K340" s="44">
        <f>IF(_calc!$E$342="","",IF(LEN(INDEX('Assets'!$N$4:$N$503,_calc!$E$342))=0,"",INDEX('Assets'!$N$4:$N$503,_calc!$E$342)))</f>
        <v/>
      </c>
    </row>
    <row r="341">
      <c r="A341" s="44">
        <f>IF(_calc!$E$343="","",IF(LEN(INDEX('Assets'!$D$4:$D$503,_calc!$E$343))=0,"",INDEX('Assets'!$D$4:$D$503,_calc!$E$343))&amp;" – "&amp;IF(LEN(INDEX('Assets'!$A$4:$A$503,_calc!$E$343))=0,"",INDEX('Assets'!$A$4:$A$503,_calc!$E$343)))</f>
        <v/>
      </c>
      <c r="B341" s="44">
        <f>IF(_calc!$E$343="","",IF(ISNUMBER(INDEX('Assets'!$G$4:$G$503,_calc!$E$343)),TEXT(INDEX('Assets'!$G$4:$G$503,_calc!$E$343),"yyyy-mm-dd"),""))</f>
        <v/>
      </c>
      <c r="C341" s="44">
        <f>IF(_calc!$E$343="","","Inspection")</f>
        <v/>
      </c>
      <c r="D341" s="44">
        <f>IF(_calc!$E$343="","",IF(ISNUMBER(INDEX('Assets'!$F$4:$F$503,_calc!$E$343)),TEXT(INDEX('Assets'!$F$4:$F$503,_calc!$E$343),"yyyy-mm-dd"),""))</f>
        <v/>
      </c>
      <c r="E341" s="44">
        <f>IF(_calc!$E$343="","",IF(LEN(INDEX('Assets'!$O$4:$O$503,_calc!$E$343))=0,"",INDEX('Assets'!$O$4:$O$503,_calc!$E$343)))</f>
        <v/>
      </c>
      <c r="F341" s="44">
        <f>IF(_calc!$E$343="","",TRIM(IF(LEN(IF(LEN(INDEX('Assets'!$B$4:$B$503,_calc!$E$343))=0,"",INDEX('Assets'!$B$4:$B$503,_calc!$E$343)))=0,"","Asset ID: "&amp;IF(LEN(INDEX('Assets'!$B$4:$B$503,_calc!$E$343))=0,"",INDEX('Assets'!$B$4:$B$503,_calc!$E$343))&amp;". ")&amp;IF(LEN(IF(LEN(INDEX('Assets'!$C$4:$C$503,_calc!$E$343))=0,"",INDEX('Assets'!$C$4:$C$503,_calc!$E$343)))=0,"","Location: "&amp;IF(LEN(INDEX('Assets'!$C$4:$C$503,_calc!$E$343))=0,"",INDEX('Assets'!$C$4:$C$503,_calc!$E$343))&amp;". ")&amp;IF(LEN(IF(LEN(INDEX('Assets'!$E$4:$E$503,_calc!$E$343))=0,"",INDEX('Assets'!$E$4:$E$503,_calc!$E$343)))=0,"","Every (months): "&amp;IF(LEN(INDEX('Assets'!$E$4:$E$503,_calc!$E$343))=0,"",INDEX('Assets'!$E$4:$E$503,_calc!$E$343))&amp;". ")&amp;IF(LEN(IF(LEN(INDEX('Assets'!$M$4:$M$503,_calc!$E$343))=0,"",INDEX('Assets'!$M$4:$M$503,_calc!$E$343)))=0,"","Last result: "&amp;IF(LEN(INDEX('Assets'!$M$4:$M$503,_calc!$E$343))=0,"",INDEX('Assets'!$M$4:$M$503,_calc!$E$343))&amp;". ")&amp;IF(LEN(IF(LEN(INDEX('Assets'!$Q$4:$Q$503,_calc!$E$343))=0,"",INDEX('Assets'!$Q$4:$Q$503,_calc!$E$343)))=0,"",IF(LEN(INDEX('Assets'!$Q$4:$Q$503,_calc!$E$343))=0,"",INDEX('Assets'!$Q$4:$Q$503,_calc!$E$343)))))</f>
        <v/>
      </c>
      <c r="G341" s="44">
        <f>IF(_calc!$E$343="","",IF(LEN(INDEX('Assets'!$P$4:$P$503,_calc!$E$343))=0,"",INDEX('Assets'!$P$4:$P$503,_calc!$E$343)))</f>
        <v/>
      </c>
      <c r="K341" s="44">
        <f>IF(_calc!$E$343="","",IF(LEN(INDEX('Assets'!$N$4:$N$503,_calc!$E$343))=0,"",INDEX('Assets'!$N$4:$N$503,_calc!$E$343)))</f>
        <v/>
      </c>
    </row>
    <row r="342">
      <c r="A342" s="44">
        <f>IF(_calc!$E$344="","",IF(LEN(INDEX('Assets'!$D$4:$D$503,_calc!$E$344))=0,"",INDEX('Assets'!$D$4:$D$503,_calc!$E$344))&amp;" – "&amp;IF(LEN(INDEX('Assets'!$A$4:$A$503,_calc!$E$344))=0,"",INDEX('Assets'!$A$4:$A$503,_calc!$E$344)))</f>
        <v/>
      </c>
      <c r="B342" s="44">
        <f>IF(_calc!$E$344="","",IF(ISNUMBER(INDEX('Assets'!$G$4:$G$503,_calc!$E$344)),TEXT(INDEX('Assets'!$G$4:$G$503,_calc!$E$344),"yyyy-mm-dd"),""))</f>
        <v/>
      </c>
      <c r="C342" s="44">
        <f>IF(_calc!$E$344="","","Inspection")</f>
        <v/>
      </c>
      <c r="D342" s="44">
        <f>IF(_calc!$E$344="","",IF(ISNUMBER(INDEX('Assets'!$F$4:$F$503,_calc!$E$344)),TEXT(INDEX('Assets'!$F$4:$F$503,_calc!$E$344),"yyyy-mm-dd"),""))</f>
        <v/>
      </c>
      <c r="E342" s="44">
        <f>IF(_calc!$E$344="","",IF(LEN(INDEX('Assets'!$O$4:$O$503,_calc!$E$344))=0,"",INDEX('Assets'!$O$4:$O$503,_calc!$E$344)))</f>
        <v/>
      </c>
      <c r="F342" s="44">
        <f>IF(_calc!$E$344="","",TRIM(IF(LEN(IF(LEN(INDEX('Assets'!$B$4:$B$503,_calc!$E$344))=0,"",INDEX('Assets'!$B$4:$B$503,_calc!$E$344)))=0,"","Asset ID: "&amp;IF(LEN(INDEX('Assets'!$B$4:$B$503,_calc!$E$344))=0,"",INDEX('Assets'!$B$4:$B$503,_calc!$E$344))&amp;". ")&amp;IF(LEN(IF(LEN(INDEX('Assets'!$C$4:$C$503,_calc!$E$344))=0,"",INDEX('Assets'!$C$4:$C$503,_calc!$E$344)))=0,"","Location: "&amp;IF(LEN(INDEX('Assets'!$C$4:$C$503,_calc!$E$344))=0,"",INDEX('Assets'!$C$4:$C$503,_calc!$E$344))&amp;". ")&amp;IF(LEN(IF(LEN(INDEX('Assets'!$E$4:$E$503,_calc!$E$344))=0,"",INDEX('Assets'!$E$4:$E$503,_calc!$E$344)))=0,"","Every (months): "&amp;IF(LEN(INDEX('Assets'!$E$4:$E$503,_calc!$E$344))=0,"",INDEX('Assets'!$E$4:$E$503,_calc!$E$344))&amp;". ")&amp;IF(LEN(IF(LEN(INDEX('Assets'!$M$4:$M$503,_calc!$E$344))=0,"",INDEX('Assets'!$M$4:$M$503,_calc!$E$344)))=0,"","Last result: "&amp;IF(LEN(INDEX('Assets'!$M$4:$M$503,_calc!$E$344))=0,"",INDEX('Assets'!$M$4:$M$503,_calc!$E$344))&amp;". ")&amp;IF(LEN(IF(LEN(INDEX('Assets'!$Q$4:$Q$503,_calc!$E$344))=0,"",INDEX('Assets'!$Q$4:$Q$503,_calc!$E$344)))=0,"",IF(LEN(INDEX('Assets'!$Q$4:$Q$503,_calc!$E$344))=0,"",INDEX('Assets'!$Q$4:$Q$503,_calc!$E$344)))))</f>
        <v/>
      </c>
      <c r="G342" s="44">
        <f>IF(_calc!$E$344="","",IF(LEN(INDEX('Assets'!$P$4:$P$503,_calc!$E$344))=0,"",INDEX('Assets'!$P$4:$P$503,_calc!$E$344)))</f>
        <v/>
      </c>
      <c r="K342" s="44">
        <f>IF(_calc!$E$344="","",IF(LEN(INDEX('Assets'!$N$4:$N$503,_calc!$E$344))=0,"",INDEX('Assets'!$N$4:$N$503,_calc!$E$344)))</f>
        <v/>
      </c>
    </row>
    <row r="343">
      <c r="A343" s="44">
        <f>IF(_calc!$E$345="","",IF(LEN(INDEX('Assets'!$D$4:$D$503,_calc!$E$345))=0,"",INDEX('Assets'!$D$4:$D$503,_calc!$E$345))&amp;" – "&amp;IF(LEN(INDEX('Assets'!$A$4:$A$503,_calc!$E$345))=0,"",INDEX('Assets'!$A$4:$A$503,_calc!$E$345)))</f>
        <v/>
      </c>
      <c r="B343" s="44">
        <f>IF(_calc!$E$345="","",IF(ISNUMBER(INDEX('Assets'!$G$4:$G$503,_calc!$E$345)),TEXT(INDEX('Assets'!$G$4:$G$503,_calc!$E$345),"yyyy-mm-dd"),""))</f>
        <v/>
      </c>
      <c r="C343" s="44">
        <f>IF(_calc!$E$345="","","Inspection")</f>
        <v/>
      </c>
      <c r="D343" s="44">
        <f>IF(_calc!$E$345="","",IF(ISNUMBER(INDEX('Assets'!$F$4:$F$503,_calc!$E$345)),TEXT(INDEX('Assets'!$F$4:$F$503,_calc!$E$345),"yyyy-mm-dd"),""))</f>
        <v/>
      </c>
      <c r="E343" s="44">
        <f>IF(_calc!$E$345="","",IF(LEN(INDEX('Assets'!$O$4:$O$503,_calc!$E$345))=0,"",INDEX('Assets'!$O$4:$O$503,_calc!$E$345)))</f>
        <v/>
      </c>
      <c r="F343" s="44">
        <f>IF(_calc!$E$345="","",TRIM(IF(LEN(IF(LEN(INDEX('Assets'!$B$4:$B$503,_calc!$E$345))=0,"",INDEX('Assets'!$B$4:$B$503,_calc!$E$345)))=0,"","Asset ID: "&amp;IF(LEN(INDEX('Assets'!$B$4:$B$503,_calc!$E$345))=0,"",INDEX('Assets'!$B$4:$B$503,_calc!$E$345))&amp;". ")&amp;IF(LEN(IF(LEN(INDEX('Assets'!$C$4:$C$503,_calc!$E$345))=0,"",INDEX('Assets'!$C$4:$C$503,_calc!$E$345)))=0,"","Location: "&amp;IF(LEN(INDEX('Assets'!$C$4:$C$503,_calc!$E$345))=0,"",INDEX('Assets'!$C$4:$C$503,_calc!$E$345))&amp;". ")&amp;IF(LEN(IF(LEN(INDEX('Assets'!$E$4:$E$503,_calc!$E$345))=0,"",INDEX('Assets'!$E$4:$E$503,_calc!$E$345)))=0,"","Every (months): "&amp;IF(LEN(INDEX('Assets'!$E$4:$E$503,_calc!$E$345))=0,"",INDEX('Assets'!$E$4:$E$503,_calc!$E$345))&amp;". ")&amp;IF(LEN(IF(LEN(INDEX('Assets'!$M$4:$M$503,_calc!$E$345))=0,"",INDEX('Assets'!$M$4:$M$503,_calc!$E$345)))=0,"","Last result: "&amp;IF(LEN(INDEX('Assets'!$M$4:$M$503,_calc!$E$345))=0,"",INDEX('Assets'!$M$4:$M$503,_calc!$E$345))&amp;". ")&amp;IF(LEN(IF(LEN(INDEX('Assets'!$Q$4:$Q$503,_calc!$E$345))=0,"",INDEX('Assets'!$Q$4:$Q$503,_calc!$E$345)))=0,"",IF(LEN(INDEX('Assets'!$Q$4:$Q$503,_calc!$E$345))=0,"",INDEX('Assets'!$Q$4:$Q$503,_calc!$E$345)))))</f>
        <v/>
      </c>
      <c r="G343" s="44">
        <f>IF(_calc!$E$345="","",IF(LEN(INDEX('Assets'!$P$4:$P$503,_calc!$E$345))=0,"",INDEX('Assets'!$P$4:$P$503,_calc!$E$345)))</f>
        <v/>
      </c>
      <c r="K343" s="44">
        <f>IF(_calc!$E$345="","",IF(LEN(INDEX('Assets'!$N$4:$N$503,_calc!$E$345))=0,"",INDEX('Assets'!$N$4:$N$503,_calc!$E$345)))</f>
        <v/>
      </c>
    </row>
    <row r="344">
      <c r="A344" s="44">
        <f>IF(_calc!$E$346="","",IF(LEN(INDEX('Assets'!$D$4:$D$503,_calc!$E$346))=0,"",INDEX('Assets'!$D$4:$D$503,_calc!$E$346))&amp;" – "&amp;IF(LEN(INDEX('Assets'!$A$4:$A$503,_calc!$E$346))=0,"",INDEX('Assets'!$A$4:$A$503,_calc!$E$346)))</f>
        <v/>
      </c>
      <c r="B344" s="44">
        <f>IF(_calc!$E$346="","",IF(ISNUMBER(INDEX('Assets'!$G$4:$G$503,_calc!$E$346)),TEXT(INDEX('Assets'!$G$4:$G$503,_calc!$E$346),"yyyy-mm-dd"),""))</f>
        <v/>
      </c>
      <c r="C344" s="44">
        <f>IF(_calc!$E$346="","","Inspection")</f>
        <v/>
      </c>
      <c r="D344" s="44">
        <f>IF(_calc!$E$346="","",IF(ISNUMBER(INDEX('Assets'!$F$4:$F$503,_calc!$E$346)),TEXT(INDEX('Assets'!$F$4:$F$503,_calc!$E$346),"yyyy-mm-dd"),""))</f>
        <v/>
      </c>
      <c r="E344" s="44">
        <f>IF(_calc!$E$346="","",IF(LEN(INDEX('Assets'!$O$4:$O$503,_calc!$E$346))=0,"",INDEX('Assets'!$O$4:$O$503,_calc!$E$346)))</f>
        <v/>
      </c>
      <c r="F344" s="44">
        <f>IF(_calc!$E$346="","",TRIM(IF(LEN(IF(LEN(INDEX('Assets'!$B$4:$B$503,_calc!$E$346))=0,"",INDEX('Assets'!$B$4:$B$503,_calc!$E$346)))=0,"","Asset ID: "&amp;IF(LEN(INDEX('Assets'!$B$4:$B$503,_calc!$E$346))=0,"",INDEX('Assets'!$B$4:$B$503,_calc!$E$346))&amp;". ")&amp;IF(LEN(IF(LEN(INDEX('Assets'!$C$4:$C$503,_calc!$E$346))=0,"",INDEX('Assets'!$C$4:$C$503,_calc!$E$346)))=0,"","Location: "&amp;IF(LEN(INDEX('Assets'!$C$4:$C$503,_calc!$E$346))=0,"",INDEX('Assets'!$C$4:$C$503,_calc!$E$346))&amp;". ")&amp;IF(LEN(IF(LEN(INDEX('Assets'!$E$4:$E$503,_calc!$E$346))=0,"",INDEX('Assets'!$E$4:$E$503,_calc!$E$346)))=0,"","Every (months): "&amp;IF(LEN(INDEX('Assets'!$E$4:$E$503,_calc!$E$346))=0,"",INDEX('Assets'!$E$4:$E$503,_calc!$E$346))&amp;". ")&amp;IF(LEN(IF(LEN(INDEX('Assets'!$M$4:$M$503,_calc!$E$346))=0,"",INDEX('Assets'!$M$4:$M$503,_calc!$E$346)))=0,"","Last result: "&amp;IF(LEN(INDEX('Assets'!$M$4:$M$503,_calc!$E$346))=0,"",INDEX('Assets'!$M$4:$M$503,_calc!$E$346))&amp;". ")&amp;IF(LEN(IF(LEN(INDEX('Assets'!$Q$4:$Q$503,_calc!$E$346))=0,"",INDEX('Assets'!$Q$4:$Q$503,_calc!$E$346)))=0,"",IF(LEN(INDEX('Assets'!$Q$4:$Q$503,_calc!$E$346))=0,"",INDEX('Assets'!$Q$4:$Q$503,_calc!$E$346)))))</f>
        <v/>
      </c>
      <c r="G344" s="44">
        <f>IF(_calc!$E$346="","",IF(LEN(INDEX('Assets'!$P$4:$P$503,_calc!$E$346))=0,"",INDEX('Assets'!$P$4:$P$503,_calc!$E$346)))</f>
        <v/>
      </c>
      <c r="K344" s="44">
        <f>IF(_calc!$E$346="","",IF(LEN(INDEX('Assets'!$N$4:$N$503,_calc!$E$346))=0,"",INDEX('Assets'!$N$4:$N$503,_calc!$E$346)))</f>
        <v/>
      </c>
    </row>
    <row r="345">
      <c r="A345" s="44">
        <f>IF(_calc!$E$347="","",IF(LEN(INDEX('Assets'!$D$4:$D$503,_calc!$E$347))=0,"",INDEX('Assets'!$D$4:$D$503,_calc!$E$347))&amp;" – "&amp;IF(LEN(INDEX('Assets'!$A$4:$A$503,_calc!$E$347))=0,"",INDEX('Assets'!$A$4:$A$503,_calc!$E$347)))</f>
        <v/>
      </c>
      <c r="B345" s="44">
        <f>IF(_calc!$E$347="","",IF(ISNUMBER(INDEX('Assets'!$G$4:$G$503,_calc!$E$347)),TEXT(INDEX('Assets'!$G$4:$G$503,_calc!$E$347),"yyyy-mm-dd"),""))</f>
        <v/>
      </c>
      <c r="C345" s="44">
        <f>IF(_calc!$E$347="","","Inspection")</f>
        <v/>
      </c>
      <c r="D345" s="44">
        <f>IF(_calc!$E$347="","",IF(ISNUMBER(INDEX('Assets'!$F$4:$F$503,_calc!$E$347)),TEXT(INDEX('Assets'!$F$4:$F$503,_calc!$E$347),"yyyy-mm-dd"),""))</f>
        <v/>
      </c>
      <c r="E345" s="44">
        <f>IF(_calc!$E$347="","",IF(LEN(INDEX('Assets'!$O$4:$O$503,_calc!$E$347))=0,"",INDEX('Assets'!$O$4:$O$503,_calc!$E$347)))</f>
        <v/>
      </c>
      <c r="F345" s="44">
        <f>IF(_calc!$E$347="","",TRIM(IF(LEN(IF(LEN(INDEX('Assets'!$B$4:$B$503,_calc!$E$347))=0,"",INDEX('Assets'!$B$4:$B$503,_calc!$E$347)))=0,"","Asset ID: "&amp;IF(LEN(INDEX('Assets'!$B$4:$B$503,_calc!$E$347))=0,"",INDEX('Assets'!$B$4:$B$503,_calc!$E$347))&amp;". ")&amp;IF(LEN(IF(LEN(INDEX('Assets'!$C$4:$C$503,_calc!$E$347))=0,"",INDEX('Assets'!$C$4:$C$503,_calc!$E$347)))=0,"","Location: "&amp;IF(LEN(INDEX('Assets'!$C$4:$C$503,_calc!$E$347))=0,"",INDEX('Assets'!$C$4:$C$503,_calc!$E$347))&amp;". ")&amp;IF(LEN(IF(LEN(INDEX('Assets'!$E$4:$E$503,_calc!$E$347))=0,"",INDEX('Assets'!$E$4:$E$503,_calc!$E$347)))=0,"","Every (months): "&amp;IF(LEN(INDEX('Assets'!$E$4:$E$503,_calc!$E$347))=0,"",INDEX('Assets'!$E$4:$E$503,_calc!$E$347))&amp;". ")&amp;IF(LEN(IF(LEN(INDEX('Assets'!$M$4:$M$503,_calc!$E$347))=0,"",INDEX('Assets'!$M$4:$M$503,_calc!$E$347)))=0,"","Last result: "&amp;IF(LEN(INDEX('Assets'!$M$4:$M$503,_calc!$E$347))=0,"",INDEX('Assets'!$M$4:$M$503,_calc!$E$347))&amp;". ")&amp;IF(LEN(IF(LEN(INDEX('Assets'!$Q$4:$Q$503,_calc!$E$347))=0,"",INDEX('Assets'!$Q$4:$Q$503,_calc!$E$347)))=0,"",IF(LEN(INDEX('Assets'!$Q$4:$Q$503,_calc!$E$347))=0,"",INDEX('Assets'!$Q$4:$Q$503,_calc!$E$347)))))</f>
        <v/>
      </c>
      <c r="G345" s="44">
        <f>IF(_calc!$E$347="","",IF(LEN(INDEX('Assets'!$P$4:$P$503,_calc!$E$347))=0,"",INDEX('Assets'!$P$4:$P$503,_calc!$E$347)))</f>
        <v/>
      </c>
      <c r="K345" s="44">
        <f>IF(_calc!$E$347="","",IF(LEN(INDEX('Assets'!$N$4:$N$503,_calc!$E$347))=0,"",INDEX('Assets'!$N$4:$N$503,_calc!$E$347)))</f>
        <v/>
      </c>
    </row>
    <row r="346">
      <c r="A346" s="44">
        <f>IF(_calc!$E$348="","",IF(LEN(INDEX('Assets'!$D$4:$D$503,_calc!$E$348))=0,"",INDEX('Assets'!$D$4:$D$503,_calc!$E$348))&amp;" – "&amp;IF(LEN(INDEX('Assets'!$A$4:$A$503,_calc!$E$348))=0,"",INDEX('Assets'!$A$4:$A$503,_calc!$E$348)))</f>
        <v/>
      </c>
      <c r="B346" s="44">
        <f>IF(_calc!$E$348="","",IF(ISNUMBER(INDEX('Assets'!$G$4:$G$503,_calc!$E$348)),TEXT(INDEX('Assets'!$G$4:$G$503,_calc!$E$348),"yyyy-mm-dd"),""))</f>
        <v/>
      </c>
      <c r="C346" s="44">
        <f>IF(_calc!$E$348="","","Inspection")</f>
        <v/>
      </c>
      <c r="D346" s="44">
        <f>IF(_calc!$E$348="","",IF(ISNUMBER(INDEX('Assets'!$F$4:$F$503,_calc!$E$348)),TEXT(INDEX('Assets'!$F$4:$F$503,_calc!$E$348),"yyyy-mm-dd"),""))</f>
        <v/>
      </c>
      <c r="E346" s="44">
        <f>IF(_calc!$E$348="","",IF(LEN(INDEX('Assets'!$O$4:$O$503,_calc!$E$348))=0,"",INDEX('Assets'!$O$4:$O$503,_calc!$E$348)))</f>
        <v/>
      </c>
      <c r="F346" s="44">
        <f>IF(_calc!$E$348="","",TRIM(IF(LEN(IF(LEN(INDEX('Assets'!$B$4:$B$503,_calc!$E$348))=0,"",INDEX('Assets'!$B$4:$B$503,_calc!$E$348)))=0,"","Asset ID: "&amp;IF(LEN(INDEX('Assets'!$B$4:$B$503,_calc!$E$348))=0,"",INDEX('Assets'!$B$4:$B$503,_calc!$E$348))&amp;". ")&amp;IF(LEN(IF(LEN(INDEX('Assets'!$C$4:$C$503,_calc!$E$348))=0,"",INDEX('Assets'!$C$4:$C$503,_calc!$E$348)))=0,"","Location: "&amp;IF(LEN(INDEX('Assets'!$C$4:$C$503,_calc!$E$348))=0,"",INDEX('Assets'!$C$4:$C$503,_calc!$E$348))&amp;". ")&amp;IF(LEN(IF(LEN(INDEX('Assets'!$E$4:$E$503,_calc!$E$348))=0,"",INDEX('Assets'!$E$4:$E$503,_calc!$E$348)))=0,"","Every (months): "&amp;IF(LEN(INDEX('Assets'!$E$4:$E$503,_calc!$E$348))=0,"",INDEX('Assets'!$E$4:$E$503,_calc!$E$348))&amp;". ")&amp;IF(LEN(IF(LEN(INDEX('Assets'!$M$4:$M$503,_calc!$E$348))=0,"",INDEX('Assets'!$M$4:$M$503,_calc!$E$348)))=0,"","Last result: "&amp;IF(LEN(INDEX('Assets'!$M$4:$M$503,_calc!$E$348))=0,"",INDEX('Assets'!$M$4:$M$503,_calc!$E$348))&amp;". ")&amp;IF(LEN(IF(LEN(INDEX('Assets'!$Q$4:$Q$503,_calc!$E$348))=0,"",INDEX('Assets'!$Q$4:$Q$503,_calc!$E$348)))=0,"",IF(LEN(INDEX('Assets'!$Q$4:$Q$503,_calc!$E$348))=0,"",INDEX('Assets'!$Q$4:$Q$503,_calc!$E$348)))))</f>
        <v/>
      </c>
      <c r="G346" s="44">
        <f>IF(_calc!$E$348="","",IF(LEN(INDEX('Assets'!$P$4:$P$503,_calc!$E$348))=0,"",INDEX('Assets'!$P$4:$P$503,_calc!$E$348)))</f>
        <v/>
      </c>
      <c r="K346" s="44">
        <f>IF(_calc!$E$348="","",IF(LEN(INDEX('Assets'!$N$4:$N$503,_calc!$E$348))=0,"",INDEX('Assets'!$N$4:$N$503,_calc!$E$348)))</f>
        <v/>
      </c>
    </row>
    <row r="347">
      <c r="A347" s="44">
        <f>IF(_calc!$E$349="","",IF(LEN(INDEX('Assets'!$D$4:$D$503,_calc!$E$349))=0,"",INDEX('Assets'!$D$4:$D$503,_calc!$E$349))&amp;" – "&amp;IF(LEN(INDEX('Assets'!$A$4:$A$503,_calc!$E$349))=0,"",INDEX('Assets'!$A$4:$A$503,_calc!$E$349)))</f>
        <v/>
      </c>
      <c r="B347" s="44">
        <f>IF(_calc!$E$349="","",IF(ISNUMBER(INDEX('Assets'!$G$4:$G$503,_calc!$E$349)),TEXT(INDEX('Assets'!$G$4:$G$503,_calc!$E$349),"yyyy-mm-dd"),""))</f>
        <v/>
      </c>
      <c r="C347" s="44">
        <f>IF(_calc!$E$349="","","Inspection")</f>
        <v/>
      </c>
      <c r="D347" s="44">
        <f>IF(_calc!$E$349="","",IF(ISNUMBER(INDEX('Assets'!$F$4:$F$503,_calc!$E$349)),TEXT(INDEX('Assets'!$F$4:$F$503,_calc!$E$349),"yyyy-mm-dd"),""))</f>
        <v/>
      </c>
      <c r="E347" s="44">
        <f>IF(_calc!$E$349="","",IF(LEN(INDEX('Assets'!$O$4:$O$503,_calc!$E$349))=0,"",INDEX('Assets'!$O$4:$O$503,_calc!$E$349)))</f>
        <v/>
      </c>
      <c r="F347" s="44">
        <f>IF(_calc!$E$349="","",TRIM(IF(LEN(IF(LEN(INDEX('Assets'!$B$4:$B$503,_calc!$E$349))=0,"",INDEX('Assets'!$B$4:$B$503,_calc!$E$349)))=0,"","Asset ID: "&amp;IF(LEN(INDEX('Assets'!$B$4:$B$503,_calc!$E$349))=0,"",INDEX('Assets'!$B$4:$B$503,_calc!$E$349))&amp;". ")&amp;IF(LEN(IF(LEN(INDEX('Assets'!$C$4:$C$503,_calc!$E$349))=0,"",INDEX('Assets'!$C$4:$C$503,_calc!$E$349)))=0,"","Location: "&amp;IF(LEN(INDEX('Assets'!$C$4:$C$503,_calc!$E$349))=0,"",INDEX('Assets'!$C$4:$C$503,_calc!$E$349))&amp;". ")&amp;IF(LEN(IF(LEN(INDEX('Assets'!$E$4:$E$503,_calc!$E$349))=0,"",INDEX('Assets'!$E$4:$E$503,_calc!$E$349)))=0,"","Every (months): "&amp;IF(LEN(INDEX('Assets'!$E$4:$E$503,_calc!$E$349))=0,"",INDEX('Assets'!$E$4:$E$503,_calc!$E$349))&amp;". ")&amp;IF(LEN(IF(LEN(INDEX('Assets'!$M$4:$M$503,_calc!$E$349))=0,"",INDEX('Assets'!$M$4:$M$503,_calc!$E$349)))=0,"","Last result: "&amp;IF(LEN(INDEX('Assets'!$M$4:$M$503,_calc!$E$349))=0,"",INDEX('Assets'!$M$4:$M$503,_calc!$E$349))&amp;". ")&amp;IF(LEN(IF(LEN(INDEX('Assets'!$Q$4:$Q$503,_calc!$E$349))=0,"",INDEX('Assets'!$Q$4:$Q$503,_calc!$E$349)))=0,"",IF(LEN(INDEX('Assets'!$Q$4:$Q$503,_calc!$E$349))=0,"",INDEX('Assets'!$Q$4:$Q$503,_calc!$E$349)))))</f>
        <v/>
      </c>
      <c r="G347" s="44">
        <f>IF(_calc!$E$349="","",IF(LEN(INDEX('Assets'!$P$4:$P$503,_calc!$E$349))=0,"",INDEX('Assets'!$P$4:$P$503,_calc!$E$349)))</f>
        <v/>
      </c>
      <c r="K347" s="44">
        <f>IF(_calc!$E$349="","",IF(LEN(INDEX('Assets'!$N$4:$N$503,_calc!$E$349))=0,"",INDEX('Assets'!$N$4:$N$503,_calc!$E$349)))</f>
        <v/>
      </c>
    </row>
    <row r="348">
      <c r="A348" s="44">
        <f>IF(_calc!$E$350="","",IF(LEN(INDEX('Assets'!$D$4:$D$503,_calc!$E$350))=0,"",INDEX('Assets'!$D$4:$D$503,_calc!$E$350))&amp;" – "&amp;IF(LEN(INDEX('Assets'!$A$4:$A$503,_calc!$E$350))=0,"",INDEX('Assets'!$A$4:$A$503,_calc!$E$350)))</f>
        <v/>
      </c>
      <c r="B348" s="44">
        <f>IF(_calc!$E$350="","",IF(ISNUMBER(INDEX('Assets'!$G$4:$G$503,_calc!$E$350)),TEXT(INDEX('Assets'!$G$4:$G$503,_calc!$E$350),"yyyy-mm-dd"),""))</f>
        <v/>
      </c>
      <c r="C348" s="44">
        <f>IF(_calc!$E$350="","","Inspection")</f>
        <v/>
      </c>
      <c r="D348" s="44">
        <f>IF(_calc!$E$350="","",IF(ISNUMBER(INDEX('Assets'!$F$4:$F$503,_calc!$E$350)),TEXT(INDEX('Assets'!$F$4:$F$503,_calc!$E$350),"yyyy-mm-dd"),""))</f>
        <v/>
      </c>
      <c r="E348" s="44">
        <f>IF(_calc!$E$350="","",IF(LEN(INDEX('Assets'!$O$4:$O$503,_calc!$E$350))=0,"",INDEX('Assets'!$O$4:$O$503,_calc!$E$350)))</f>
        <v/>
      </c>
      <c r="F348" s="44">
        <f>IF(_calc!$E$350="","",TRIM(IF(LEN(IF(LEN(INDEX('Assets'!$B$4:$B$503,_calc!$E$350))=0,"",INDEX('Assets'!$B$4:$B$503,_calc!$E$350)))=0,"","Asset ID: "&amp;IF(LEN(INDEX('Assets'!$B$4:$B$503,_calc!$E$350))=0,"",INDEX('Assets'!$B$4:$B$503,_calc!$E$350))&amp;". ")&amp;IF(LEN(IF(LEN(INDEX('Assets'!$C$4:$C$503,_calc!$E$350))=0,"",INDEX('Assets'!$C$4:$C$503,_calc!$E$350)))=0,"","Location: "&amp;IF(LEN(INDEX('Assets'!$C$4:$C$503,_calc!$E$350))=0,"",INDEX('Assets'!$C$4:$C$503,_calc!$E$350))&amp;". ")&amp;IF(LEN(IF(LEN(INDEX('Assets'!$E$4:$E$503,_calc!$E$350))=0,"",INDEX('Assets'!$E$4:$E$503,_calc!$E$350)))=0,"","Every (months): "&amp;IF(LEN(INDEX('Assets'!$E$4:$E$503,_calc!$E$350))=0,"",INDEX('Assets'!$E$4:$E$503,_calc!$E$350))&amp;". ")&amp;IF(LEN(IF(LEN(INDEX('Assets'!$M$4:$M$503,_calc!$E$350))=0,"",INDEX('Assets'!$M$4:$M$503,_calc!$E$350)))=0,"","Last result: "&amp;IF(LEN(INDEX('Assets'!$M$4:$M$503,_calc!$E$350))=0,"",INDEX('Assets'!$M$4:$M$503,_calc!$E$350))&amp;". ")&amp;IF(LEN(IF(LEN(INDEX('Assets'!$Q$4:$Q$503,_calc!$E$350))=0,"",INDEX('Assets'!$Q$4:$Q$503,_calc!$E$350)))=0,"",IF(LEN(INDEX('Assets'!$Q$4:$Q$503,_calc!$E$350))=0,"",INDEX('Assets'!$Q$4:$Q$503,_calc!$E$350)))))</f>
        <v/>
      </c>
      <c r="G348" s="44">
        <f>IF(_calc!$E$350="","",IF(LEN(INDEX('Assets'!$P$4:$P$503,_calc!$E$350))=0,"",INDEX('Assets'!$P$4:$P$503,_calc!$E$350)))</f>
        <v/>
      </c>
      <c r="K348" s="44">
        <f>IF(_calc!$E$350="","",IF(LEN(INDEX('Assets'!$N$4:$N$503,_calc!$E$350))=0,"",INDEX('Assets'!$N$4:$N$503,_calc!$E$350)))</f>
        <v/>
      </c>
    </row>
    <row r="349">
      <c r="A349" s="44">
        <f>IF(_calc!$E$351="","",IF(LEN(INDEX('Assets'!$D$4:$D$503,_calc!$E$351))=0,"",INDEX('Assets'!$D$4:$D$503,_calc!$E$351))&amp;" – "&amp;IF(LEN(INDEX('Assets'!$A$4:$A$503,_calc!$E$351))=0,"",INDEX('Assets'!$A$4:$A$503,_calc!$E$351)))</f>
        <v/>
      </c>
      <c r="B349" s="44">
        <f>IF(_calc!$E$351="","",IF(ISNUMBER(INDEX('Assets'!$G$4:$G$503,_calc!$E$351)),TEXT(INDEX('Assets'!$G$4:$G$503,_calc!$E$351),"yyyy-mm-dd"),""))</f>
        <v/>
      </c>
      <c r="C349" s="44">
        <f>IF(_calc!$E$351="","","Inspection")</f>
        <v/>
      </c>
      <c r="D349" s="44">
        <f>IF(_calc!$E$351="","",IF(ISNUMBER(INDEX('Assets'!$F$4:$F$503,_calc!$E$351)),TEXT(INDEX('Assets'!$F$4:$F$503,_calc!$E$351),"yyyy-mm-dd"),""))</f>
        <v/>
      </c>
      <c r="E349" s="44">
        <f>IF(_calc!$E$351="","",IF(LEN(INDEX('Assets'!$O$4:$O$503,_calc!$E$351))=0,"",INDEX('Assets'!$O$4:$O$503,_calc!$E$351)))</f>
        <v/>
      </c>
      <c r="F349" s="44">
        <f>IF(_calc!$E$351="","",TRIM(IF(LEN(IF(LEN(INDEX('Assets'!$B$4:$B$503,_calc!$E$351))=0,"",INDEX('Assets'!$B$4:$B$503,_calc!$E$351)))=0,"","Asset ID: "&amp;IF(LEN(INDEX('Assets'!$B$4:$B$503,_calc!$E$351))=0,"",INDEX('Assets'!$B$4:$B$503,_calc!$E$351))&amp;". ")&amp;IF(LEN(IF(LEN(INDEX('Assets'!$C$4:$C$503,_calc!$E$351))=0,"",INDEX('Assets'!$C$4:$C$503,_calc!$E$351)))=0,"","Location: "&amp;IF(LEN(INDEX('Assets'!$C$4:$C$503,_calc!$E$351))=0,"",INDEX('Assets'!$C$4:$C$503,_calc!$E$351))&amp;". ")&amp;IF(LEN(IF(LEN(INDEX('Assets'!$E$4:$E$503,_calc!$E$351))=0,"",INDEX('Assets'!$E$4:$E$503,_calc!$E$351)))=0,"","Every (months): "&amp;IF(LEN(INDEX('Assets'!$E$4:$E$503,_calc!$E$351))=0,"",INDEX('Assets'!$E$4:$E$503,_calc!$E$351))&amp;". ")&amp;IF(LEN(IF(LEN(INDEX('Assets'!$M$4:$M$503,_calc!$E$351))=0,"",INDEX('Assets'!$M$4:$M$503,_calc!$E$351)))=0,"","Last result: "&amp;IF(LEN(INDEX('Assets'!$M$4:$M$503,_calc!$E$351))=0,"",INDEX('Assets'!$M$4:$M$503,_calc!$E$351))&amp;". ")&amp;IF(LEN(IF(LEN(INDEX('Assets'!$Q$4:$Q$503,_calc!$E$351))=0,"",INDEX('Assets'!$Q$4:$Q$503,_calc!$E$351)))=0,"",IF(LEN(INDEX('Assets'!$Q$4:$Q$503,_calc!$E$351))=0,"",INDEX('Assets'!$Q$4:$Q$503,_calc!$E$351)))))</f>
        <v/>
      </c>
      <c r="G349" s="44">
        <f>IF(_calc!$E$351="","",IF(LEN(INDEX('Assets'!$P$4:$P$503,_calc!$E$351))=0,"",INDEX('Assets'!$P$4:$P$503,_calc!$E$351)))</f>
        <v/>
      </c>
      <c r="K349" s="44">
        <f>IF(_calc!$E$351="","",IF(LEN(INDEX('Assets'!$N$4:$N$503,_calc!$E$351))=0,"",INDEX('Assets'!$N$4:$N$503,_calc!$E$351)))</f>
        <v/>
      </c>
    </row>
    <row r="350">
      <c r="A350" s="44">
        <f>IF(_calc!$E$352="","",IF(LEN(INDEX('Assets'!$D$4:$D$503,_calc!$E$352))=0,"",INDEX('Assets'!$D$4:$D$503,_calc!$E$352))&amp;" – "&amp;IF(LEN(INDEX('Assets'!$A$4:$A$503,_calc!$E$352))=0,"",INDEX('Assets'!$A$4:$A$503,_calc!$E$352)))</f>
        <v/>
      </c>
      <c r="B350" s="44">
        <f>IF(_calc!$E$352="","",IF(ISNUMBER(INDEX('Assets'!$G$4:$G$503,_calc!$E$352)),TEXT(INDEX('Assets'!$G$4:$G$503,_calc!$E$352),"yyyy-mm-dd"),""))</f>
        <v/>
      </c>
      <c r="C350" s="44">
        <f>IF(_calc!$E$352="","","Inspection")</f>
        <v/>
      </c>
      <c r="D350" s="44">
        <f>IF(_calc!$E$352="","",IF(ISNUMBER(INDEX('Assets'!$F$4:$F$503,_calc!$E$352)),TEXT(INDEX('Assets'!$F$4:$F$503,_calc!$E$352),"yyyy-mm-dd"),""))</f>
        <v/>
      </c>
      <c r="E350" s="44">
        <f>IF(_calc!$E$352="","",IF(LEN(INDEX('Assets'!$O$4:$O$503,_calc!$E$352))=0,"",INDEX('Assets'!$O$4:$O$503,_calc!$E$352)))</f>
        <v/>
      </c>
      <c r="F350" s="44">
        <f>IF(_calc!$E$352="","",TRIM(IF(LEN(IF(LEN(INDEX('Assets'!$B$4:$B$503,_calc!$E$352))=0,"",INDEX('Assets'!$B$4:$B$503,_calc!$E$352)))=0,"","Asset ID: "&amp;IF(LEN(INDEX('Assets'!$B$4:$B$503,_calc!$E$352))=0,"",INDEX('Assets'!$B$4:$B$503,_calc!$E$352))&amp;". ")&amp;IF(LEN(IF(LEN(INDEX('Assets'!$C$4:$C$503,_calc!$E$352))=0,"",INDEX('Assets'!$C$4:$C$503,_calc!$E$352)))=0,"","Location: "&amp;IF(LEN(INDEX('Assets'!$C$4:$C$503,_calc!$E$352))=0,"",INDEX('Assets'!$C$4:$C$503,_calc!$E$352))&amp;". ")&amp;IF(LEN(IF(LEN(INDEX('Assets'!$E$4:$E$503,_calc!$E$352))=0,"",INDEX('Assets'!$E$4:$E$503,_calc!$E$352)))=0,"","Every (months): "&amp;IF(LEN(INDEX('Assets'!$E$4:$E$503,_calc!$E$352))=0,"",INDEX('Assets'!$E$4:$E$503,_calc!$E$352))&amp;". ")&amp;IF(LEN(IF(LEN(INDEX('Assets'!$M$4:$M$503,_calc!$E$352))=0,"",INDEX('Assets'!$M$4:$M$503,_calc!$E$352)))=0,"","Last result: "&amp;IF(LEN(INDEX('Assets'!$M$4:$M$503,_calc!$E$352))=0,"",INDEX('Assets'!$M$4:$M$503,_calc!$E$352))&amp;". ")&amp;IF(LEN(IF(LEN(INDEX('Assets'!$Q$4:$Q$503,_calc!$E$352))=0,"",INDEX('Assets'!$Q$4:$Q$503,_calc!$E$352)))=0,"",IF(LEN(INDEX('Assets'!$Q$4:$Q$503,_calc!$E$352))=0,"",INDEX('Assets'!$Q$4:$Q$503,_calc!$E$352)))))</f>
        <v/>
      </c>
      <c r="G350" s="44">
        <f>IF(_calc!$E$352="","",IF(LEN(INDEX('Assets'!$P$4:$P$503,_calc!$E$352))=0,"",INDEX('Assets'!$P$4:$P$503,_calc!$E$352)))</f>
        <v/>
      </c>
      <c r="K350" s="44">
        <f>IF(_calc!$E$352="","",IF(LEN(INDEX('Assets'!$N$4:$N$503,_calc!$E$352))=0,"",INDEX('Assets'!$N$4:$N$503,_calc!$E$352)))</f>
        <v/>
      </c>
    </row>
    <row r="351">
      <c r="A351" s="44">
        <f>IF(_calc!$E$353="","",IF(LEN(INDEX('Assets'!$D$4:$D$503,_calc!$E$353))=0,"",INDEX('Assets'!$D$4:$D$503,_calc!$E$353))&amp;" – "&amp;IF(LEN(INDEX('Assets'!$A$4:$A$503,_calc!$E$353))=0,"",INDEX('Assets'!$A$4:$A$503,_calc!$E$353)))</f>
        <v/>
      </c>
      <c r="B351" s="44">
        <f>IF(_calc!$E$353="","",IF(ISNUMBER(INDEX('Assets'!$G$4:$G$503,_calc!$E$353)),TEXT(INDEX('Assets'!$G$4:$G$503,_calc!$E$353),"yyyy-mm-dd"),""))</f>
        <v/>
      </c>
      <c r="C351" s="44">
        <f>IF(_calc!$E$353="","","Inspection")</f>
        <v/>
      </c>
      <c r="D351" s="44">
        <f>IF(_calc!$E$353="","",IF(ISNUMBER(INDEX('Assets'!$F$4:$F$503,_calc!$E$353)),TEXT(INDEX('Assets'!$F$4:$F$503,_calc!$E$353),"yyyy-mm-dd"),""))</f>
        <v/>
      </c>
      <c r="E351" s="44">
        <f>IF(_calc!$E$353="","",IF(LEN(INDEX('Assets'!$O$4:$O$503,_calc!$E$353))=0,"",INDEX('Assets'!$O$4:$O$503,_calc!$E$353)))</f>
        <v/>
      </c>
      <c r="F351" s="44">
        <f>IF(_calc!$E$353="","",TRIM(IF(LEN(IF(LEN(INDEX('Assets'!$B$4:$B$503,_calc!$E$353))=0,"",INDEX('Assets'!$B$4:$B$503,_calc!$E$353)))=0,"","Asset ID: "&amp;IF(LEN(INDEX('Assets'!$B$4:$B$503,_calc!$E$353))=0,"",INDEX('Assets'!$B$4:$B$503,_calc!$E$353))&amp;". ")&amp;IF(LEN(IF(LEN(INDEX('Assets'!$C$4:$C$503,_calc!$E$353))=0,"",INDEX('Assets'!$C$4:$C$503,_calc!$E$353)))=0,"","Location: "&amp;IF(LEN(INDEX('Assets'!$C$4:$C$503,_calc!$E$353))=0,"",INDEX('Assets'!$C$4:$C$503,_calc!$E$353))&amp;". ")&amp;IF(LEN(IF(LEN(INDEX('Assets'!$E$4:$E$503,_calc!$E$353))=0,"",INDEX('Assets'!$E$4:$E$503,_calc!$E$353)))=0,"","Every (months): "&amp;IF(LEN(INDEX('Assets'!$E$4:$E$503,_calc!$E$353))=0,"",INDEX('Assets'!$E$4:$E$503,_calc!$E$353))&amp;". ")&amp;IF(LEN(IF(LEN(INDEX('Assets'!$M$4:$M$503,_calc!$E$353))=0,"",INDEX('Assets'!$M$4:$M$503,_calc!$E$353)))=0,"","Last result: "&amp;IF(LEN(INDEX('Assets'!$M$4:$M$503,_calc!$E$353))=0,"",INDEX('Assets'!$M$4:$M$503,_calc!$E$353))&amp;". ")&amp;IF(LEN(IF(LEN(INDEX('Assets'!$Q$4:$Q$503,_calc!$E$353))=0,"",INDEX('Assets'!$Q$4:$Q$503,_calc!$E$353)))=0,"",IF(LEN(INDEX('Assets'!$Q$4:$Q$503,_calc!$E$353))=0,"",INDEX('Assets'!$Q$4:$Q$503,_calc!$E$353)))))</f>
        <v/>
      </c>
      <c r="G351" s="44">
        <f>IF(_calc!$E$353="","",IF(LEN(INDEX('Assets'!$P$4:$P$503,_calc!$E$353))=0,"",INDEX('Assets'!$P$4:$P$503,_calc!$E$353)))</f>
        <v/>
      </c>
      <c r="K351" s="44">
        <f>IF(_calc!$E$353="","",IF(LEN(INDEX('Assets'!$N$4:$N$503,_calc!$E$353))=0,"",INDEX('Assets'!$N$4:$N$503,_calc!$E$353)))</f>
        <v/>
      </c>
    </row>
    <row r="352">
      <c r="A352" s="44">
        <f>IF(_calc!$E$354="","",IF(LEN(INDEX('Assets'!$D$4:$D$503,_calc!$E$354))=0,"",INDEX('Assets'!$D$4:$D$503,_calc!$E$354))&amp;" – "&amp;IF(LEN(INDEX('Assets'!$A$4:$A$503,_calc!$E$354))=0,"",INDEX('Assets'!$A$4:$A$503,_calc!$E$354)))</f>
        <v/>
      </c>
      <c r="B352" s="44">
        <f>IF(_calc!$E$354="","",IF(ISNUMBER(INDEX('Assets'!$G$4:$G$503,_calc!$E$354)),TEXT(INDEX('Assets'!$G$4:$G$503,_calc!$E$354),"yyyy-mm-dd"),""))</f>
        <v/>
      </c>
      <c r="C352" s="44">
        <f>IF(_calc!$E$354="","","Inspection")</f>
        <v/>
      </c>
      <c r="D352" s="44">
        <f>IF(_calc!$E$354="","",IF(ISNUMBER(INDEX('Assets'!$F$4:$F$503,_calc!$E$354)),TEXT(INDEX('Assets'!$F$4:$F$503,_calc!$E$354),"yyyy-mm-dd"),""))</f>
        <v/>
      </c>
      <c r="E352" s="44">
        <f>IF(_calc!$E$354="","",IF(LEN(INDEX('Assets'!$O$4:$O$503,_calc!$E$354))=0,"",INDEX('Assets'!$O$4:$O$503,_calc!$E$354)))</f>
        <v/>
      </c>
      <c r="F352" s="44">
        <f>IF(_calc!$E$354="","",TRIM(IF(LEN(IF(LEN(INDEX('Assets'!$B$4:$B$503,_calc!$E$354))=0,"",INDEX('Assets'!$B$4:$B$503,_calc!$E$354)))=0,"","Asset ID: "&amp;IF(LEN(INDEX('Assets'!$B$4:$B$503,_calc!$E$354))=0,"",INDEX('Assets'!$B$4:$B$503,_calc!$E$354))&amp;". ")&amp;IF(LEN(IF(LEN(INDEX('Assets'!$C$4:$C$503,_calc!$E$354))=0,"",INDEX('Assets'!$C$4:$C$503,_calc!$E$354)))=0,"","Location: "&amp;IF(LEN(INDEX('Assets'!$C$4:$C$503,_calc!$E$354))=0,"",INDEX('Assets'!$C$4:$C$503,_calc!$E$354))&amp;". ")&amp;IF(LEN(IF(LEN(INDEX('Assets'!$E$4:$E$503,_calc!$E$354))=0,"",INDEX('Assets'!$E$4:$E$503,_calc!$E$354)))=0,"","Every (months): "&amp;IF(LEN(INDEX('Assets'!$E$4:$E$503,_calc!$E$354))=0,"",INDEX('Assets'!$E$4:$E$503,_calc!$E$354))&amp;". ")&amp;IF(LEN(IF(LEN(INDEX('Assets'!$M$4:$M$503,_calc!$E$354))=0,"",INDEX('Assets'!$M$4:$M$503,_calc!$E$354)))=0,"","Last result: "&amp;IF(LEN(INDEX('Assets'!$M$4:$M$503,_calc!$E$354))=0,"",INDEX('Assets'!$M$4:$M$503,_calc!$E$354))&amp;". ")&amp;IF(LEN(IF(LEN(INDEX('Assets'!$Q$4:$Q$503,_calc!$E$354))=0,"",INDEX('Assets'!$Q$4:$Q$503,_calc!$E$354)))=0,"",IF(LEN(INDEX('Assets'!$Q$4:$Q$503,_calc!$E$354))=0,"",INDEX('Assets'!$Q$4:$Q$503,_calc!$E$354)))))</f>
        <v/>
      </c>
      <c r="G352" s="44">
        <f>IF(_calc!$E$354="","",IF(LEN(INDEX('Assets'!$P$4:$P$503,_calc!$E$354))=0,"",INDEX('Assets'!$P$4:$P$503,_calc!$E$354)))</f>
        <v/>
      </c>
      <c r="K352" s="44">
        <f>IF(_calc!$E$354="","",IF(LEN(INDEX('Assets'!$N$4:$N$503,_calc!$E$354))=0,"",INDEX('Assets'!$N$4:$N$503,_calc!$E$354)))</f>
        <v/>
      </c>
    </row>
    <row r="353">
      <c r="A353" s="44">
        <f>IF(_calc!$E$355="","",IF(LEN(INDEX('Assets'!$D$4:$D$503,_calc!$E$355))=0,"",INDEX('Assets'!$D$4:$D$503,_calc!$E$355))&amp;" – "&amp;IF(LEN(INDEX('Assets'!$A$4:$A$503,_calc!$E$355))=0,"",INDEX('Assets'!$A$4:$A$503,_calc!$E$355)))</f>
        <v/>
      </c>
      <c r="B353" s="44">
        <f>IF(_calc!$E$355="","",IF(ISNUMBER(INDEX('Assets'!$G$4:$G$503,_calc!$E$355)),TEXT(INDEX('Assets'!$G$4:$G$503,_calc!$E$355),"yyyy-mm-dd"),""))</f>
        <v/>
      </c>
      <c r="C353" s="44">
        <f>IF(_calc!$E$355="","","Inspection")</f>
        <v/>
      </c>
      <c r="D353" s="44">
        <f>IF(_calc!$E$355="","",IF(ISNUMBER(INDEX('Assets'!$F$4:$F$503,_calc!$E$355)),TEXT(INDEX('Assets'!$F$4:$F$503,_calc!$E$355),"yyyy-mm-dd"),""))</f>
        <v/>
      </c>
      <c r="E353" s="44">
        <f>IF(_calc!$E$355="","",IF(LEN(INDEX('Assets'!$O$4:$O$503,_calc!$E$355))=0,"",INDEX('Assets'!$O$4:$O$503,_calc!$E$355)))</f>
        <v/>
      </c>
      <c r="F353" s="44">
        <f>IF(_calc!$E$355="","",TRIM(IF(LEN(IF(LEN(INDEX('Assets'!$B$4:$B$503,_calc!$E$355))=0,"",INDEX('Assets'!$B$4:$B$503,_calc!$E$355)))=0,"","Asset ID: "&amp;IF(LEN(INDEX('Assets'!$B$4:$B$503,_calc!$E$355))=0,"",INDEX('Assets'!$B$4:$B$503,_calc!$E$355))&amp;". ")&amp;IF(LEN(IF(LEN(INDEX('Assets'!$C$4:$C$503,_calc!$E$355))=0,"",INDEX('Assets'!$C$4:$C$503,_calc!$E$355)))=0,"","Location: "&amp;IF(LEN(INDEX('Assets'!$C$4:$C$503,_calc!$E$355))=0,"",INDEX('Assets'!$C$4:$C$503,_calc!$E$355))&amp;". ")&amp;IF(LEN(IF(LEN(INDEX('Assets'!$E$4:$E$503,_calc!$E$355))=0,"",INDEX('Assets'!$E$4:$E$503,_calc!$E$355)))=0,"","Every (months): "&amp;IF(LEN(INDEX('Assets'!$E$4:$E$503,_calc!$E$355))=0,"",INDEX('Assets'!$E$4:$E$503,_calc!$E$355))&amp;". ")&amp;IF(LEN(IF(LEN(INDEX('Assets'!$M$4:$M$503,_calc!$E$355))=0,"",INDEX('Assets'!$M$4:$M$503,_calc!$E$355)))=0,"","Last result: "&amp;IF(LEN(INDEX('Assets'!$M$4:$M$503,_calc!$E$355))=0,"",INDEX('Assets'!$M$4:$M$503,_calc!$E$355))&amp;". ")&amp;IF(LEN(IF(LEN(INDEX('Assets'!$Q$4:$Q$503,_calc!$E$355))=0,"",INDEX('Assets'!$Q$4:$Q$503,_calc!$E$355)))=0,"",IF(LEN(INDEX('Assets'!$Q$4:$Q$503,_calc!$E$355))=0,"",INDEX('Assets'!$Q$4:$Q$503,_calc!$E$355)))))</f>
        <v/>
      </c>
      <c r="G353" s="44">
        <f>IF(_calc!$E$355="","",IF(LEN(INDEX('Assets'!$P$4:$P$503,_calc!$E$355))=0,"",INDEX('Assets'!$P$4:$P$503,_calc!$E$355)))</f>
        <v/>
      </c>
      <c r="K353" s="44">
        <f>IF(_calc!$E$355="","",IF(LEN(INDEX('Assets'!$N$4:$N$503,_calc!$E$355))=0,"",INDEX('Assets'!$N$4:$N$503,_calc!$E$355)))</f>
        <v/>
      </c>
    </row>
    <row r="354">
      <c r="A354" s="44">
        <f>IF(_calc!$E$356="","",IF(LEN(INDEX('Assets'!$D$4:$D$503,_calc!$E$356))=0,"",INDEX('Assets'!$D$4:$D$503,_calc!$E$356))&amp;" – "&amp;IF(LEN(INDEX('Assets'!$A$4:$A$503,_calc!$E$356))=0,"",INDEX('Assets'!$A$4:$A$503,_calc!$E$356)))</f>
        <v/>
      </c>
      <c r="B354" s="44">
        <f>IF(_calc!$E$356="","",IF(ISNUMBER(INDEX('Assets'!$G$4:$G$503,_calc!$E$356)),TEXT(INDEX('Assets'!$G$4:$G$503,_calc!$E$356),"yyyy-mm-dd"),""))</f>
        <v/>
      </c>
      <c r="C354" s="44">
        <f>IF(_calc!$E$356="","","Inspection")</f>
        <v/>
      </c>
      <c r="D354" s="44">
        <f>IF(_calc!$E$356="","",IF(ISNUMBER(INDEX('Assets'!$F$4:$F$503,_calc!$E$356)),TEXT(INDEX('Assets'!$F$4:$F$503,_calc!$E$356),"yyyy-mm-dd"),""))</f>
        <v/>
      </c>
      <c r="E354" s="44">
        <f>IF(_calc!$E$356="","",IF(LEN(INDEX('Assets'!$O$4:$O$503,_calc!$E$356))=0,"",INDEX('Assets'!$O$4:$O$503,_calc!$E$356)))</f>
        <v/>
      </c>
      <c r="F354" s="44">
        <f>IF(_calc!$E$356="","",TRIM(IF(LEN(IF(LEN(INDEX('Assets'!$B$4:$B$503,_calc!$E$356))=0,"",INDEX('Assets'!$B$4:$B$503,_calc!$E$356)))=0,"","Asset ID: "&amp;IF(LEN(INDEX('Assets'!$B$4:$B$503,_calc!$E$356))=0,"",INDEX('Assets'!$B$4:$B$503,_calc!$E$356))&amp;". ")&amp;IF(LEN(IF(LEN(INDEX('Assets'!$C$4:$C$503,_calc!$E$356))=0,"",INDEX('Assets'!$C$4:$C$503,_calc!$E$356)))=0,"","Location: "&amp;IF(LEN(INDEX('Assets'!$C$4:$C$503,_calc!$E$356))=0,"",INDEX('Assets'!$C$4:$C$503,_calc!$E$356))&amp;". ")&amp;IF(LEN(IF(LEN(INDEX('Assets'!$E$4:$E$503,_calc!$E$356))=0,"",INDEX('Assets'!$E$4:$E$503,_calc!$E$356)))=0,"","Every (months): "&amp;IF(LEN(INDEX('Assets'!$E$4:$E$503,_calc!$E$356))=0,"",INDEX('Assets'!$E$4:$E$503,_calc!$E$356))&amp;". ")&amp;IF(LEN(IF(LEN(INDEX('Assets'!$M$4:$M$503,_calc!$E$356))=0,"",INDEX('Assets'!$M$4:$M$503,_calc!$E$356)))=0,"","Last result: "&amp;IF(LEN(INDEX('Assets'!$M$4:$M$503,_calc!$E$356))=0,"",INDEX('Assets'!$M$4:$M$503,_calc!$E$356))&amp;". ")&amp;IF(LEN(IF(LEN(INDEX('Assets'!$Q$4:$Q$503,_calc!$E$356))=0,"",INDEX('Assets'!$Q$4:$Q$503,_calc!$E$356)))=0,"",IF(LEN(INDEX('Assets'!$Q$4:$Q$503,_calc!$E$356))=0,"",INDEX('Assets'!$Q$4:$Q$503,_calc!$E$356)))))</f>
        <v/>
      </c>
      <c r="G354" s="44">
        <f>IF(_calc!$E$356="","",IF(LEN(INDEX('Assets'!$P$4:$P$503,_calc!$E$356))=0,"",INDEX('Assets'!$P$4:$P$503,_calc!$E$356)))</f>
        <v/>
      </c>
      <c r="K354" s="44">
        <f>IF(_calc!$E$356="","",IF(LEN(INDEX('Assets'!$N$4:$N$503,_calc!$E$356))=0,"",INDEX('Assets'!$N$4:$N$503,_calc!$E$356)))</f>
        <v/>
      </c>
    </row>
    <row r="355">
      <c r="A355" s="44">
        <f>IF(_calc!$E$357="","",IF(LEN(INDEX('Assets'!$D$4:$D$503,_calc!$E$357))=0,"",INDEX('Assets'!$D$4:$D$503,_calc!$E$357))&amp;" – "&amp;IF(LEN(INDEX('Assets'!$A$4:$A$503,_calc!$E$357))=0,"",INDEX('Assets'!$A$4:$A$503,_calc!$E$357)))</f>
        <v/>
      </c>
      <c r="B355" s="44">
        <f>IF(_calc!$E$357="","",IF(ISNUMBER(INDEX('Assets'!$G$4:$G$503,_calc!$E$357)),TEXT(INDEX('Assets'!$G$4:$G$503,_calc!$E$357),"yyyy-mm-dd"),""))</f>
        <v/>
      </c>
      <c r="C355" s="44">
        <f>IF(_calc!$E$357="","","Inspection")</f>
        <v/>
      </c>
      <c r="D355" s="44">
        <f>IF(_calc!$E$357="","",IF(ISNUMBER(INDEX('Assets'!$F$4:$F$503,_calc!$E$357)),TEXT(INDEX('Assets'!$F$4:$F$503,_calc!$E$357),"yyyy-mm-dd"),""))</f>
        <v/>
      </c>
      <c r="E355" s="44">
        <f>IF(_calc!$E$357="","",IF(LEN(INDEX('Assets'!$O$4:$O$503,_calc!$E$357))=0,"",INDEX('Assets'!$O$4:$O$503,_calc!$E$357)))</f>
        <v/>
      </c>
      <c r="F355" s="44">
        <f>IF(_calc!$E$357="","",TRIM(IF(LEN(IF(LEN(INDEX('Assets'!$B$4:$B$503,_calc!$E$357))=0,"",INDEX('Assets'!$B$4:$B$503,_calc!$E$357)))=0,"","Asset ID: "&amp;IF(LEN(INDEX('Assets'!$B$4:$B$503,_calc!$E$357))=0,"",INDEX('Assets'!$B$4:$B$503,_calc!$E$357))&amp;". ")&amp;IF(LEN(IF(LEN(INDEX('Assets'!$C$4:$C$503,_calc!$E$357))=0,"",INDEX('Assets'!$C$4:$C$503,_calc!$E$357)))=0,"","Location: "&amp;IF(LEN(INDEX('Assets'!$C$4:$C$503,_calc!$E$357))=0,"",INDEX('Assets'!$C$4:$C$503,_calc!$E$357))&amp;". ")&amp;IF(LEN(IF(LEN(INDEX('Assets'!$E$4:$E$503,_calc!$E$357))=0,"",INDEX('Assets'!$E$4:$E$503,_calc!$E$357)))=0,"","Every (months): "&amp;IF(LEN(INDEX('Assets'!$E$4:$E$503,_calc!$E$357))=0,"",INDEX('Assets'!$E$4:$E$503,_calc!$E$357))&amp;". ")&amp;IF(LEN(IF(LEN(INDEX('Assets'!$M$4:$M$503,_calc!$E$357))=0,"",INDEX('Assets'!$M$4:$M$503,_calc!$E$357)))=0,"","Last result: "&amp;IF(LEN(INDEX('Assets'!$M$4:$M$503,_calc!$E$357))=0,"",INDEX('Assets'!$M$4:$M$503,_calc!$E$357))&amp;". ")&amp;IF(LEN(IF(LEN(INDEX('Assets'!$Q$4:$Q$503,_calc!$E$357))=0,"",INDEX('Assets'!$Q$4:$Q$503,_calc!$E$357)))=0,"",IF(LEN(INDEX('Assets'!$Q$4:$Q$503,_calc!$E$357))=0,"",INDEX('Assets'!$Q$4:$Q$503,_calc!$E$357)))))</f>
        <v/>
      </c>
      <c r="G355" s="44">
        <f>IF(_calc!$E$357="","",IF(LEN(INDEX('Assets'!$P$4:$P$503,_calc!$E$357))=0,"",INDEX('Assets'!$P$4:$P$503,_calc!$E$357)))</f>
        <v/>
      </c>
      <c r="K355" s="44">
        <f>IF(_calc!$E$357="","",IF(LEN(INDEX('Assets'!$N$4:$N$503,_calc!$E$357))=0,"",INDEX('Assets'!$N$4:$N$503,_calc!$E$357)))</f>
        <v/>
      </c>
    </row>
    <row r="356">
      <c r="A356" s="44">
        <f>IF(_calc!$E$358="","",IF(LEN(INDEX('Assets'!$D$4:$D$503,_calc!$E$358))=0,"",INDEX('Assets'!$D$4:$D$503,_calc!$E$358))&amp;" – "&amp;IF(LEN(INDEX('Assets'!$A$4:$A$503,_calc!$E$358))=0,"",INDEX('Assets'!$A$4:$A$503,_calc!$E$358)))</f>
        <v/>
      </c>
      <c r="B356" s="44">
        <f>IF(_calc!$E$358="","",IF(ISNUMBER(INDEX('Assets'!$G$4:$G$503,_calc!$E$358)),TEXT(INDEX('Assets'!$G$4:$G$503,_calc!$E$358),"yyyy-mm-dd"),""))</f>
        <v/>
      </c>
      <c r="C356" s="44">
        <f>IF(_calc!$E$358="","","Inspection")</f>
        <v/>
      </c>
      <c r="D356" s="44">
        <f>IF(_calc!$E$358="","",IF(ISNUMBER(INDEX('Assets'!$F$4:$F$503,_calc!$E$358)),TEXT(INDEX('Assets'!$F$4:$F$503,_calc!$E$358),"yyyy-mm-dd"),""))</f>
        <v/>
      </c>
      <c r="E356" s="44">
        <f>IF(_calc!$E$358="","",IF(LEN(INDEX('Assets'!$O$4:$O$503,_calc!$E$358))=0,"",INDEX('Assets'!$O$4:$O$503,_calc!$E$358)))</f>
        <v/>
      </c>
      <c r="F356" s="44">
        <f>IF(_calc!$E$358="","",TRIM(IF(LEN(IF(LEN(INDEX('Assets'!$B$4:$B$503,_calc!$E$358))=0,"",INDEX('Assets'!$B$4:$B$503,_calc!$E$358)))=0,"","Asset ID: "&amp;IF(LEN(INDEX('Assets'!$B$4:$B$503,_calc!$E$358))=0,"",INDEX('Assets'!$B$4:$B$503,_calc!$E$358))&amp;". ")&amp;IF(LEN(IF(LEN(INDEX('Assets'!$C$4:$C$503,_calc!$E$358))=0,"",INDEX('Assets'!$C$4:$C$503,_calc!$E$358)))=0,"","Location: "&amp;IF(LEN(INDEX('Assets'!$C$4:$C$503,_calc!$E$358))=0,"",INDEX('Assets'!$C$4:$C$503,_calc!$E$358))&amp;". ")&amp;IF(LEN(IF(LEN(INDEX('Assets'!$E$4:$E$503,_calc!$E$358))=0,"",INDEX('Assets'!$E$4:$E$503,_calc!$E$358)))=0,"","Every (months): "&amp;IF(LEN(INDEX('Assets'!$E$4:$E$503,_calc!$E$358))=0,"",INDEX('Assets'!$E$4:$E$503,_calc!$E$358))&amp;". ")&amp;IF(LEN(IF(LEN(INDEX('Assets'!$M$4:$M$503,_calc!$E$358))=0,"",INDEX('Assets'!$M$4:$M$503,_calc!$E$358)))=0,"","Last result: "&amp;IF(LEN(INDEX('Assets'!$M$4:$M$503,_calc!$E$358))=0,"",INDEX('Assets'!$M$4:$M$503,_calc!$E$358))&amp;". ")&amp;IF(LEN(IF(LEN(INDEX('Assets'!$Q$4:$Q$503,_calc!$E$358))=0,"",INDEX('Assets'!$Q$4:$Q$503,_calc!$E$358)))=0,"",IF(LEN(INDEX('Assets'!$Q$4:$Q$503,_calc!$E$358))=0,"",INDEX('Assets'!$Q$4:$Q$503,_calc!$E$358)))))</f>
        <v/>
      </c>
      <c r="G356" s="44">
        <f>IF(_calc!$E$358="","",IF(LEN(INDEX('Assets'!$P$4:$P$503,_calc!$E$358))=0,"",INDEX('Assets'!$P$4:$P$503,_calc!$E$358)))</f>
        <v/>
      </c>
      <c r="K356" s="44">
        <f>IF(_calc!$E$358="","",IF(LEN(INDEX('Assets'!$N$4:$N$503,_calc!$E$358))=0,"",INDEX('Assets'!$N$4:$N$503,_calc!$E$358)))</f>
        <v/>
      </c>
    </row>
    <row r="357">
      <c r="A357" s="44">
        <f>IF(_calc!$E$359="","",IF(LEN(INDEX('Assets'!$D$4:$D$503,_calc!$E$359))=0,"",INDEX('Assets'!$D$4:$D$503,_calc!$E$359))&amp;" – "&amp;IF(LEN(INDEX('Assets'!$A$4:$A$503,_calc!$E$359))=0,"",INDEX('Assets'!$A$4:$A$503,_calc!$E$359)))</f>
        <v/>
      </c>
      <c r="B357" s="44">
        <f>IF(_calc!$E$359="","",IF(ISNUMBER(INDEX('Assets'!$G$4:$G$503,_calc!$E$359)),TEXT(INDEX('Assets'!$G$4:$G$503,_calc!$E$359),"yyyy-mm-dd"),""))</f>
        <v/>
      </c>
      <c r="C357" s="44">
        <f>IF(_calc!$E$359="","","Inspection")</f>
        <v/>
      </c>
      <c r="D357" s="44">
        <f>IF(_calc!$E$359="","",IF(ISNUMBER(INDEX('Assets'!$F$4:$F$503,_calc!$E$359)),TEXT(INDEX('Assets'!$F$4:$F$503,_calc!$E$359),"yyyy-mm-dd"),""))</f>
        <v/>
      </c>
      <c r="E357" s="44">
        <f>IF(_calc!$E$359="","",IF(LEN(INDEX('Assets'!$O$4:$O$503,_calc!$E$359))=0,"",INDEX('Assets'!$O$4:$O$503,_calc!$E$359)))</f>
        <v/>
      </c>
      <c r="F357" s="44">
        <f>IF(_calc!$E$359="","",TRIM(IF(LEN(IF(LEN(INDEX('Assets'!$B$4:$B$503,_calc!$E$359))=0,"",INDEX('Assets'!$B$4:$B$503,_calc!$E$359)))=0,"","Asset ID: "&amp;IF(LEN(INDEX('Assets'!$B$4:$B$503,_calc!$E$359))=0,"",INDEX('Assets'!$B$4:$B$503,_calc!$E$359))&amp;". ")&amp;IF(LEN(IF(LEN(INDEX('Assets'!$C$4:$C$503,_calc!$E$359))=0,"",INDEX('Assets'!$C$4:$C$503,_calc!$E$359)))=0,"","Location: "&amp;IF(LEN(INDEX('Assets'!$C$4:$C$503,_calc!$E$359))=0,"",INDEX('Assets'!$C$4:$C$503,_calc!$E$359))&amp;". ")&amp;IF(LEN(IF(LEN(INDEX('Assets'!$E$4:$E$503,_calc!$E$359))=0,"",INDEX('Assets'!$E$4:$E$503,_calc!$E$359)))=0,"","Every (months): "&amp;IF(LEN(INDEX('Assets'!$E$4:$E$503,_calc!$E$359))=0,"",INDEX('Assets'!$E$4:$E$503,_calc!$E$359))&amp;". ")&amp;IF(LEN(IF(LEN(INDEX('Assets'!$M$4:$M$503,_calc!$E$359))=0,"",INDEX('Assets'!$M$4:$M$503,_calc!$E$359)))=0,"","Last result: "&amp;IF(LEN(INDEX('Assets'!$M$4:$M$503,_calc!$E$359))=0,"",INDEX('Assets'!$M$4:$M$503,_calc!$E$359))&amp;". ")&amp;IF(LEN(IF(LEN(INDEX('Assets'!$Q$4:$Q$503,_calc!$E$359))=0,"",INDEX('Assets'!$Q$4:$Q$503,_calc!$E$359)))=0,"",IF(LEN(INDEX('Assets'!$Q$4:$Q$503,_calc!$E$359))=0,"",INDEX('Assets'!$Q$4:$Q$503,_calc!$E$359)))))</f>
        <v/>
      </c>
      <c r="G357" s="44">
        <f>IF(_calc!$E$359="","",IF(LEN(INDEX('Assets'!$P$4:$P$503,_calc!$E$359))=0,"",INDEX('Assets'!$P$4:$P$503,_calc!$E$359)))</f>
        <v/>
      </c>
      <c r="K357" s="44">
        <f>IF(_calc!$E$359="","",IF(LEN(INDEX('Assets'!$N$4:$N$503,_calc!$E$359))=0,"",INDEX('Assets'!$N$4:$N$503,_calc!$E$359)))</f>
        <v/>
      </c>
    </row>
    <row r="358">
      <c r="A358" s="44">
        <f>IF(_calc!$E$360="","",IF(LEN(INDEX('Assets'!$D$4:$D$503,_calc!$E$360))=0,"",INDEX('Assets'!$D$4:$D$503,_calc!$E$360))&amp;" – "&amp;IF(LEN(INDEX('Assets'!$A$4:$A$503,_calc!$E$360))=0,"",INDEX('Assets'!$A$4:$A$503,_calc!$E$360)))</f>
        <v/>
      </c>
      <c r="B358" s="44">
        <f>IF(_calc!$E$360="","",IF(ISNUMBER(INDEX('Assets'!$G$4:$G$503,_calc!$E$360)),TEXT(INDEX('Assets'!$G$4:$G$503,_calc!$E$360),"yyyy-mm-dd"),""))</f>
        <v/>
      </c>
      <c r="C358" s="44">
        <f>IF(_calc!$E$360="","","Inspection")</f>
        <v/>
      </c>
      <c r="D358" s="44">
        <f>IF(_calc!$E$360="","",IF(ISNUMBER(INDEX('Assets'!$F$4:$F$503,_calc!$E$360)),TEXT(INDEX('Assets'!$F$4:$F$503,_calc!$E$360),"yyyy-mm-dd"),""))</f>
        <v/>
      </c>
      <c r="E358" s="44">
        <f>IF(_calc!$E$360="","",IF(LEN(INDEX('Assets'!$O$4:$O$503,_calc!$E$360))=0,"",INDEX('Assets'!$O$4:$O$503,_calc!$E$360)))</f>
        <v/>
      </c>
      <c r="F358" s="44">
        <f>IF(_calc!$E$360="","",TRIM(IF(LEN(IF(LEN(INDEX('Assets'!$B$4:$B$503,_calc!$E$360))=0,"",INDEX('Assets'!$B$4:$B$503,_calc!$E$360)))=0,"","Asset ID: "&amp;IF(LEN(INDEX('Assets'!$B$4:$B$503,_calc!$E$360))=0,"",INDEX('Assets'!$B$4:$B$503,_calc!$E$360))&amp;". ")&amp;IF(LEN(IF(LEN(INDEX('Assets'!$C$4:$C$503,_calc!$E$360))=0,"",INDEX('Assets'!$C$4:$C$503,_calc!$E$360)))=0,"","Location: "&amp;IF(LEN(INDEX('Assets'!$C$4:$C$503,_calc!$E$360))=0,"",INDEX('Assets'!$C$4:$C$503,_calc!$E$360))&amp;". ")&amp;IF(LEN(IF(LEN(INDEX('Assets'!$E$4:$E$503,_calc!$E$360))=0,"",INDEX('Assets'!$E$4:$E$503,_calc!$E$360)))=0,"","Every (months): "&amp;IF(LEN(INDEX('Assets'!$E$4:$E$503,_calc!$E$360))=0,"",INDEX('Assets'!$E$4:$E$503,_calc!$E$360))&amp;". ")&amp;IF(LEN(IF(LEN(INDEX('Assets'!$M$4:$M$503,_calc!$E$360))=0,"",INDEX('Assets'!$M$4:$M$503,_calc!$E$360)))=0,"","Last result: "&amp;IF(LEN(INDEX('Assets'!$M$4:$M$503,_calc!$E$360))=0,"",INDEX('Assets'!$M$4:$M$503,_calc!$E$360))&amp;". ")&amp;IF(LEN(IF(LEN(INDEX('Assets'!$Q$4:$Q$503,_calc!$E$360))=0,"",INDEX('Assets'!$Q$4:$Q$503,_calc!$E$360)))=0,"",IF(LEN(INDEX('Assets'!$Q$4:$Q$503,_calc!$E$360))=0,"",INDEX('Assets'!$Q$4:$Q$503,_calc!$E$360)))))</f>
        <v/>
      </c>
      <c r="G358" s="44">
        <f>IF(_calc!$E$360="","",IF(LEN(INDEX('Assets'!$P$4:$P$503,_calc!$E$360))=0,"",INDEX('Assets'!$P$4:$P$503,_calc!$E$360)))</f>
        <v/>
      </c>
      <c r="K358" s="44">
        <f>IF(_calc!$E$360="","",IF(LEN(INDEX('Assets'!$N$4:$N$503,_calc!$E$360))=0,"",INDEX('Assets'!$N$4:$N$503,_calc!$E$360)))</f>
        <v/>
      </c>
    </row>
    <row r="359">
      <c r="A359" s="44">
        <f>IF(_calc!$E$361="","",IF(LEN(INDEX('Assets'!$D$4:$D$503,_calc!$E$361))=0,"",INDEX('Assets'!$D$4:$D$503,_calc!$E$361))&amp;" – "&amp;IF(LEN(INDEX('Assets'!$A$4:$A$503,_calc!$E$361))=0,"",INDEX('Assets'!$A$4:$A$503,_calc!$E$361)))</f>
        <v/>
      </c>
      <c r="B359" s="44">
        <f>IF(_calc!$E$361="","",IF(ISNUMBER(INDEX('Assets'!$G$4:$G$503,_calc!$E$361)),TEXT(INDEX('Assets'!$G$4:$G$503,_calc!$E$361),"yyyy-mm-dd"),""))</f>
        <v/>
      </c>
      <c r="C359" s="44">
        <f>IF(_calc!$E$361="","","Inspection")</f>
        <v/>
      </c>
      <c r="D359" s="44">
        <f>IF(_calc!$E$361="","",IF(ISNUMBER(INDEX('Assets'!$F$4:$F$503,_calc!$E$361)),TEXT(INDEX('Assets'!$F$4:$F$503,_calc!$E$361),"yyyy-mm-dd"),""))</f>
        <v/>
      </c>
      <c r="E359" s="44">
        <f>IF(_calc!$E$361="","",IF(LEN(INDEX('Assets'!$O$4:$O$503,_calc!$E$361))=0,"",INDEX('Assets'!$O$4:$O$503,_calc!$E$361)))</f>
        <v/>
      </c>
      <c r="F359" s="44">
        <f>IF(_calc!$E$361="","",TRIM(IF(LEN(IF(LEN(INDEX('Assets'!$B$4:$B$503,_calc!$E$361))=0,"",INDEX('Assets'!$B$4:$B$503,_calc!$E$361)))=0,"","Asset ID: "&amp;IF(LEN(INDEX('Assets'!$B$4:$B$503,_calc!$E$361))=0,"",INDEX('Assets'!$B$4:$B$503,_calc!$E$361))&amp;". ")&amp;IF(LEN(IF(LEN(INDEX('Assets'!$C$4:$C$503,_calc!$E$361))=0,"",INDEX('Assets'!$C$4:$C$503,_calc!$E$361)))=0,"","Location: "&amp;IF(LEN(INDEX('Assets'!$C$4:$C$503,_calc!$E$361))=0,"",INDEX('Assets'!$C$4:$C$503,_calc!$E$361))&amp;". ")&amp;IF(LEN(IF(LEN(INDEX('Assets'!$E$4:$E$503,_calc!$E$361))=0,"",INDEX('Assets'!$E$4:$E$503,_calc!$E$361)))=0,"","Every (months): "&amp;IF(LEN(INDEX('Assets'!$E$4:$E$503,_calc!$E$361))=0,"",INDEX('Assets'!$E$4:$E$503,_calc!$E$361))&amp;". ")&amp;IF(LEN(IF(LEN(INDEX('Assets'!$M$4:$M$503,_calc!$E$361))=0,"",INDEX('Assets'!$M$4:$M$503,_calc!$E$361)))=0,"","Last result: "&amp;IF(LEN(INDEX('Assets'!$M$4:$M$503,_calc!$E$361))=0,"",INDEX('Assets'!$M$4:$M$503,_calc!$E$361))&amp;". ")&amp;IF(LEN(IF(LEN(INDEX('Assets'!$Q$4:$Q$503,_calc!$E$361))=0,"",INDEX('Assets'!$Q$4:$Q$503,_calc!$E$361)))=0,"",IF(LEN(INDEX('Assets'!$Q$4:$Q$503,_calc!$E$361))=0,"",INDEX('Assets'!$Q$4:$Q$503,_calc!$E$361)))))</f>
        <v/>
      </c>
      <c r="G359" s="44">
        <f>IF(_calc!$E$361="","",IF(LEN(INDEX('Assets'!$P$4:$P$503,_calc!$E$361))=0,"",INDEX('Assets'!$P$4:$P$503,_calc!$E$361)))</f>
        <v/>
      </c>
      <c r="K359" s="44">
        <f>IF(_calc!$E$361="","",IF(LEN(INDEX('Assets'!$N$4:$N$503,_calc!$E$361))=0,"",INDEX('Assets'!$N$4:$N$503,_calc!$E$361)))</f>
        <v/>
      </c>
    </row>
    <row r="360">
      <c r="A360" s="44">
        <f>IF(_calc!$E$362="","",IF(LEN(INDEX('Assets'!$D$4:$D$503,_calc!$E$362))=0,"",INDEX('Assets'!$D$4:$D$503,_calc!$E$362))&amp;" – "&amp;IF(LEN(INDEX('Assets'!$A$4:$A$503,_calc!$E$362))=0,"",INDEX('Assets'!$A$4:$A$503,_calc!$E$362)))</f>
        <v/>
      </c>
      <c r="B360" s="44">
        <f>IF(_calc!$E$362="","",IF(ISNUMBER(INDEX('Assets'!$G$4:$G$503,_calc!$E$362)),TEXT(INDEX('Assets'!$G$4:$G$503,_calc!$E$362),"yyyy-mm-dd"),""))</f>
        <v/>
      </c>
      <c r="C360" s="44">
        <f>IF(_calc!$E$362="","","Inspection")</f>
        <v/>
      </c>
      <c r="D360" s="44">
        <f>IF(_calc!$E$362="","",IF(ISNUMBER(INDEX('Assets'!$F$4:$F$503,_calc!$E$362)),TEXT(INDEX('Assets'!$F$4:$F$503,_calc!$E$362),"yyyy-mm-dd"),""))</f>
        <v/>
      </c>
      <c r="E360" s="44">
        <f>IF(_calc!$E$362="","",IF(LEN(INDEX('Assets'!$O$4:$O$503,_calc!$E$362))=0,"",INDEX('Assets'!$O$4:$O$503,_calc!$E$362)))</f>
        <v/>
      </c>
      <c r="F360" s="44">
        <f>IF(_calc!$E$362="","",TRIM(IF(LEN(IF(LEN(INDEX('Assets'!$B$4:$B$503,_calc!$E$362))=0,"",INDEX('Assets'!$B$4:$B$503,_calc!$E$362)))=0,"","Asset ID: "&amp;IF(LEN(INDEX('Assets'!$B$4:$B$503,_calc!$E$362))=0,"",INDEX('Assets'!$B$4:$B$503,_calc!$E$362))&amp;". ")&amp;IF(LEN(IF(LEN(INDEX('Assets'!$C$4:$C$503,_calc!$E$362))=0,"",INDEX('Assets'!$C$4:$C$503,_calc!$E$362)))=0,"","Location: "&amp;IF(LEN(INDEX('Assets'!$C$4:$C$503,_calc!$E$362))=0,"",INDEX('Assets'!$C$4:$C$503,_calc!$E$362))&amp;". ")&amp;IF(LEN(IF(LEN(INDEX('Assets'!$E$4:$E$503,_calc!$E$362))=0,"",INDEX('Assets'!$E$4:$E$503,_calc!$E$362)))=0,"","Every (months): "&amp;IF(LEN(INDEX('Assets'!$E$4:$E$503,_calc!$E$362))=0,"",INDEX('Assets'!$E$4:$E$503,_calc!$E$362))&amp;". ")&amp;IF(LEN(IF(LEN(INDEX('Assets'!$M$4:$M$503,_calc!$E$362))=0,"",INDEX('Assets'!$M$4:$M$503,_calc!$E$362)))=0,"","Last result: "&amp;IF(LEN(INDEX('Assets'!$M$4:$M$503,_calc!$E$362))=0,"",INDEX('Assets'!$M$4:$M$503,_calc!$E$362))&amp;". ")&amp;IF(LEN(IF(LEN(INDEX('Assets'!$Q$4:$Q$503,_calc!$E$362))=0,"",INDEX('Assets'!$Q$4:$Q$503,_calc!$E$362)))=0,"",IF(LEN(INDEX('Assets'!$Q$4:$Q$503,_calc!$E$362))=0,"",INDEX('Assets'!$Q$4:$Q$503,_calc!$E$362)))))</f>
        <v/>
      </c>
      <c r="G360" s="44">
        <f>IF(_calc!$E$362="","",IF(LEN(INDEX('Assets'!$P$4:$P$503,_calc!$E$362))=0,"",INDEX('Assets'!$P$4:$P$503,_calc!$E$362)))</f>
        <v/>
      </c>
      <c r="K360" s="44">
        <f>IF(_calc!$E$362="","",IF(LEN(INDEX('Assets'!$N$4:$N$503,_calc!$E$362))=0,"",INDEX('Assets'!$N$4:$N$503,_calc!$E$362)))</f>
        <v/>
      </c>
    </row>
    <row r="361">
      <c r="A361" s="44">
        <f>IF(_calc!$E$363="","",IF(LEN(INDEX('Assets'!$D$4:$D$503,_calc!$E$363))=0,"",INDEX('Assets'!$D$4:$D$503,_calc!$E$363))&amp;" – "&amp;IF(LEN(INDEX('Assets'!$A$4:$A$503,_calc!$E$363))=0,"",INDEX('Assets'!$A$4:$A$503,_calc!$E$363)))</f>
        <v/>
      </c>
      <c r="B361" s="44">
        <f>IF(_calc!$E$363="","",IF(ISNUMBER(INDEX('Assets'!$G$4:$G$503,_calc!$E$363)),TEXT(INDEX('Assets'!$G$4:$G$503,_calc!$E$363),"yyyy-mm-dd"),""))</f>
        <v/>
      </c>
      <c r="C361" s="44">
        <f>IF(_calc!$E$363="","","Inspection")</f>
        <v/>
      </c>
      <c r="D361" s="44">
        <f>IF(_calc!$E$363="","",IF(ISNUMBER(INDEX('Assets'!$F$4:$F$503,_calc!$E$363)),TEXT(INDEX('Assets'!$F$4:$F$503,_calc!$E$363),"yyyy-mm-dd"),""))</f>
        <v/>
      </c>
      <c r="E361" s="44">
        <f>IF(_calc!$E$363="","",IF(LEN(INDEX('Assets'!$O$4:$O$503,_calc!$E$363))=0,"",INDEX('Assets'!$O$4:$O$503,_calc!$E$363)))</f>
        <v/>
      </c>
      <c r="F361" s="44">
        <f>IF(_calc!$E$363="","",TRIM(IF(LEN(IF(LEN(INDEX('Assets'!$B$4:$B$503,_calc!$E$363))=0,"",INDEX('Assets'!$B$4:$B$503,_calc!$E$363)))=0,"","Asset ID: "&amp;IF(LEN(INDEX('Assets'!$B$4:$B$503,_calc!$E$363))=0,"",INDEX('Assets'!$B$4:$B$503,_calc!$E$363))&amp;". ")&amp;IF(LEN(IF(LEN(INDEX('Assets'!$C$4:$C$503,_calc!$E$363))=0,"",INDEX('Assets'!$C$4:$C$503,_calc!$E$363)))=0,"","Location: "&amp;IF(LEN(INDEX('Assets'!$C$4:$C$503,_calc!$E$363))=0,"",INDEX('Assets'!$C$4:$C$503,_calc!$E$363))&amp;". ")&amp;IF(LEN(IF(LEN(INDEX('Assets'!$E$4:$E$503,_calc!$E$363))=0,"",INDEX('Assets'!$E$4:$E$503,_calc!$E$363)))=0,"","Every (months): "&amp;IF(LEN(INDEX('Assets'!$E$4:$E$503,_calc!$E$363))=0,"",INDEX('Assets'!$E$4:$E$503,_calc!$E$363))&amp;". ")&amp;IF(LEN(IF(LEN(INDEX('Assets'!$M$4:$M$503,_calc!$E$363))=0,"",INDEX('Assets'!$M$4:$M$503,_calc!$E$363)))=0,"","Last result: "&amp;IF(LEN(INDEX('Assets'!$M$4:$M$503,_calc!$E$363))=0,"",INDEX('Assets'!$M$4:$M$503,_calc!$E$363))&amp;". ")&amp;IF(LEN(IF(LEN(INDEX('Assets'!$Q$4:$Q$503,_calc!$E$363))=0,"",INDEX('Assets'!$Q$4:$Q$503,_calc!$E$363)))=0,"",IF(LEN(INDEX('Assets'!$Q$4:$Q$503,_calc!$E$363))=0,"",INDEX('Assets'!$Q$4:$Q$503,_calc!$E$363)))))</f>
        <v/>
      </c>
      <c r="G361" s="44">
        <f>IF(_calc!$E$363="","",IF(LEN(INDEX('Assets'!$P$4:$P$503,_calc!$E$363))=0,"",INDEX('Assets'!$P$4:$P$503,_calc!$E$363)))</f>
        <v/>
      </c>
      <c r="K361" s="44">
        <f>IF(_calc!$E$363="","",IF(LEN(INDEX('Assets'!$N$4:$N$503,_calc!$E$363))=0,"",INDEX('Assets'!$N$4:$N$503,_calc!$E$363)))</f>
        <v/>
      </c>
    </row>
    <row r="362">
      <c r="A362" s="44">
        <f>IF(_calc!$E$364="","",IF(LEN(INDEX('Assets'!$D$4:$D$503,_calc!$E$364))=0,"",INDEX('Assets'!$D$4:$D$503,_calc!$E$364))&amp;" – "&amp;IF(LEN(INDEX('Assets'!$A$4:$A$503,_calc!$E$364))=0,"",INDEX('Assets'!$A$4:$A$503,_calc!$E$364)))</f>
        <v/>
      </c>
      <c r="B362" s="44">
        <f>IF(_calc!$E$364="","",IF(ISNUMBER(INDEX('Assets'!$G$4:$G$503,_calc!$E$364)),TEXT(INDEX('Assets'!$G$4:$G$503,_calc!$E$364),"yyyy-mm-dd"),""))</f>
        <v/>
      </c>
      <c r="C362" s="44">
        <f>IF(_calc!$E$364="","","Inspection")</f>
        <v/>
      </c>
      <c r="D362" s="44">
        <f>IF(_calc!$E$364="","",IF(ISNUMBER(INDEX('Assets'!$F$4:$F$503,_calc!$E$364)),TEXT(INDEX('Assets'!$F$4:$F$503,_calc!$E$364),"yyyy-mm-dd"),""))</f>
        <v/>
      </c>
      <c r="E362" s="44">
        <f>IF(_calc!$E$364="","",IF(LEN(INDEX('Assets'!$O$4:$O$503,_calc!$E$364))=0,"",INDEX('Assets'!$O$4:$O$503,_calc!$E$364)))</f>
        <v/>
      </c>
      <c r="F362" s="44">
        <f>IF(_calc!$E$364="","",TRIM(IF(LEN(IF(LEN(INDEX('Assets'!$B$4:$B$503,_calc!$E$364))=0,"",INDEX('Assets'!$B$4:$B$503,_calc!$E$364)))=0,"","Asset ID: "&amp;IF(LEN(INDEX('Assets'!$B$4:$B$503,_calc!$E$364))=0,"",INDEX('Assets'!$B$4:$B$503,_calc!$E$364))&amp;". ")&amp;IF(LEN(IF(LEN(INDEX('Assets'!$C$4:$C$503,_calc!$E$364))=0,"",INDEX('Assets'!$C$4:$C$503,_calc!$E$364)))=0,"","Location: "&amp;IF(LEN(INDEX('Assets'!$C$4:$C$503,_calc!$E$364))=0,"",INDEX('Assets'!$C$4:$C$503,_calc!$E$364))&amp;". ")&amp;IF(LEN(IF(LEN(INDEX('Assets'!$E$4:$E$503,_calc!$E$364))=0,"",INDEX('Assets'!$E$4:$E$503,_calc!$E$364)))=0,"","Every (months): "&amp;IF(LEN(INDEX('Assets'!$E$4:$E$503,_calc!$E$364))=0,"",INDEX('Assets'!$E$4:$E$503,_calc!$E$364))&amp;". ")&amp;IF(LEN(IF(LEN(INDEX('Assets'!$M$4:$M$503,_calc!$E$364))=0,"",INDEX('Assets'!$M$4:$M$503,_calc!$E$364)))=0,"","Last result: "&amp;IF(LEN(INDEX('Assets'!$M$4:$M$503,_calc!$E$364))=0,"",INDEX('Assets'!$M$4:$M$503,_calc!$E$364))&amp;". ")&amp;IF(LEN(IF(LEN(INDEX('Assets'!$Q$4:$Q$503,_calc!$E$364))=0,"",INDEX('Assets'!$Q$4:$Q$503,_calc!$E$364)))=0,"",IF(LEN(INDEX('Assets'!$Q$4:$Q$503,_calc!$E$364))=0,"",INDEX('Assets'!$Q$4:$Q$503,_calc!$E$364)))))</f>
        <v/>
      </c>
      <c r="G362" s="44">
        <f>IF(_calc!$E$364="","",IF(LEN(INDEX('Assets'!$P$4:$P$503,_calc!$E$364))=0,"",INDEX('Assets'!$P$4:$P$503,_calc!$E$364)))</f>
        <v/>
      </c>
      <c r="K362" s="44">
        <f>IF(_calc!$E$364="","",IF(LEN(INDEX('Assets'!$N$4:$N$503,_calc!$E$364))=0,"",INDEX('Assets'!$N$4:$N$503,_calc!$E$364)))</f>
        <v/>
      </c>
    </row>
    <row r="363">
      <c r="A363" s="44">
        <f>IF(_calc!$E$365="","",IF(LEN(INDEX('Assets'!$D$4:$D$503,_calc!$E$365))=0,"",INDEX('Assets'!$D$4:$D$503,_calc!$E$365))&amp;" – "&amp;IF(LEN(INDEX('Assets'!$A$4:$A$503,_calc!$E$365))=0,"",INDEX('Assets'!$A$4:$A$503,_calc!$E$365)))</f>
        <v/>
      </c>
      <c r="B363" s="44">
        <f>IF(_calc!$E$365="","",IF(ISNUMBER(INDEX('Assets'!$G$4:$G$503,_calc!$E$365)),TEXT(INDEX('Assets'!$G$4:$G$503,_calc!$E$365),"yyyy-mm-dd"),""))</f>
        <v/>
      </c>
      <c r="C363" s="44">
        <f>IF(_calc!$E$365="","","Inspection")</f>
        <v/>
      </c>
      <c r="D363" s="44">
        <f>IF(_calc!$E$365="","",IF(ISNUMBER(INDEX('Assets'!$F$4:$F$503,_calc!$E$365)),TEXT(INDEX('Assets'!$F$4:$F$503,_calc!$E$365),"yyyy-mm-dd"),""))</f>
        <v/>
      </c>
      <c r="E363" s="44">
        <f>IF(_calc!$E$365="","",IF(LEN(INDEX('Assets'!$O$4:$O$503,_calc!$E$365))=0,"",INDEX('Assets'!$O$4:$O$503,_calc!$E$365)))</f>
        <v/>
      </c>
      <c r="F363" s="44">
        <f>IF(_calc!$E$365="","",TRIM(IF(LEN(IF(LEN(INDEX('Assets'!$B$4:$B$503,_calc!$E$365))=0,"",INDEX('Assets'!$B$4:$B$503,_calc!$E$365)))=0,"","Asset ID: "&amp;IF(LEN(INDEX('Assets'!$B$4:$B$503,_calc!$E$365))=0,"",INDEX('Assets'!$B$4:$B$503,_calc!$E$365))&amp;". ")&amp;IF(LEN(IF(LEN(INDEX('Assets'!$C$4:$C$503,_calc!$E$365))=0,"",INDEX('Assets'!$C$4:$C$503,_calc!$E$365)))=0,"","Location: "&amp;IF(LEN(INDEX('Assets'!$C$4:$C$503,_calc!$E$365))=0,"",INDEX('Assets'!$C$4:$C$503,_calc!$E$365))&amp;". ")&amp;IF(LEN(IF(LEN(INDEX('Assets'!$E$4:$E$503,_calc!$E$365))=0,"",INDEX('Assets'!$E$4:$E$503,_calc!$E$365)))=0,"","Every (months): "&amp;IF(LEN(INDEX('Assets'!$E$4:$E$503,_calc!$E$365))=0,"",INDEX('Assets'!$E$4:$E$503,_calc!$E$365))&amp;". ")&amp;IF(LEN(IF(LEN(INDEX('Assets'!$M$4:$M$503,_calc!$E$365))=0,"",INDEX('Assets'!$M$4:$M$503,_calc!$E$365)))=0,"","Last result: "&amp;IF(LEN(INDEX('Assets'!$M$4:$M$503,_calc!$E$365))=0,"",INDEX('Assets'!$M$4:$M$503,_calc!$E$365))&amp;". ")&amp;IF(LEN(IF(LEN(INDEX('Assets'!$Q$4:$Q$503,_calc!$E$365))=0,"",INDEX('Assets'!$Q$4:$Q$503,_calc!$E$365)))=0,"",IF(LEN(INDEX('Assets'!$Q$4:$Q$503,_calc!$E$365))=0,"",INDEX('Assets'!$Q$4:$Q$503,_calc!$E$365)))))</f>
        <v/>
      </c>
      <c r="G363" s="44">
        <f>IF(_calc!$E$365="","",IF(LEN(INDEX('Assets'!$P$4:$P$503,_calc!$E$365))=0,"",INDEX('Assets'!$P$4:$P$503,_calc!$E$365)))</f>
        <v/>
      </c>
      <c r="K363" s="44">
        <f>IF(_calc!$E$365="","",IF(LEN(INDEX('Assets'!$N$4:$N$503,_calc!$E$365))=0,"",INDEX('Assets'!$N$4:$N$503,_calc!$E$365)))</f>
        <v/>
      </c>
    </row>
    <row r="364">
      <c r="A364" s="44">
        <f>IF(_calc!$E$366="","",IF(LEN(INDEX('Assets'!$D$4:$D$503,_calc!$E$366))=0,"",INDEX('Assets'!$D$4:$D$503,_calc!$E$366))&amp;" – "&amp;IF(LEN(INDEX('Assets'!$A$4:$A$503,_calc!$E$366))=0,"",INDEX('Assets'!$A$4:$A$503,_calc!$E$366)))</f>
        <v/>
      </c>
      <c r="B364" s="44">
        <f>IF(_calc!$E$366="","",IF(ISNUMBER(INDEX('Assets'!$G$4:$G$503,_calc!$E$366)),TEXT(INDEX('Assets'!$G$4:$G$503,_calc!$E$366),"yyyy-mm-dd"),""))</f>
        <v/>
      </c>
      <c r="C364" s="44">
        <f>IF(_calc!$E$366="","","Inspection")</f>
        <v/>
      </c>
      <c r="D364" s="44">
        <f>IF(_calc!$E$366="","",IF(ISNUMBER(INDEX('Assets'!$F$4:$F$503,_calc!$E$366)),TEXT(INDEX('Assets'!$F$4:$F$503,_calc!$E$366),"yyyy-mm-dd"),""))</f>
        <v/>
      </c>
      <c r="E364" s="44">
        <f>IF(_calc!$E$366="","",IF(LEN(INDEX('Assets'!$O$4:$O$503,_calc!$E$366))=0,"",INDEX('Assets'!$O$4:$O$503,_calc!$E$366)))</f>
        <v/>
      </c>
      <c r="F364" s="44">
        <f>IF(_calc!$E$366="","",TRIM(IF(LEN(IF(LEN(INDEX('Assets'!$B$4:$B$503,_calc!$E$366))=0,"",INDEX('Assets'!$B$4:$B$503,_calc!$E$366)))=0,"","Asset ID: "&amp;IF(LEN(INDEX('Assets'!$B$4:$B$503,_calc!$E$366))=0,"",INDEX('Assets'!$B$4:$B$503,_calc!$E$366))&amp;". ")&amp;IF(LEN(IF(LEN(INDEX('Assets'!$C$4:$C$503,_calc!$E$366))=0,"",INDEX('Assets'!$C$4:$C$503,_calc!$E$366)))=0,"","Location: "&amp;IF(LEN(INDEX('Assets'!$C$4:$C$503,_calc!$E$366))=0,"",INDEX('Assets'!$C$4:$C$503,_calc!$E$366))&amp;". ")&amp;IF(LEN(IF(LEN(INDEX('Assets'!$E$4:$E$503,_calc!$E$366))=0,"",INDEX('Assets'!$E$4:$E$503,_calc!$E$366)))=0,"","Every (months): "&amp;IF(LEN(INDEX('Assets'!$E$4:$E$503,_calc!$E$366))=0,"",INDEX('Assets'!$E$4:$E$503,_calc!$E$366))&amp;". ")&amp;IF(LEN(IF(LEN(INDEX('Assets'!$M$4:$M$503,_calc!$E$366))=0,"",INDEX('Assets'!$M$4:$M$503,_calc!$E$366)))=0,"","Last result: "&amp;IF(LEN(INDEX('Assets'!$M$4:$M$503,_calc!$E$366))=0,"",INDEX('Assets'!$M$4:$M$503,_calc!$E$366))&amp;". ")&amp;IF(LEN(IF(LEN(INDEX('Assets'!$Q$4:$Q$503,_calc!$E$366))=0,"",INDEX('Assets'!$Q$4:$Q$503,_calc!$E$366)))=0,"",IF(LEN(INDEX('Assets'!$Q$4:$Q$503,_calc!$E$366))=0,"",INDEX('Assets'!$Q$4:$Q$503,_calc!$E$366)))))</f>
        <v/>
      </c>
      <c r="G364" s="44">
        <f>IF(_calc!$E$366="","",IF(LEN(INDEX('Assets'!$P$4:$P$503,_calc!$E$366))=0,"",INDEX('Assets'!$P$4:$P$503,_calc!$E$366)))</f>
        <v/>
      </c>
      <c r="K364" s="44">
        <f>IF(_calc!$E$366="","",IF(LEN(INDEX('Assets'!$N$4:$N$503,_calc!$E$366))=0,"",INDEX('Assets'!$N$4:$N$503,_calc!$E$366)))</f>
        <v/>
      </c>
    </row>
    <row r="365">
      <c r="A365" s="44">
        <f>IF(_calc!$E$367="","",IF(LEN(INDEX('Assets'!$D$4:$D$503,_calc!$E$367))=0,"",INDEX('Assets'!$D$4:$D$503,_calc!$E$367))&amp;" – "&amp;IF(LEN(INDEX('Assets'!$A$4:$A$503,_calc!$E$367))=0,"",INDEX('Assets'!$A$4:$A$503,_calc!$E$367)))</f>
        <v/>
      </c>
      <c r="B365" s="44">
        <f>IF(_calc!$E$367="","",IF(ISNUMBER(INDEX('Assets'!$G$4:$G$503,_calc!$E$367)),TEXT(INDEX('Assets'!$G$4:$G$503,_calc!$E$367),"yyyy-mm-dd"),""))</f>
        <v/>
      </c>
      <c r="C365" s="44">
        <f>IF(_calc!$E$367="","","Inspection")</f>
        <v/>
      </c>
      <c r="D365" s="44">
        <f>IF(_calc!$E$367="","",IF(ISNUMBER(INDEX('Assets'!$F$4:$F$503,_calc!$E$367)),TEXT(INDEX('Assets'!$F$4:$F$503,_calc!$E$367),"yyyy-mm-dd"),""))</f>
        <v/>
      </c>
      <c r="E365" s="44">
        <f>IF(_calc!$E$367="","",IF(LEN(INDEX('Assets'!$O$4:$O$503,_calc!$E$367))=0,"",INDEX('Assets'!$O$4:$O$503,_calc!$E$367)))</f>
        <v/>
      </c>
      <c r="F365" s="44">
        <f>IF(_calc!$E$367="","",TRIM(IF(LEN(IF(LEN(INDEX('Assets'!$B$4:$B$503,_calc!$E$367))=0,"",INDEX('Assets'!$B$4:$B$503,_calc!$E$367)))=0,"","Asset ID: "&amp;IF(LEN(INDEX('Assets'!$B$4:$B$503,_calc!$E$367))=0,"",INDEX('Assets'!$B$4:$B$503,_calc!$E$367))&amp;". ")&amp;IF(LEN(IF(LEN(INDEX('Assets'!$C$4:$C$503,_calc!$E$367))=0,"",INDEX('Assets'!$C$4:$C$503,_calc!$E$367)))=0,"","Location: "&amp;IF(LEN(INDEX('Assets'!$C$4:$C$503,_calc!$E$367))=0,"",INDEX('Assets'!$C$4:$C$503,_calc!$E$367))&amp;". ")&amp;IF(LEN(IF(LEN(INDEX('Assets'!$E$4:$E$503,_calc!$E$367))=0,"",INDEX('Assets'!$E$4:$E$503,_calc!$E$367)))=0,"","Every (months): "&amp;IF(LEN(INDEX('Assets'!$E$4:$E$503,_calc!$E$367))=0,"",INDEX('Assets'!$E$4:$E$503,_calc!$E$367))&amp;". ")&amp;IF(LEN(IF(LEN(INDEX('Assets'!$M$4:$M$503,_calc!$E$367))=0,"",INDEX('Assets'!$M$4:$M$503,_calc!$E$367)))=0,"","Last result: "&amp;IF(LEN(INDEX('Assets'!$M$4:$M$503,_calc!$E$367))=0,"",INDEX('Assets'!$M$4:$M$503,_calc!$E$367))&amp;". ")&amp;IF(LEN(IF(LEN(INDEX('Assets'!$Q$4:$Q$503,_calc!$E$367))=0,"",INDEX('Assets'!$Q$4:$Q$503,_calc!$E$367)))=0,"",IF(LEN(INDEX('Assets'!$Q$4:$Q$503,_calc!$E$367))=0,"",INDEX('Assets'!$Q$4:$Q$503,_calc!$E$367)))))</f>
        <v/>
      </c>
      <c r="G365" s="44">
        <f>IF(_calc!$E$367="","",IF(LEN(INDEX('Assets'!$P$4:$P$503,_calc!$E$367))=0,"",INDEX('Assets'!$P$4:$P$503,_calc!$E$367)))</f>
        <v/>
      </c>
      <c r="K365" s="44">
        <f>IF(_calc!$E$367="","",IF(LEN(INDEX('Assets'!$N$4:$N$503,_calc!$E$367))=0,"",INDEX('Assets'!$N$4:$N$503,_calc!$E$367)))</f>
        <v/>
      </c>
    </row>
    <row r="366">
      <c r="A366" s="44">
        <f>IF(_calc!$E$368="","",IF(LEN(INDEX('Assets'!$D$4:$D$503,_calc!$E$368))=0,"",INDEX('Assets'!$D$4:$D$503,_calc!$E$368))&amp;" – "&amp;IF(LEN(INDEX('Assets'!$A$4:$A$503,_calc!$E$368))=0,"",INDEX('Assets'!$A$4:$A$503,_calc!$E$368)))</f>
        <v/>
      </c>
      <c r="B366" s="44">
        <f>IF(_calc!$E$368="","",IF(ISNUMBER(INDEX('Assets'!$G$4:$G$503,_calc!$E$368)),TEXT(INDEX('Assets'!$G$4:$G$503,_calc!$E$368),"yyyy-mm-dd"),""))</f>
        <v/>
      </c>
      <c r="C366" s="44">
        <f>IF(_calc!$E$368="","","Inspection")</f>
        <v/>
      </c>
      <c r="D366" s="44">
        <f>IF(_calc!$E$368="","",IF(ISNUMBER(INDEX('Assets'!$F$4:$F$503,_calc!$E$368)),TEXT(INDEX('Assets'!$F$4:$F$503,_calc!$E$368),"yyyy-mm-dd"),""))</f>
        <v/>
      </c>
      <c r="E366" s="44">
        <f>IF(_calc!$E$368="","",IF(LEN(INDEX('Assets'!$O$4:$O$503,_calc!$E$368))=0,"",INDEX('Assets'!$O$4:$O$503,_calc!$E$368)))</f>
        <v/>
      </c>
      <c r="F366" s="44">
        <f>IF(_calc!$E$368="","",TRIM(IF(LEN(IF(LEN(INDEX('Assets'!$B$4:$B$503,_calc!$E$368))=0,"",INDEX('Assets'!$B$4:$B$503,_calc!$E$368)))=0,"","Asset ID: "&amp;IF(LEN(INDEX('Assets'!$B$4:$B$503,_calc!$E$368))=0,"",INDEX('Assets'!$B$4:$B$503,_calc!$E$368))&amp;". ")&amp;IF(LEN(IF(LEN(INDEX('Assets'!$C$4:$C$503,_calc!$E$368))=0,"",INDEX('Assets'!$C$4:$C$503,_calc!$E$368)))=0,"","Location: "&amp;IF(LEN(INDEX('Assets'!$C$4:$C$503,_calc!$E$368))=0,"",INDEX('Assets'!$C$4:$C$503,_calc!$E$368))&amp;". ")&amp;IF(LEN(IF(LEN(INDEX('Assets'!$E$4:$E$503,_calc!$E$368))=0,"",INDEX('Assets'!$E$4:$E$503,_calc!$E$368)))=0,"","Every (months): "&amp;IF(LEN(INDEX('Assets'!$E$4:$E$503,_calc!$E$368))=0,"",INDEX('Assets'!$E$4:$E$503,_calc!$E$368))&amp;". ")&amp;IF(LEN(IF(LEN(INDEX('Assets'!$M$4:$M$503,_calc!$E$368))=0,"",INDEX('Assets'!$M$4:$M$503,_calc!$E$368)))=0,"","Last result: "&amp;IF(LEN(INDEX('Assets'!$M$4:$M$503,_calc!$E$368))=0,"",INDEX('Assets'!$M$4:$M$503,_calc!$E$368))&amp;". ")&amp;IF(LEN(IF(LEN(INDEX('Assets'!$Q$4:$Q$503,_calc!$E$368))=0,"",INDEX('Assets'!$Q$4:$Q$503,_calc!$E$368)))=0,"",IF(LEN(INDEX('Assets'!$Q$4:$Q$503,_calc!$E$368))=0,"",INDEX('Assets'!$Q$4:$Q$503,_calc!$E$368)))))</f>
        <v/>
      </c>
      <c r="G366" s="44">
        <f>IF(_calc!$E$368="","",IF(LEN(INDEX('Assets'!$P$4:$P$503,_calc!$E$368))=0,"",INDEX('Assets'!$P$4:$P$503,_calc!$E$368)))</f>
        <v/>
      </c>
      <c r="K366" s="44">
        <f>IF(_calc!$E$368="","",IF(LEN(INDEX('Assets'!$N$4:$N$503,_calc!$E$368))=0,"",INDEX('Assets'!$N$4:$N$503,_calc!$E$368)))</f>
        <v/>
      </c>
    </row>
    <row r="367">
      <c r="A367" s="44">
        <f>IF(_calc!$E$369="","",IF(LEN(INDEX('Assets'!$D$4:$D$503,_calc!$E$369))=0,"",INDEX('Assets'!$D$4:$D$503,_calc!$E$369))&amp;" – "&amp;IF(LEN(INDEX('Assets'!$A$4:$A$503,_calc!$E$369))=0,"",INDEX('Assets'!$A$4:$A$503,_calc!$E$369)))</f>
        <v/>
      </c>
      <c r="B367" s="44">
        <f>IF(_calc!$E$369="","",IF(ISNUMBER(INDEX('Assets'!$G$4:$G$503,_calc!$E$369)),TEXT(INDEX('Assets'!$G$4:$G$503,_calc!$E$369),"yyyy-mm-dd"),""))</f>
        <v/>
      </c>
      <c r="C367" s="44">
        <f>IF(_calc!$E$369="","","Inspection")</f>
        <v/>
      </c>
      <c r="D367" s="44">
        <f>IF(_calc!$E$369="","",IF(ISNUMBER(INDEX('Assets'!$F$4:$F$503,_calc!$E$369)),TEXT(INDEX('Assets'!$F$4:$F$503,_calc!$E$369),"yyyy-mm-dd"),""))</f>
        <v/>
      </c>
      <c r="E367" s="44">
        <f>IF(_calc!$E$369="","",IF(LEN(INDEX('Assets'!$O$4:$O$503,_calc!$E$369))=0,"",INDEX('Assets'!$O$4:$O$503,_calc!$E$369)))</f>
        <v/>
      </c>
      <c r="F367" s="44">
        <f>IF(_calc!$E$369="","",TRIM(IF(LEN(IF(LEN(INDEX('Assets'!$B$4:$B$503,_calc!$E$369))=0,"",INDEX('Assets'!$B$4:$B$503,_calc!$E$369)))=0,"","Asset ID: "&amp;IF(LEN(INDEX('Assets'!$B$4:$B$503,_calc!$E$369))=0,"",INDEX('Assets'!$B$4:$B$503,_calc!$E$369))&amp;". ")&amp;IF(LEN(IF(LEN(INDEX('Assets'!$C$4:$C$503,_calc!$E$369))=0,"",INDEX('Assets'!$C$4:$C$503,_calc!$E$369)))=0,"","Location: "&amp;IF(LEN(INDEX('Assets'!$C$4:$C$503,_calc!$E$369))=0,"",INDEX('Assets'!$C$4:$C$503,_calc!$E$369))&amp;". ")&amp;IF(LEN(IF(LEN(INDEX('Assets'!$E$4:$E$503,_calc!$E$369))=0,"",INDEX('Assets'!$E$4:$E$503,_calc!$E$369)))=0,"","Every (months): "&amp;IF(LEN(INDEX('Assets'!$E$4:$E$503,_calc!$E$369))=0,"",INDEX('Assets'!$E$4:$E$503,_calc!$E$369))&amp;". ")&amp;IF(LEN(IF(LEN(INDEX('Assets'!$M$4:$M$503,_calc!$E$369))=0,"",INDEX('Assets'!$M$4:$M$503,_calc!$E$369)))=0,"","Last result: "&amp;IF(LEN(INDEX('Assets'!$M$4:$M$503,_calc!$E$369))=0,"",INDEX('Assets'!$M$4:$M$503,_calc!$E$369))&amp;". ")&amp;IF(LEN(IF(LEN(INDEX('Assets'!$Q$4:$Q$503,_calc!$E$369))=0,"",INDEX('Assets'!$Q$4:$Q$503,_calc!$E$369)))=0,"",IF(LEN(INDEX('Assets'!$Q$4:$Q$503,_calc!$E$369))=0,"",INDEX('Assets'!$Q$4:$Q$503,_calc!$E$369)))))</f>
        <v/>
      </c>
      <c r="G367" s="44">
        <f>IF(_calc!$E$369="","",IF(LEN(INDEX('Assets'!$P$4:$P$503,_calc!$E$369))=0,"",INDEX('Assets'!$P$4:$P$503,_calc!$E$369)))</f>
        <v/>
      </c>
      <c r="K367" s="44">
        <f>IF(_calc!$E$369="","",IF(LEN(INDEX('Assets'!$N$4:$N$503,_calc!$E$369))=0,"",INDEX('Assets'!$N$4:$N$503,_calc!$E$369)))</f>
        <v/>
      </c>
    </row>
    <row r="368">
      <c r="A368" s="44">
        <f>IF(_calc!$E$370="","",IF(LEN(INDEX('Assets'!$D$4:$D$503,_calc!$E$370))=0,"",INDEX('Assets'!$D$4:$D$503,_calc!$E$370))&amp;" – "&amp;IF(LEN(INDEX('Assets'!$A$4:$A$503,_calc!$E$370))=0,"",INDEX('Assets'!$A$4:$A$503,_calc!$E$370)))</f>
        <v/>
      </c>
      <c r="B368" s="44">
        <f>IF(_calc!$E$370="","",IF(ISNUMBER(INDEX('Assets'!$G$4:$G$503,_calc!$E$370)),TEXT(INDEX('Assets'!$G$4:$G$503,_calc!$E$370),"yyyy-mm-dd"),""))</f>
        <v/>
      </c>
      <c r="C368" s="44">
        <f>IF(_calc!$E$370="","","Inspection")</f>
        <v/>
      </c>
      <c r="D368" s="44">
        <f>IF(_calc!$E$370="","",IF(ISNUMBER(INDEX('Assets'!$F$4:$F$503,_calc!$E$370)),TEXT(INDEX('Assets'!$F$4:$F$503,_calc!$E$370),"yyyy-mm-dd"),""))</f>
        <v/>
      </c>
      <c r="E368" s="44">
        <f>IF(_calc!$E$370="","",IF(LEN(INDEX('Assets'!$O$4:$O$503,_calc!$E$370))=0,"",INDEX('Assets'!$O$4:$O$503,_calc!$E$370)))</f>
        <v/>
      </c>
      <c r="F368" s="44">
        <f>IF(_calc!$E$370="","",TRIM(IF(LEN(IF(LEN(INDEX('Assets'!$B$4:$B$503,_calc!$E$370))=0,"",INDEX('Assets'!$B$4:$B$503,_calc!$E$370)))=0,"","Asset ID: "&amp;IF(LEN(INDEX('Assets'!$B$4:$B$503,_calc!$E$370))=0,"",INDEX('Assets'!$B$4:$B$503,_calc!$E$370))&amp;". ")&amp;IF(LEN(IF(LEN(INDEX('Assets'!$C$4:$C$503,_calc!$E$370))=0,"",INDEX('Assets'!$C$4:$C$503,_calc!$E$370)))=0,"","Location: "&amp;IF(LEN(INDEX('Assets'!$C$4:$C$503,_calc!$E$370))=0,"",INDEX('Assets'!$C$4:$C$503,_calc!$E$370))&amp;". ")&amp;IF(LEN(IF(LEN(INDEX('Assets'!$E$4:$E$503,_calc!$E$370))=0,"",INDEX('Assets'!$E$4:$E$503,_calc!$E$370)))=0,"","Every (months): "&amp;IF(LEN(INDEX('Assets'!$E$4:$E$503,_calc!$E$370))=0,"",INDEX('Assets'!$E$4:$E$503,_calc!$E$370))&amp;". ")&amp;IF(LEN(IF(LEN(INDEX('Assets'!$M$4:$M$503,_calc!$E$370))=0,"",INDEX('Assets'!$M$4:$M$503,_calc!$E$370)))=0,"","Last result: "&amp;IF(LEN(INDEX('Assets'!$M$4:$M$503,_calc!$E$370))=0,"",INDEX('Assets'!$M$4:$M$503,_calc!$E$370))&amp;". ")&amp;IF(LEN(IF(LEN(INDEX('Assets'!$Q$4:$Q$503,_calc!$E$370))=0,"",INDEX('Assets'!$Q$4:$Q$503,_calc!$E$370)))=0,"",IF(LEN(INDEX('Assets'!$Q$4:$Q$503,_calc!$E$370))=0,"",INDEX('Assets'!$Q$4:$Q$503,_calc!$E$370)))))</f>
        <v/>
      </c>
      <c r="G368" s="44">
        <f>IF(_calc!$E$370="","",IF(LEN(INDEX('Assets'!$P$4:$P$503,_calc!$E$370))=0,"",INDEX('Assets'!$P$4:$P$503,_calc!$E$370)))</f>
        <v/>
      </c>
      <c r="K368" s="44">
        <f>IF(_calc!$E$370="","",IF(LEN(INDEX('Assets'!$N$4:$N$503,_calc!$E$370))=0,"",INDEX('Assets'!$N$4:$N$503,_calc!$E$370)))</f>
        <v/>
      </c>
    </row>
    <row r="369">
      <c r="A369" s="44">
        <f>IF(_calc!$E$371="","",IF(LEN(INDEX('Assets'!$D$4:$D$503,_calc!$E$371))=0,"",INDEX('Assets'!$D$4:$D$503,_calc!$E$371))&amp;" – "&amp;IF(LEN(INDEX('Assets'!$A$4:$A$503,_calc!$E$371))=0,"",INDEX('Assets'!$A$4:$A$503,_calc!$E$371)))</f>
        <v/>
      </c>
      <c r="B369" s="44">
        <f>IF(_calc!$E$371="","",IF(ISNUMBER(INDEX('Assets'!$G$4:$G$503,_calc!$E$371)),TEXT(INDEX('Assets'!$G$4:$G$503,_calc!$E$371),"yyyy-mm-dd"),""))</f>
        <v/>
      </c>
      <c r="C369" s="44">
        <f>IF(_calc!$E$371="","","Inspection")</f>
        <v/>
      </c>
      <c r="D369" s="44">
        <f>IF(_calc!$E$371="","",IF(ISNUMBER(INDEX('Assets'!$F$4:$F$503,_calc!$E$371)),TEXT(INDEX('Assets'!$F$4:$F$503,_calc!$E$371),"yyyy-mm-dd"),""))</f>
        <v/>
      </c>
      <c r="E369" s="44">
        <f>IF(_calc!$E$371="","",IF(LEN(INDEX('Assets'!$O$4:$O$503,_calc!$E$371))=0,"",INDEX('Assets'!$O$4:$O$503,_calc!$E$371)))</f>
        <v/>
      </c>
      <c r="F369" s="44">
        <f>IF(_calc!$E$371="","",TRIM(IF(LEN(IF(LEN(INDEX('Assets'!$B$4:$B$503,_calc!$E$371))=0,"",INDEX('Assets'!$B$4:$B$503,_calc!$E$371)))=0,"","Asset ID: "&amp;IF(LEN(INDEX('Assets'!$B$4:$B$503,_calc!$E$371))=0,"",INDEX('Assets'!$B$4:$B$503,_calc!$E$371))&amp;". ")&amp;IF(LEN(IF(LEN(INDEX('Assets'!$C$4:$C$503,_calc!$E$371))=0,"",INDEX('Assets'!$C$4:$C$503,_calc!$E$371)))=0,"","Location: "&amp;IF(LEN(INDEX('Assets'!$C$4:$C$503,_calc!$E$371))=0,"",INDEX('Assets'!$C$4:$C$503,_calc!$E$371))&amp;". ")&amp;IF(LEN(IF(LEN(INDEX('Assets'!$E$4:$E$503,_calc!$E$371))=0,"",INDEX('Assets'!$E$4:$E$503,_calc!$E$371)))=0,"","Every (months): "&amp;IF(LEN(INDEX('Assets'!$E$4:$E$503,_calc!$E$371))=0,"",INDEX('Assets'!$E$4:$E$503,_calc!$E$371))&amp;". ")&amp;IF(LEN(IF(LEN(INDEX('Assets'!$M$4:$M$503,_calc!$E$371))=0,"",INDEX('Assets'!$M$4:$M$503,_calc!$E$371)))=0,"","Last result: "&amp;IF(LEN(INDEX('Assets'!$M$4:$M$503,_calc!$E$371))=0,"",INDEX('Assets'!$M$4:$M$503,_calc!$E$371))&amp;". ")&amp;IF(LEN(IF(LEN(INDEX('Assets'!$Q$4:$Q$503,_calc!$E$371))=0,"",INDEX('Assets'!$Q$4:$Q$503,_calc!$E$371)))=0,"",IF(LEN(INDEX('Assets'!$Q$4:$Q$503,_calc!$E$371))=0,"",INDEX('Assets'!$Q$4:$Q$503,_calc!$E$371)))))</f>
        <v/>
      </c>
      <c r="G369" s="44">
        <f>IF(_calc!$E$371="","",IF(LEN(INDEX('Assets'!$P$4:$P$503,_calc!$E$371))=0,"",INDEX('Assets'!$P$4:$P$503,_calc!$E$371)))</f>
        <v/>
      </c>
      <c r="K369" s="44">
        <f>IF(_calc!$E$371="","",IF(LEN(INDEX('Assets'!$N$4:$N$503,_calc!$E$371))=0,"",INDEX('Assets'!$N$4:$N$503,_calc!$E$371)))</f>
        <v/>
      </c>
    </row>
    <row r="370">
      <c r="A370" s="44">
        <f>IF(_calc!$E$372="","",IF(LEN(INDEX('Assets'!$D$4:$D$503,_calc!$E$372))=0,"",INDEX('Assets'!$D$4:$D$503,_calc!$E$372))&amp;" – "&amp;IF(LEN(INDEX('Assets'!$A$4:$A$503,_calc!$E$372))=0,"",INDEX('Assets'!$A$4:$A$503,_calc!$E$372)))</f>
        <v/>
      </c>
      <c r="B370" s="44">
        <f>IF(_calc!$E$372="","",IF(ISNUMBER(INDEX('Assets'!$G$4:$G$503,_calc!$E$372)),TEXT(INDEX('Assets'!$G$4:$G$503,_calc!$E$372),"yyyy-mm-dd"),""))</f>
        <v/>
      </c>
      <c r="C370" s="44">
        <f>IF(_calc!$E$372="","","Inspection")</f>
        <v/>
      </c>
      <c r="D370" s="44">
        <f>IF(_calc!$E$372="","",IF(ISNUMBER(INDEX('Assets'!$F$4:$F$503,_calc!$E$372)),TEXT(INDEX('Assets'!$F$4:$F$503,_calc!$E$372),"yyyy-mm-dd"),""))</f>
        <v/>
      </c>
      <c r="E370" s="44">
        <f>IF(_calc!$E$372="","",IF(LEN(INDEX('Assets'!$O$4:$O$503,_calc!$E$372))=0,"",INDEX('Assets'!$O$4:$O$503,_calc!$E$372)))</f>
        <v/>
      </c>
      <c r="F370" s="44">
        <f>IF(_calc!$E$372="","",TRIM(IF(LEN(IF(LEN(INDEX('Assets'!$B$4:$B$503,_calc!$E$372))=0,"",INDEX('Assets'!$B$4:$B$503,_calc!$E$372)))=0,"","Asset ID: "&amp;IF(LEN(INDEX('Assets'!$B$4:$B$503,_calc!$E$372))=0,"",INDEX('Assets'!$B$4:$B$503,_calc!$E$372))&amp;". ")&amp;IF(LEN(IF(LEN(INDEX('Assets'!$C$4:$C$503,_calc!$E$372))=0,"",INDEX('Assets'!$C$4:$C$503,_calc!$E$372)))=0,"","Location: "&amp;IF(LEN(INDEX('Assets'!$C$4:$C$503,_calc!$E$372))=0,"",INDEX('Assets'!$C$4:$C$503,_calc!$E$372))&amp;". ")&amp;IF(LEN(IF(LEN(INDEX('Assets'!$E$4:$E$503,_calc!$E$372))=0,"",INDEX('Assets'!$E$4:$E$503,_calc!$E$372)))=0,"","Every (months): "&amp;IF(LEN(INDEX('Assets'!$E$4:$E$503,_calc!$E$372))=0,"",INDEX('Assets'!$E$4:$E$503,_calc!$E$372))&amp;". ")&amp;IF(LEN(IF(LEN(INDEX('Assets'!$M$4:$M$503,_calc!$E$372))=0,"",INDEX('Assets'!$M$4:$M$503,_calc!$E$372)))=0,"","Last result: "&amp;IF(LEN(INDEX('Assets'!$M$4:$M$503,_calc!$E$372))=0,"",INDEX('Assets'!$M$4:$M$503,_calc!$E$372))&amp;". ")&amp;IF(LEN(IF(LEN(INDEX('Assets'!$Q$4:$Q$503,_calc!$E$372))=0,"",INDEX('Assets'!$Q$4:$Q$503,_calc!$E$372)))=0,"",IF(LEN(INDEX('Assets'!$Q$4:$Q$503,_calc!$E$372))=0,"",INDEX('Assets'!$Q$4:$Q$503,_calc!$E$372)))))</f>
        <v/>
      </c>
      <c r="G370" s="44">
        <f>IF(_calc!$E$372="","",IF(LEN(INDEX('Assets'!$P$4:$P$503,_calc!$E$372))=0,"",INDEX('Assets'!$P$4:$P$503,_calc!$E$372)))</f>
        <v/>
      </c>
      <c r="K370" s="44">
        <f>IF(_calc!$E$372="","",IF(LEN(INDEX('Assets'!$N$4:$N$503,_calc!$E$372))=0,"",INDEX('Assets'!$N$4:$N$503,_calc!$E$372)))</f>
        <v/>
      </c>
    </row>
    <row r="371">
      <c r="A371" s="44">
        <f>IF(_calc!$E$373="","",IF(LEN(INDEX('Assets'!$D$4:$D$503,_calc!$E$373))=0,"",INDEX('Assets'!$D$4:$D$503,_calc!$E$373))&amp;" – "&amp;IF(LEN(INDEX('Assets'!$A$4:$A$503,_calc!$E$373))=0,"",INDEX('Assets'!$A$4:$A$503,_calc!$E$373)))</f>
        <v/>
      </c>
      <c r="B371" s="44">
        <f>IF(_calc!$E$373="","",IF(ISNUMBER(INDEX('Assets'!$G$4:$G$503,_calc!$E$373)),TEXT(INDEX('Assets'!$G$4:$G$503,_calc!$E$373),"yyyy-mm-dd"),""))</f>
        <v/>
      </c>
      <c r="C371" s="44">
        <f>IF(_calc!$E$373="","","Inspection")</f>
        <v/>
      </c>
      <c r="D371" s="44">
        <f>IF(_calc!$E$373="","",IF(ISNUMBER(INDEX('Assets'!$F$4:$F$503,_calc!$E$373)),TEXT(INDEX('Assets'!$F$4:$F$503,_calc!$E$373),"yyyy-mm-dd"),""))</f>
        <v/>
      </c>
      <c r="E371" s="44">
        <f>IF(_calc!$E$373="","",IF(LEN(INDEX('Assets'!$O$4:$O$503,_calc!$E$373))=0,"",INDEX('Assets'!$O$4:$O$503,_calc!$E$373)))</f>
        <v/>
      </c>
      <c r="F371" s="44">
        <f>IF(_calc!$E$373="","",TRIM(IF(LEN(IF(LEN(INDEX('Assets'!$B$4:$B$503,_calc!$E$373))=0,"",INDEX('Assets'!$B$4:$B$503,_calc!$E$373)))=0,"","Asset ID: "&amp;IF(LEN(INDEX('Assets'!$B$4:$B$503,_calc!$E$373))=0,"",INDEX('Assets'!$B$4:$B$503,_calc!$E$373))&amp;". ")&amp;IF(LEN(IF(LEN(INDEX('Assets'!$C$4:$C$503,_calc!$E$373))=0,"",INDEX('Assets'!$C$4:$C$503,_calc!$E$373)))=0,"","Location: "&amp;IF(LEN(INDEX('Assets'!$C$4:$C$503,_calc!$E$373))=0,"",INDEX('Assets'!$C$4:$C$503,_calc!$E$373))&amp;". ")&amp;IF(LEN(IF(LEN(INDEX('Assets'!$E$4:$E$503,_calc!$E$373))=0,"",INDEX('Assets'!$E$4:$E$503,_calc!$E$373)))=0,"","Every (months): "&amp;IF(LEN(INDEX('Assets'!$E$4:$E$503,_calc!$E$373))=0,"",INDEX('Assets'!$E$4:$E$503,_calc!$E$373))&amp;". ")&amp;IF(LEN(IF(LEN(INDEX('Assets'!$M$4:$M$503,_calc!$E$373))=0,"",INDEX('Assets'!$M$4:$M$503,_calc!$E$373)))=0,"","Last result: "&amp;IF(LEN(INDEX('Assets'!$M$4:$M$503,_calc!$E$373))=0,"",INDEX('Assets'!$M$4:$M$503,_calc!$E$373))&amp;". ")&amp;IF(LEN(IF(LEN(INDEX('Assets'!$Q$4:$Q$503,_calc!$E$373))=0,"",INDEX('Assets'!$Q$4:$Q$503,_calc!$E$373)))=0,"",IF(LEN(INDEX('Assets'!$Q$4:$Q$503,_calc!$E$373))=0,"",INDEX('Assets'!$Q$4:$Q$503,_calc!$E$373)))))</f>
        <v/>
      </c>
      <c r="G371" s="44">
        <f>IF(_calc!$E$373="","",IF(LEN(INDEX('Assets'!$P$4:$P$503,_calc!$E$373))=0,"",INDEX('Assets'!$P$4:$P$503,_calc!$E$373)))</f>
        <v/>
      </c>
      <c r="K371" s="44">
        <f>IF(_calc!$E$373="","",IF(LEN(INDEX('Assets'!$N$4:$N$503,_calc!$E$373))=0,"",INDEX('Assets'!$N$4:$N$503,_calc!$E$373)))</f>
        <v/>
      </c>
    </row>
    <row r="372">
      <c r="A372" s="44">
        <f>IF(_calc!$E$374="","",IF(LEN(INDEX('Assets'!$D$4:$D$503,_calc!$E$374))=0,"",INDEX('Assets'!$D$4:$D$503,_calc!$E$374))&amp;" – "&amp;IF(LEN(INDEX('Assets'!$A$4:$A$503,_calc!$E$374))=0,"",INDEX('Assets'!$A$4:$A$503,_calc!$E$374)))</f>
        <v/>
      </c>
      <c r="B372" s="44">
        <f>IF(_calc!$E$374="","",IF(ISNUMBER(INDEX('Assets'!$G$4:$G$503,_calc!$E$374)),TEXT(INDEX('Assets'!$G$4:$G$503,_calc!$E$374),"yyyy-mm-dd"),""))</f>
        <v/>
      </c>
      <c r="C372" s="44">
        <f>IF(_calc!$E$374="","","Inspection")</f>
        <v/>
      </c>
      <c r="D372" s="44">
        <f>IF(_calc!$E$374="","",IF(ISNUMBER(INDEX('Assets'!$F$4:$F$503,_calc!$E$374)),TEXT(INDEX('Assets'!$F$4:$F$503,_calc!$E$374),"yyyy-mm-dd"),""))</f>
        <v/>
      </c>
      <c r="E372" s="44">
        <f>IF(_calc!$E$374="","",IF(LEN(INDEX('Assets'!$O$4:$O$503,_calc!$E$374))=0,"",INDEX('Assets'!$O$4:$O$503,_calc!$E$374)))</f>
        <v/>
      </c>
      <c r="F372" s="44">
        <f>IF(_calc!$E$374="","",TRIM(IF(LEN(IF(LEN(INDEX('Assets'!$B$4:$B$503,_calc!$E$374))=0,"",INDEX('Assets'!$B$4:$B$503,_calc!$E$374)))=0,"","Asset ID: "&amp;IF(LEN(INDEX('Assets'!$B$4:$B$503,_calc!$E$374))=0,"",INDEX('Assets'!$B$4:$B$503,_calc!$E$374))&amp;". ")&amp;IF(LEN(IF(LEN(INDEX('Assets'!$C$4:$C$503,_calc!$E$374))=0,"",INDEX('Assets'!$C$4:$C$503,_calc!$E$374)))=0,"","Location: "&amp;IF(LEN(INDEX('Assets'!$C$4:$C$503,_calc!$E$374))=0,"",INDEX('Assets'!$C$4:$C$503,_calc!$E$374))&amp;". ")&amp;IF(LEN(IF(LEN(INDEX('Assets'!$E$4:$E$503,_calc!$E$374))=0,"",INDEX('Assets'!$E$4:$E$503,_calc!$E$374)))=0,"","Every (months): "&amp;IF(LEN(INDEX('Assets'!$E$4:$E$503,_calc!$E$374))=0,"",INDEX('Assets'!$E$4:$E$503,_calc!$E$374))&amp;". ")&amp;IF(LEN(IF(LEN(INDEX('Assets'!$M$4:$M$503,_calc!$E$374))=0,"",INDEX('Assets'!$M$4:$M$503,_calc!$E$374)))=0,"","Last result: "&amp;IF(LEN(INDEX('Assets'!$M$4:$M$503,_calc!$E$374))=0,"",INDEX('Assets'!$M$4:$M$503,_calc!$E$374))&amp;". ")&amp;IF(LEN(IF(LEN(INDEX('Assets'!$Q$4:$Q$503,_calc!$E$374))=0,"",INDEX('Assets'!$Q$4:$Q$503,_calc!$E$374)))=0,"",IF(LEN(INDEX('Assets'!$Q$4:$Q$503,_calc!$E$374))=0,"",INDEX('Assets'!$Q$4:$Q$503,_calc!$E$374)))))</f>
        <v/>
      </c>
      <c r="G372" s="44">
        <f>IF(_calc!$E$374="","",IF(LEN(INDEX('Assets'!$P$4:$P$503,_calc!$E$374))=0,"",INDEX('Assets'!$P$4:$P$503,_calc!$E$374)))</f>
        <v/>
      </c>
      <c r="K372" s="44">
        <f>IF(_calc!$E$374="","",IF(LEN(INDEX('Assets'!$N$4:$N$503,_calc!$E$374))=0,"",INDEX('Assets'!$N$4:$N$503,_calc!$E$374)))</f>
        <v/>
      </c>
    </row>
    <row r="373">
      <c r="A373" s="44">
        <f>IF(_calc!$E$375="","",IF(LEN(INDEX('Assets'!$D$4:$D$503,_calc!$E$375))=0,"",INDEX('Assets'!$D$4:$D$503,_calc!$E$375))&amp;" – "&amp;IF(LEN(INDEX('Assets'!$A$4:$A$503,_calc!$E$375))=0,"",INDEX('Assets'!$A$4:$A$503,_calc!$E$375)))</f>
        <v/>
      </c>
      <c r="B373" s="44">
        <f>IF(_calc!$E$375="","",IF(ISNUMBER(INDEX('Assets'!$G$4:$G$503,_calc!$E$375)),TEXT(INDEX('Assets'!$G$4:$G$503,_calc!$E$375),"yyyy-mm-dd"),""))</f>
        <v/>
      </c>
      <c r="C373" s="44">
        <f>IF(_calc!$E$375="","","Inspection")</f>
        <v/>
      </c>
      <c r="D373" s="44">
        <f>IF(_calc!$E$375="","",IF(ISNUMBER(INDEX('Assets'!$F$4:$F$503,_calc!$E$375)),TEXT(INDEX('Assets'!$F$4:$F$503,_calc!$E$375),"yyyy-mm-dd"),""))</f>
        <v/>
      </c>
      <c r="E373" s="44">
        <f>IF(_calc!$E$375="","",IF(LEN(INDEX('Assets'!$O$4:$O$503,_calc!$E$375))=0,"",INDEX('Assets'!$O$4:$O$503,_calc!$E$375)))</f>
        <v/>
      </c>
      <c r="F373" s="44">
        <f>IF(_calc!$E$375="","",TRIM(IF(LEN(IF(LEN(INDEX('Assets'!$B$4:$B$503,_calc!$E$375))=0,"",INDEX('Assets'!$B$4:$B$503,_calc!$E$375)))=0,"","Asset ID: "&amp;IF(LEN(INDEX('Assets'!$B$4:$B$503,_calc!$E$375))=0,"",INDEX('Assets'!$B$4:$B$503,_calc!$E$375))&amp;". ")&amp;IF(LEN(IF(LEN(INDEX('Assets'!$C$4:$C$503,_calc!$E$375))=0,"",INDEX('Assets'!$C$4:$C$503,_calc!$E$375)))=0,"","Location: "&amp;IF(LEN(INDEX('Assets'!$C$4:$C$503,_calc!$E$375))=0,"",INDEX('Assets'!$C$4:$C$503,_calc!$E$375))&amp;". ")&amp;IF(LEN(IF(LEN(INDEX('Assets'!$E$4:$E$503,_calc!$E$375))=0,"",INDEX('Assets'!$E$4:$E$503,_calc!$E$375)))=0,"","Every (months): "&amp;IF(LEN(INDEX('Assets'!$E$4:$E$503,_calc!$E$375))=0,"",INDEX('Assets'!$E$4:$E$503,_calc!$E$375))&amp;". ")&amp;IF(LEN(IF(LEN(INDEX('Assets'!$M$4:$M$503,_calc!$E$375))=0,"",INDEX('Assets'!$M$4:$M$503,_calc!$E$375)))=0,"","Last result: "&amp;IF(LEN(INDEX('Assets'!$M$4:$M$503,_calc!$E$375))=0,"",INDEX('Assets'!$M$4:$M$503,_calc!$E$375))&amp;". ")&amp;IF(LEN(IF(LEN(INDEX('Assets'!$Q$4:$Q$503,_calc!$E$375))=0,"",INDEX('Assets'!$Q$4:$Q$503,_calc!$E$375)))=0,"",IF(LEN(INDEX('Assets'!$Q$4:$Q$503,_calc!$E$375))=0,"",INDEX('Assets'!$Q$4:$Q$503,_calc!$E$375)))))</f>
        <v/>
      </c>
      <c r="G373" s="44">
        <f>IF(_calc!$E$375="","",IF(LEN(INDEX('Assets'!$P$4:$P$503,_calc!$E$375))=0,"",INDEX('Assets'!$P$4:$P$503,_calc!$E$375)))</f>
        <v/>
      </c>
      <c r="K373" s="44">
        <f>IF(_calc!$E$375="","",IF(LEN(INDEX('Assets'!$N$4:$N$503,_calc!$E$375))=0,"",INDEX('Assets'!$N$4:$N$503,_calc!$E$375)))</f>
        <v/>
      </c>
    </row>
    <row r="374">
      <c r="A374" s="44">
        <f>IF(_calc!$E$376="","",IF(LEN(INDEX('Assets'!$D$4:$D$503,_calc!$E$376))=0,"",INDEX('Assets'!$D$4:$D$503,_calc!$E$376))&amp;" – "&amp;IF(LEN(INDEX('Assets'!$A$4:$A$503,_calc!$E$376))=0,"",INDEX('Assets'!$A$4:$A$503,_calc!$E$376)))</f>
        <v/>
      </c>
      <c r="B374" s="44">
        <f>IF(_calc!$E$376="","",IF(ISNUMBER(INDEX('Assets'!$G$4:$G$503,_calc!$E$376)),TEXT(INDEX('Assets'!$G$4:$G$503,_calc!$E$376),"yyyy-mm-dd"),""))</f>
        <v/>
      </c>
      <c r="C374" s="44">
        <f>IF(_calc!$E$376="","","Inspection")</f>
        <v/>
      </c>
      <c r="D374" s="44">
        <f>IF(_calc!$E$376="","",IF(ISNUMBER(INDEX('Assets'!$F$4:$F$503,_calc!$E$376)),TEXT(INDEX('Assets'!$F$4:$F$503,_calc!$E$376),"yyyy-mm-dd"),""))</f>
        <v/>
      </c>
      <c r="E374" s="44">
        <f>IF(_calc!$E$376="","",IF(LEN(INDEX('Assets'!$O$4:$O$503,_calc!$E$376))=0,"",INDEX('Assets'!$O$4:$O$503,_calc!$E$376)))</f>
        <v/>
      </c>
      <c r="F374" s="44">
        <f>IF(_calc!$E$376="","",TRIM(IF(LEN(IF(LEN(INDEX('Assets'!$B$4:$B$503,_calc!$E$376))=0,"",INDEX('Assets'!$B$4:$B$503,_calc!$E$376)))=0,"","Asset ID: "&amp;IF(LEN(INDEX('Assets'!$B$4:$B$503,_calc!$E$376))=0,"",INDEX('Assets'!$B$4:$B$503,_calc!$E$376))&amp;". ")&amp;IF(LEN(IF(LEN(INDEX('Assets'!$C$4:$C$503,_calc!$E$376))=0,"",INDEX('Assets'!$C$4:$C$503,_calc!$E$376)))=0,"","Location: "&amp;IF(LEN(INDEX('Assets'!$C$4:$C$503,_calc!$E$376))=0,"",INDEX('Assets'!$C$4:$C$503,_calc!$E$376))&amp;". ")&amp;IF(LEN(IF(LEN(INDEX('Assets'!$E$4:$E$503,_calc!$E$376))=0,"",INDEX('Assets'!$E$4:$E$503,_calc!$E$376)))=0,"","Every (months): "&amp;IF(LEN(INDEX('Assets'!$E$4:$E$503,_calc!$E$376))=0,"",INDEX('Assets'!$E$4:$E$503,_calc!$E$376))&amp;". ")&amp;IF(LEN(IF(LEN(INDEX('Assets'!$M$4:$M$503,_calc!$E$376))=0,"",INDEX('Assets'!$M$4:$M$503,_calc!$E$376)))=0,"","Last result: "&amp;IF(LEN(INDEX('Assets'!$M$4:$M$503,_calc!$E$376))=0,"",INDEX('Assets'!$M$4:$M$503,_calc!$E$376))&amp;". ")&amp;IF(LEN(IF(LEN(INDEX('Assets'!$Q$4:$Q$503,_calc!$E$376))=0,"",INDEX('Assets'!$Q$4:$Q$503,_calc!$E$376)))=0,"",IF(LEN(INDEX('Assets'!$Q$4:$Q$503,_calc!$E$376))=0,"",INDEX('Assets'!$Q$4:$Q$503,_calc!$E$376)))))</f>
        <v/>
      </c>
      <c r="G374" s="44">
        <f>IF(_calc!$E$376="","",IF(LEN(INDEX('Assets'!$P$4:$P$503,_calc!$E$376))=0,"",INDEX('Assets'!$P$4:$P$503,_calc!$E$376)))</f>
        <v/>
      </c>
      <c r="K374" s="44">
        <f>IF(_calc!$E$376="","",IF(LEN(INDEX('Assets'!$N$4:$N$503,_calc!$E$376))=0,"",INDEX('Assets'!$N$4:$N$503,_calc!$E$376)))</f>
        <v/>
      </c>
    </row>
    <row r="375">
      <c r="A375" s="44">
        <f>IF(_calc!$E$377="","",IF(LEN(INDEX('Assets'!$D$4:$D$503,_calc!$E$377))=0,"",INDEX('Assets'!$D$4:$D$503,_calc!$E$377))&amp;" – "&amp;IF(LEN(INDEX('Assets'!$A$4:$A$503,_calc!$E$377))=0,"",INDEX('Assets'!$A$4:$A$503,_calc!$E$377)))</f>
        <v/>
      </c>
      <c r="B375" s="44">
        <f>IF(_calc!$E$377="","",IF(ISNUMBER(INDEX('Assets'!$G$4:$G$503,_calc!$E$377)),TEXT(INDEX('Assets'!$G$4:$G$503,_calc!$E$377),"yyyy-mm-dd"),""))</f>
        <v/>
      </c>
      <c r="C375" s="44">
        <f>IF(_calc!$E$377="","","Inspection")</f>
        <v/>
      </c>
      <c r="D375" s="44">
        <f>IF(_calc!$E$377="","",IF(ISNUMBER(INDEX('Assets'!$F$4:$F$503,_calc!$E$377)),TEXT(INDEX('Assets'!$F$4:$F$503,_calc!$E$377),"yyyy-mm-dd"),""))</f>
        <v/>
      </c>
      <c r="E375" s="44">
        <f>IF(_calc!$E$377="","",IF(LEN(INDEX('Assets'!$O$4:$O$503,_calc!$E$377))=0,"",INDEX('Assets'!$O$4:$O$503,_calc!$E$377)))</f>
        <v/>
      </c>
      <c r="F375" s="44">
        <f>IF(_calc!$E$377="","",TRIM(IF(LEN(IF(LEN(INDEX('Assets'!$B$4:$B$503,_calc!$E$377))=0,"",INDEX('Assets'!$B$4:$B$503,_calc!$E$377)))=0,"","Asset ID: "&amp;IF(LEN(INDEX('Assets'!$B$4:$B$503,_calc!$E$377))=0,"",INDEX('Assets'!$B$4:$B$503,_calc!$E$377))&amp;". ")&amp;IF(LEN(IF(LEN(INDEX('Assets'!$C$4:$C$503,_calc!$E$377))=0,"",INDEX('Assets'!$C$4:$C$503,_calc!$E$377)))=0,"","Location: "&amp;IF(LEN(INDEX('Assets'!$C$4:$C$503,_calc!$E$377))=0,"",INDEX('Assets'!$C$4:$C$503,_calc!$E$377))&amp;". ")&amp;IF(LEN(IF(LEN(INDEX('Assets'!$E$4:$E$503,_calc!$E$377))=0,"",INDEX('Assets'!$E$4:$E$503,_calc!$E$377)))=0,"","Every (months): "&amp;IF(LEN(INDEX('Assets'!$E$4:$E$503,_calc!$E$377))=0,"",INDEX('Assets'!$E$4:$E$503,_calc!$E$377))&amp;". ")&amp;IF(LEN(IF(LEN(INDEX('Assets'!$M$4:$M$503,_calc!$E$377))=0,"",INDEX('Assets'!$M$4:$M$503,_calc!$E$377)))=0,"","Last result: "&amp;IF(LEN(INDEX('Assets'!$M$4:$M$503,_calc!$E$377))=0,"",INDEX('Assets'!$M$4:$M$503,_calc!$E$377))&amp;". ")&amp;IF(LEN(IF(LEN(INDEX('Assets'!$Q$4:$Q$503,_calc!$E$377))=0,"",INDEX('Assets'!$Q$4:$Q$503,_calc!$E$377)))=0,"",IF(LEN(INDEX('Assets'!$Q$4:$Q$503,_calc!$E$377))=0,"",INDEX('Assets'!$Q$4:$Q$503,_calc!$E$377)))))</f>
        <v/>
      </c>
      <c r="G375" s="44">
        <f>IF(_calc!$E$377="","",IF(LEN(INDEX('Assets'!$P$4:$P$503,_calc!$E$377))=0,"",INDEX('Assets'!$P$4:$P$503,_calc!$E$377)))</f>
        <v/>
      </c>
      <c r="K375" s="44">
        <f>IF(_calc!$E$377="","",IF(LEN(INDEX('Assets'!$N$4:$N$503,_calc!$E$377))=0,"",INDEX('Assets'!$N$4:$N$503,_calc!$E$377)))</f>
        <v/>
      </c>
    </row>
    <row r="376">
      <c r="A376" s="44">
        <f>IF(_calc!$E$378="","",IF(LEN(INDEX('Assets'!$D$4:$D$503,_calc!$E$378))=0,"",INDEX('Assets'!$D$4:$D$503,_calc!$E$378))&amp;" – "&amp;IF(LEN(INDEX('Assets'!$A$4:$A$503,_calc!$E$378))=0,"",INDEX('Assets'!$A$4:$A$503,_calc!$E$378)))</f>
        <v/>
      </c>
      <c r="B376" s="44">
        <f>IF(_calc!$E$378="","",IF(ISNUMBER(INDEX('Assets'!$G$4:$G$503,_calc!$E$378)),TEXT(INDEX('Assets'!$G$4:$G$503,_calc!$E$378),"yyyy-mm-dd"),""))</f>
        <v/>
      </c>
      <c r="C376" s="44">
        <f>IF(_calc!$E$378="","","Inspection")</f>
        <v/>
      </c>
      <c r="D376" s="44">
        <f>IF(_calc!$E$378="","",IF(ISNUMBER(INDEX('Assets'!$F$4:$F$503,_calc!$E$378)),TEXT(INDEX('Assets'!$F$4:$F$503,_calc!$E$378),"yyyy-mm-dd"),""))</f>
        <v/>
      </c>
      <c r="E376" s="44">
        <f>IF(_calc!$E$378="","",IF(LEN(INDEX('Assets'!$O$4:$O$503,_calc!$E$378))=0,"",INDEX('Assets'!$O$4:$O$503,_calc!$E$378)))</f>
        <v/>
      </c>
      <c r="F376" s="44">
        <f>IF(_calc!$E$378="","",TRIM(IF(LEN(IF(LEN(INDEX('Assets'!$B$4:$B$503,_calc!$E$378))=0,"",INDEX('Assets'!$B$4:$B$503,_calc!$E$378)))=0,"","Asset ID: "&amp;IF(LEN(INDEX('Assets'!$B$4:$B$503,_calc!$E$378))=0,"",INDEX('Assets'!$B$4:$B$503,_calc!$E$378))&amp;". ")&amp;IF(LEN(IF(LEN(INDEX('Assets'!$C$4:$C$503,_calc!$E$378))=0,"",INDEX('Assets'!$C$4:$C$503,_calc!$E$378)))=0,"","Location: "&amp;IF(LEN(INDEX('Assets'!$C$4:$C$503,_calc!$E$378))=0,"",INDEX('Assets'!$C$4:$C$503,_calc!$E$378))&amp;". ")&amp;IF(LEN(IF(LEN(INDEX('Assets'!$E$4:$E$503,_calc!$E$378))=0,"",INDEX('Assets'!$E$4:$E$503,_calc!$E$378)))=0,"","Every (months): "&amp;IF(LEN(INDEX('Assets'!$E$4:$E$503,_calc!$E$378))=0,"",INDEX('Assets'!$E$4:$E$503,_calc!$E$378))&amp;". ")&amp;IF(LEN(IF(LEN(INDEX('Assets'!$M$4:$M$503,_calc!$E$378))=0,"",INDEX('Assets'!$M$4:$M$503,_calc!$E$378)))=0,"","Last result: "&amp;IF(LEN(INDEX('Assets'!$M$4:$M$503,_calc!$E$378))=0,"",INDEX('Assets'!$M$4:$M$503,_calc!$E$378))&amp;". ")&amp;IF(LEN(IF(LEN(INDEX('Assets'!$Q$4:$Q$503,_calc!$E$378))=0,"",INDEX('Assets'!$Q$4:$Q$503,_calc!$E$378)))=0,"",IF(LEN(INDEX('Assets'!$Q$4:$Q$503,_calc!$E$378))=0,"",INDEX('Assets'!$Q$4:$Q$503,_calc!$E$378)))))</f>
        <v/>
      </c>
      <c r="G376" s="44">
        <f>IF(_calc!$E$378="","",IF(LEN(INDEX('Assets'!$P$4:$P$503,_calc!$E$378))=0,"",INDEX('Assets'!$P$4:$P$503,_calc!$E$378)))</f>
        <v/>
      </c>
      <c r="K376" s="44">
        <f>IF(_calc!$E$378="","",IF(LEN(INDEX('Assets'!$N$4:$N$503,_calc!$E$378))=0,"",INDEX('Assets'!$N$4:$N$503,_calc!$E$378)))</f>
        <v/>
      </c>
    </row>
    <row r="377">
      <c r="A377" s="44">
        <f>IF(_calc!$E$379="","",IF(LEN(INDEX('Assets'!$D$4:$D$503,_calc!$E$379))=0,"",INDEX('Assets'!$D$4:$D$503,_calc!$E$379))&amp;" – "&amp;IF(LEN(INDEX('Assets'!$A$4:$A$503,_calc!$E$379))=0,"",INDEX('Assets'!$A$4:$A$503,_calc!$E$379)))</f>
        <v/>
      </c>
      <c r="B377" s="44">
        <f>IF(_calc!$E$379="","",IF(ISNUMBER(INDEX('Assets'!$G$4:$G$503,_calc!$E$379)),TEXT(INDEX('Assets'!$G$4:$G$503,_calc!$E$379),"yyyy-mm-dd"),""))</f>
        <v/>
      </c>
      <c r="C377" s="44">
        <f>IF(_calc!$E$379="","","Inspection")</f>
        <v/>
      </c>
      <c r="D377" s="44">
        <f>IF(_calc!$E$379="","",IF(ISNUMBER(INDEX('Assets'!$F$4:$F$503,_calc!$E$379)),TEXT(INDEX('Assets'!$F$4:$F$503,_calc!$E$379),"yyyy-mm-dd"),""))</f>
        <v/>
      </c>
      <c r="E377" s="44">
        <f>IF(_calc!$E$379="","",IF(LEN(INDEX('Assets'!$O$4:$O$503,_calc!$E$379))=0,"",INDEX('Assets'!$O$4:$O$503,_calc!$E$379)))</f>
        <v/>
      </c>
      <c r="F377" s="44">
        <f>IF(_calc!$E$379="","",TRIM(IF(LEN(IF(LEN(INDEX('Assets'!$B$4:$B$503,_calc!$E$379))=0,"",INDEX('Assets'!$B$4:$B$503,_calc!$E$379)))=0,"","Asset ID: "&amp;IF(LEN(INDEX('Assets'!$B$4:$B$503,_calc!$E$379))=0,"",INDEX('Assets'!$B$4:$B$503,_calc!$E$379))&amp;". ")&amp;IF(LEN(IF(LEN(INDEX('Assets'!$C$4:$C$503,_calc!$E$379))=0,"",INDEX('Assets'!$C$4:$C$503,_calc!$E$379)))=0,"","Location: "&amp;IF(LEN(INDEX('Assets'!$C$4:$C$503,_calc!$E$379))=0,"",INDEX('Assets'!$C$4:$C$503,_calc!$E$379))&amp;". ")&amp;IF(LEN(IF(LEN(INDEX('Assets'!$E$4:$E$503,_calc!$E$379))=0,"",INDEX('Assets'!$E$4:$E$503,_calc!$E$379)))=0,"","Every (months): "&amp;IF(LEN(INDEX('Assets'!$E$4:$E$503,_calc!$E$379))=0,"",INDEX('Assets'!$E$4:$E$503,_calc!$E$379))&amp;". ")&amp;IF(LEN(IF(LEN(INDEX('Assets'!$M$4:$M$503,_calc!$E$379))=0,"",INDEX('Assets'!$M$4:$M$503,_calc!$E$379)))=0,"","Last result: "&amp;IF(LEN(INDEX('Assets'!$M$4:$M$503,_calc!$E$379))=0,"",INDEX('Assets'!$M$4:$M$503,_calc!$E$379))&amp;". ")&amp;IF(LEN(IF(LEN(INDEX('Assets'!$Q$4:$Q$503,_calc!$E$379))=0,"",INDEX('Assets'!$Q$4:$Q$503,_calc!$E$379)))=0,"",IF(LEN(INDEX('Assets'!$Q$4:$Q$503,_calc!$E$379))=0,"",INDEX('Assets'!$Q$4:$Q$503,_calc!$E$379)))))</f>
        <v/>
      </c>
      <c r="G377" s="44">
        <f>IF(_calc!$E$379="","",IF(LEN(INDEX('Assets'!$P$4:$P$503,_calc!$E$379))=0,"",INDEX('Assets'!$P$4:$P$503,_calc!$E$379)))</f>
        <v/>
      </c>
      <c r="K377" s="44">
        <f>IF(_calc!$E$379="","",IF(LEN(INDEX('Assets'!$N$4:$N$503,_calc!$E$379))=0,"",INDEX('Assets'!$N$4:$N$503,_calc!$E$379)))</f>
        <v/>
      </c>
    </row>
    <row r="378">
      <c r="A378" s="44">
        <f>IF(_calc!$E$380="","",IF(LEN(INDEX('Assets'!$D$4:$D$503,_calc!$E$380))=0,"",INDEX('Assets'!$D$4:$D$503,_calc!$E$380))&amp;" – "&amp;IF(LEN(INDEX('Assets'!$A$4:$A$503,_calc!$E$380))=0,"",INDEX('Assets'!$A$4:$A$503,_calc!$E$380)))</f>
        <v/>
      </c>
      <c r="B378" s="44">
        <f>IF(_calc!$E$380="","",IF(ISNUMBER(INDEX('Assets'!$G$4:$G$503,_calc!$E$380)),TEXT(INDEX('Assets'!$G$4:$G$503,_calc!$E$380),"yyyy-mm-dd"),""))</f>
        <v/>
      </c>
      <c r="C378" s="44">
        <f>IF(_calc!$E$380="","","Inspection")</f>
        <v/>
      </c>
      <c r="D378" s="44">
        <f>IF(_calc!$E$380="","",IF(ISNUMBER(INDEX('Assets'!$F$4:$F$503,_calc!$E$380)),TEXT(INDEX('Assets'!$F$4:$F$503,_calc!$E$380),"yyyy-mm-dd"),""))</f>
        <v/>
      </c>
      <c r="E378" s="44">
        <f>IF(_calc!$E$380="","",IF(LEN(INDEX('Assets'!$O$4:$O$503,_calc!$E$380))=0,"",INDEX('Assets'!$O$4:$O$503,_calc!$E$380)))</f>
        <v/>
      </c>
      <c r="F378" s="44">
        <f>IF(_calc!$E$380="","",TRIM(IF(LEN(IF(LEN(INDEX('Assets'!$B$4:$B$503,_calc!$E$380))=0,"",INDEX('Assets'!$B$4:$B$503,_calc!$E$380)))=0,"","Asset ID: "&amp;IF(LEN(INDEX('Assets'!$B$4:$B$503,_calc!$E$380))=0,"",INDEX('Assets'!$B$4:$B$503,_calc!$E$380))&amp;". ")&amp;IF(LEN(IF(LEN(INDEX('Assets'!$C$4:$C$503,_calc!$E$380))=0,"",INDEX('Assets'!$C$4:$C$503,_calc!$E$380)))=0,"","Location: "&amp;IF(LEN(INDEX('Assets'!$C$4:$C$503,_calc!$E$380))=0,"",INDEX('Assets'!$C$4:$C$503,_calc!$E$380))&amp;". ")&amp;IF(LEN(IF(LEN(INDEX('Assets'!$E$4:$E$503,_calc!$E$380))=0,"",INDEX('Assets'!$E$4:$E$503,_calc!$E$380)))=0,"","Every (months): "&amp;IF(LEN(INDEX('Assets'!$E$4:$E$503,_calc!$E$380))=0,"",INDEX('Assets'!$E$4:$E$503,_calc!$E$380))&amp;". ")&amp;IF(LEN(IF(LEN(INDEX('Assets'!$M$4:$M$503,_calc!$E$380))=0,"",INDEX('Assets'!$M$4:$M$503,_calc!$E$380)))=0,"","Last result: "&amp;IF(LEN(INDEX('Assets'!$M$4:$M$503,_calc!$E$380))=0,"",INDEX('Assets'!$M$4:$M$503,_calc!$E$380))&amp;". ")&amp;IF(LEN(IF(LEN(INDEX('Assets'!$Q$4:$Q$503,_calc!$E$380))=0,"",INDEX('Assets'!$Q$4:$Q$503,_calc!$E$380)))=0,"",IF(LEN(INDEX('Assets'!$Q$4:$Q$503,_calc!$E$380))=0,"",INDEX('Assets'!$Q$4:$Q$503,_calc!$E$380)))))</f>
        <v/>
      </c>
      <c r="G378" s="44">
        <f>IF(_calc!$E$380="","",IF(LEN(INDEX('Assets'!$P$4:$P$503,_calc!$E$380))=0,"",INDEX('Assets'!$P$4:$P$503,_calc!$E$380)))</f>
        <v/>
      </c>
      <c r="K378" s="44">
        <f>IF(_calc!$E$380="","",IF(LEN(INDEX('Assets'!$N$4:$N$503,_calc!$E$380))=0,"",INDEX('Assets'!$N$4:$N$503,_calc!$E$380)))</f>
        <v/>
      </c>
    </row>
    <row r="379">
      <c r="A379" s="44">
        <f>IF(_calc!$E$381="","",IF(LEN(INDEX('Assets'!$D$4:$D$503,_calc!$E$381))=0,"",INDEX('Assets'!$D$4:$D$503,_calc!$E$381))&amp;" – "&amp;IF(LEN(INDEX('Assets'!$A$4:$A$503,_calc!$E$381))=0,"",INDEX('Assets'!$A$4:$A$503,_calc!$E$381)))</f>
        <v/>
      </c>
      <c r="B379" s="44">
        <f>IF(_calc!$E$381="","",IF(ISNUMBER(INDEX('Assets'!$G$4:$G$503,_calc!$E$381)),TEXT(INDEX('Assets'!$G$4:$G$503,_calc!$E$381),"yyyy-mm-dd"),""))</f>
        <v/>
      </c>
      <c r="C379" s="44">
        <f>IF(_calc!$E$381="","","Inspection")</f>
        <v/>
      </c>
      <c r="D379" s="44">
        <f>IF(_calc!$E$381="","",IF(ISNUMBER(INDEX('Assets'!$F$4:$F$503,_calc!$E$381)),TEXT(INDEX('Assets'!$F$4:$F$503,_calc!$E$381),"yyyy-mm-dd"),""))</f>
        <v/>
      </c>
      <c r="E379" s="44">
        <f>IF(_calc!$E$381="","",IF(LEN(INDEX('Assets'!$O$4:$O$503,_calc!$E$381))=0,"",INDEX('Assets'!$O$4:$O$503,_calc!$E$381)))</f>
        <v/>
      </c>
      <c r="F379" s="44">
        <f>IF(_calc!$E$381="","",TRIM(IF(LEN(IF(LEN(INDEX('Assets'!$B$4:$B$503,_calc!$E$381))=0,"",INDEX('Assets'!$B$4:$B$503,_calc!$E$381)))=0,"","Asset ID: "&amp;IF(LEN(INDEX('Assets'!$B$4:$B$503,_calc!$E$381))=0,"",INDEX('Assets'!$B$4:$B$503,_calc!$E$381))&amp;". ")&amp;IF(LEN(IF(LEN(INDEX('Assets'!$C$4:$C$503,_calc!$E$381))=0,"",INDEX('Assets'!$C$4:$C$503,_calc!$E$381)))=0,"","Location: "&amp;IF(LEN(INDEX('Assets'!$C$4:$C$503,_calc!$E$381))=0,"",INDEX('Assets'!$C$4:$C$503,_calc!$E$381))&amp;". ")&amp;IF(LEN(IF(LEN(INDEX('Assets'!$E$4:$E$503,_calc!$E$381))=0,"",INDEX('Assets'!$E$4:$E$503,_calc!$E$381)))=0,"","Every (months): "&amp;IF(LEN(INDEX('Assets'!$E$4:$E$503,_calc!$E$381))=0,"",INDEX('Assets'!$E$4:$E$503,_calc!$E$381))&amp;". ")&amp;IF(LEN(IF(LEN(INDEX('Assets'!$M$4:$M$503,_calc!$E$381))=0,"",INDEX('Assets'!$M$4:$M$503,_calc!$E$381)))=0,"","Last result: "&amp;IF(LEN(INDEX('Assets'!$M$4:$M$503,_calc!$E$381))=0,"",INDEX('Assets'!$M$4:$M$503,_calc!$E$381))&amp;". ")&amp;IF(LEN(IF(LEN(INDEX('Assets'!$Q$4:$Q$503,_calc!$E$381))=0,"",INDEX('Assets'!$Q$4:$Q$503,_calc!$E$381)))=0,"",IF(LEN(INDEX('Assets'!$Q$4:$Q$503,_calc!$E$381))=0,"",INDEX('Assets'!$Q$4:$Q$503,_calc!$E$381)))))</f>
        <v/>
      </c>
      <c r="G379" s="44">
        <f>IF(_calc!$E$381="","",IF(LEN(INDEX('Assets'!$P$4:$P$503,_calc!$E$381))=0,"",INDEX('Assets'!$P$4:$P$503,_calc!$E$381)))</f>
        <v/>
      </c>
      <c r="K379" s="44">
        <f>IF(_calc!$E$381="","",IF(LEN(INDEX('Assets'!$N$4:$N$503,_calc!$E$381))=0,"",INDEX('Assets'!$N$4:$N$503,_calc!$E$381)))</f>
        <v/>
      </c>
    </row>
    <row r="380">
      <c r="A380" s="44">
        <f>IF(_calc!$E$382="","",IF(LEN(INDEX('Assets'!$D$4:$D$503,_calc!$E$382))=0,"",INDEX('Assets'!$D$4:$D$503,_calc!$E$382))&amp;" – "&amp;IF(LEN(INDEX('Assets'!$A$4:$A$503,_calc!$E$382))=0,"",INDEX('Assets'!$A$4:$A$503,_calc!$E$382)))</f>
        <v/>
      </c>
      <c r="B380" s="44">
        <f>IF(_calc!$E$382="","",IF(ISNUMBER(INDEX('Assets'!$G$4:$G$503,_calc!$E$382)),TEXT(INDEX('Assets'!$G$4:$G$503,_calc!$E$382),"yyyy-mm-dd"),""))</f>
        <v/>
      </c>
      <c r="C380" s="44">
        <f>IF(_calc!$E$382="","","Inspection")</f>
        <v/>
      </c>
      <c r="D380" s="44">
        <f>IF(_calc!$E$382="","",IF(ISNUMBER(INDEX('Assets'!$F$4:$F$503,_calc!$E$382)),TEXT(INDEX('Assets'!$F$4:$F$503,_calc!$E$382),"yyyy-mm-dd"),""))</f>
        <v/>
      </c>
      <c r="E380" s="44">
        <f>IF(_calc!$E$382="","",IF(LEN(INDEX('Assets'!$O$4:$O$503,_calc!$E$382))=0,"",INDEX('Assets'!$O$4:$O$503,_calc!$E$382)))</f>
        <v/>
      </c>
      <c r="F380" s="44">
        <f>IF(_calc!$E$382="","",TRIM(IF(LEN(IF(LEN(INDEX('Assets'!$B$4:$B$503,_calc!$E$382))=0,"",INDEX('Assets'!$B$4:$B$503,_calc!$E$382)))=0,"","Asset ID: "&amp;IF(LEN(INDEX('Assets'!$B$4:$B$503,_calc!$E$382))=0,"",INDEX('Assets'!$B$4:$B$503,_calc!$E$382))&amp;". ")&amp;IF(LEN(IF(LEN(INDEX('Assets'!$C$4:$C$503,_calc!$E$382))=0,"",INDEX('Assets'!$C$4:$C$503,_calc!$E$382)))=0,"","Location: "&amp;IF(LEN(INDEX('Assets'!$C$4:$C$503,_calc!$E$382))=0,"",INDEX('Assets'!$C$4:$C$503,_calc!$E$382))&amp;". ")&amp;IF(LEN(IF(LEN(INDEX('Assets'!$E$4:$E$503,_calc!$E$382))=0,"",INDEX('Assets'!$E$4:$E$503,_calc!$E$382)))=0,"","Every (months): "&amp;IF(LEN(INDEX('Assets'!$E$4:$E$503,_calc!$E$382))=0,"",INDEX('Assets'!$E$4:$E$503,_calc!$E$382))&amp;". ")&amp;IF(LEN(IF(LEN(INDEX('Assets'!$M$4:$M$503,_calc!$E$382))=0,"",INDEX('Assets'!$M$4:$M$503,_calc!$E$382)))=0,"","Last result: "&amp;IF(LEN(INDEX('Assets'!$M$4:$M$503,_calc!$E$382))=0,"",INDEX('Assets'!$M$4:$M$503,_calc!$E$382))&amp;". ")&amp;IF(LEN(IF(LEN(INDEX('Assets'!$Q$4:$Q$503,_calc!$E$382))=0,"",INDEX('Assets'!$Q$4:$Q$503,_calc!$E$382)))=0,"",IF(LEN(INDEX('Assets'!$Q$4:$Q$503,_calc!$E$382))=0,"",INDEX('Assets'!$Q$4:$Q$503,_calc!$E$382)))))</f>
        <v/>
      </c>
      <c r="G380" s="44">
        <f>IF(_calc!$E$382="","",IF(LEN(INDEX('Assets'!$P$4:$P$503,_calc!$E$382))=0,"",INDEX('Assets'!$P$4:$P$503,_calc!$E$382)))</f>
        <v/>
      </c>
      <c r="K380" s="44">
        <f>IF(_calc!$E$382="","",IF(LEN(INDEX('Assets'!$N$4:$N$503,_calc!$E$382))=0,"",INDEX('Assets'!$N$4:$N$503,_calc!$E$382)))</f>
        <v/>
      </c>
    </row>
    <row r="381">
      <c r="A381" s="44">
        <f>IF(_calc!$E$383="","",IF(LEN(INDEX('Assets'!$D$4:$D$503,_calc!$E$383))=0,"",INDEX('Assets'!$D$4:$D$503,_calc!$E$383))&amp;" – "&amp;IF(LEN(INDEX('Assets'!$A$4:$A$503,_calc!$E$383))=0,"",INDEX('Assets'!$A$4:$A$503,_calc!$E$383)))</f>
        <v/>
      </c>
      <c r="B381" s="44">
        <f>IF(_calc!$E$383="","",IF(ISNUMBER(INDEX('Assets'!$G$4:$G$503,_calc!$E$383)),TEXT(INDEX('Assets'!$G$4:$G$503,_calc!$E$383),"yyyy-mm-dd"),""))</f>
        <v/>
      </c>
      <c r="C381" s="44">
        <f>IF(_calc!$E$383="","","Inspection")</f>
        <v/>
      </c>
      <c r="D381" s="44">
        <f>IF(_calc!$E$383="","",IF(ISNUMBER(INDEX('Assets'!$F$4:$F$503,_calc!$E$383)),TEXT(INDEX('Assets'!$F$4:$F$503,_calc!$E$383),"yyyy-mm-dd"),""))</f>
        <v/>
      </c>
      <c r="E381" s="44">
        <f>IF(_calc!$E$383="","",IF(LEN(INDEX('Assets'!$O$4:$O$503,_calc!$E$383))=0,"",INDEX('Assets'!$O$4:$O$503,_calc!$E$383)))</f>
        <v/>
      </c>
      <c r="F381" s="44">
        <f>IF(_calc!$E$383="","",TRIM(IF(LEN(IF(LEN(INDEX('Assets'!$B$4:$B$503,_calc!$E$383))=0,"",INDEX('Assets'!$B$4:$B$503,_calc!$E$383)))=0,"","Asset ID: "&amp;IF(LEN(INDEX('Assets'!$B$4:$B$503,_calc!$E$383))=0,"",INDEX('Assets'!$B$4:$B$503,_calc!$E$383))&amp;". ")&amp;IF(LEN(IF(LEN(INDEX('Assets'!$C$4:$C$503,_calc!$E$383))=0,"",INDEX('Assets'!$C$4:$C$503,_calc!$E$383)))=0,"","Location: "&amp;IF(LEN(INDEX('Assets'!$C$4:$C$503,_calc!$E$383))=0,"",INDEX('Assets'!$C$4:$C$503,_calc!$E$383))&amp;". ")&amp;IF(LEN(IF(LEN(INDEX('Assets'!$E$4:$E$503,_calc!$E$383))=0,"",INDEX('Assets'!$E$4:$E$503,_calc!$E$383)))=0,"","Every (months): "&amp;IF(LEN(INDEX('Assets'!$E$4:$E$503,_calc!$E$383))=0,"",INDEX('Assets'!$E$4:$E$503,_calc!$E$383))&amp;". ")&amp;IF(LEN(IF(LEN(INDEX('Assets'!$M$4:$M$503,_calc!$E$383))=0,"",INDEX('Assets'!$M$4:$M$503,_calc!$E$383)))=0,"","Last result: "&amp;IF(LEN(INDEX('Assets'!$M$4:$M$503,_calc!$E$383))=0,"",INDEX('Assets'!$M$4:$M$503,_calc!$E$383))&amp;". ")&amp;IF(LEN(IF(LEN(INDEX('Assets'!$Q$4:$Q$503,_calc!$E$383))=0,"",INDEX('Assets'!$Q$4:$Q$503,_calc!$E$383)))=0,"",IF(LEN(INDEX('Assets'!$Q$4:$Q$503,_calc!$E$383))=0,"",INDEX('Assets'!$Q$4:$Q$503,_calc!$E$383)))))</f>
        <v/>
      </c>
      <c r="G381" s="44">
        <f>IF(_calc!$E$383="","",IF(LEN(INDEX('Assets'!$P$4:$P$503,_calc!$E$383))=0,"",INDEX('Assets'!$P$4:$P$503,_calc!$E$383)))</f>
        <v/>
      </c>
      <c r="K381" s="44">
        <f>IF(_calc!$E$383="","",IF(LEN(INDEX('Assets'!$N$4:$N$503,_calc!$E$383))=0,"",INDEX('Assets'!$N$4:$N$503,_calc!$E$383)))</f>
        <v/>
      </c>
    </row>
    <row r="382">
      <c r="A382" s="44">
        <f>IF(_calc!$E$384="","",IF(LEN(INDEX('Assets'!$D$4:$D$503,_calc!$E$384))=0,"",INDEX('Assets'!$D$4:$D$503,_calc!$E$384))&amp;" – "&amp;IF(LEN(INDEX('Assets'!$A$4:$A$503,_calc!$E$384))=0,"",INDEX('Assets'!$A$4:$A$503,_calc!$E$384)))</f>
        <v/>
      </c>
      <c r="B382" s="44">
        <f>IF(_calc!$E$384="","",IF(ISNUMBER(INDEX('Assets'!$G$4:$G$503,_calc!$E$384)),TEXT(INDEX('Assets'!$G$4:$G$503,_calc!$E$384),"yyyy-mm-dd"),""))</f>
        <v/>
      </c>
      <c r="C382" s="44">
        <f>IF(_calc!$E$384="","","Inspection")</f>
        <v/>
      </c>
      <c r="D382" s="44">
        <f>IF(_calc!$E$384="","",IF(ISNUMBER(INDEX('Assets'!$F$4:$F$503,_calc!$E$384)),TEXT(INDEX('Assets'!$F$4:$F$503,_calc!$E$384),"yyyy-mm-dd"),""))</f>
        <v/>
      </c>
      <c r="E382" s="44">
        <f>IF(_calc!$E$384="","",IF(LEN(INDEX('Assets'!$O$4:$O$503,_calc!$E$384))=0,"",INDEX('Assets'!$O$4:$O$503,_calc!$E$384)))</f>
        <v/>
      </c>
      <c r="F382" s="44">
        <f>IF(_calc!$E$384="","",TRIM(IF(LEN(IF(LEN(INDEX('Assets'!$B$4:$B$503,_calc!$E$384))=0,"",INDEX('Assets'!$B$4:$B$503,_calc!$E$384)))=0,"","Asset ID: "&amp;IF(LEN(INDEX('Assets'!$B$4:$B$503,_calc!$E$384))=0,"",INDEX('Assets'!$B$4:$B$503,_calc!$E$384))&amp;". ")&amp;IF(LEN(IF(LEN(INDEX('Assets'!$C$4:$C$503,_calc!$E$384))=0,"",INDEX('Assets'!$C$4:$C$503,_calc!$E$384)))=0,"","Location: "&amp;IF(LEN(INDEX('Assets'!$C$4:$C$503,_calc!$E$384))=0,"",INDEX('Assets'!$C$4:$C$503,_calc!$E$384))&amp;". ")&amp;IF(LEN(IF(LEN(INDEX('Assets'!$E$4:$E$503,_calc!$E$384))=0,"",INDEX('Assets'!$E$4:$E$503,_calc!$E$384)))=0,"","Every (months): "&amp;IF(LEN(INDEX('Assets'!$E$4:$E$503,_calc!$E$384))=0,"",INDEX('Assets'!$E$4:$E$503,_calc!$E$384))&amp;". ")&amp;IF(LEN(IF(LEN(INDEX('Assets'!$M$4:$M$503,_calc!$E$384))=0,"",INDEX('Assets'!$M$4:$M$503,_calc!$E$384)))=0,"","Last result: "&amp;IF(LEN(INDEX('Assets'!$M$4:$M$503,_calc!$E$384))=0,"",INDEX('Assets'!$M$4:$M$503,_calc!$E$384))&amp;". ")&amp;IF(LEN(IF(LEN(INDEX('Assets'!$Q$4:$Q$503,_calc!$E$384))=0,"",INDEX('Assets'!$Q$4:$Q$503,_calc!$E$384)))=0,"",IF(LEN(INDEX('Assets'!$Q$4:$Q$503,_calc!$E$384))=0,"",INDEX('Assets'!$Q$4:$Q$503,_calc!$E$384)))))</f>
        <v/>
      </c>
      <c r="G382" s="44">
        <f>IF(_calc!$E$384="","",IF(LEN(INDEX('Assets'!$P$4:$P$503,_calc!$E$384))=0,"",INDEX('Assets'!$P$4:$P$503,_calc!$E$384)))</f>
        <v/>
      </c>
      <c r="K382" s="44">
        <f>IF(_calc!$E$384="","",IF(LEN(INDEX('Assets'!$N$4:$N$503,_calc!$E$384))=0,"",INDEX('Assets'!$N$4:$N$503,_calc!$E$384)))</f>
        <v/>
      </c>
    </row>
    <row r="383">
      <c r="A383" s="44">
        <f>IF(_calc!$E$385="","",IF(LEN(INDEX('Assets'!$D$4:$D$503,_calc!$E$385))=0,"",INDEX('Assets'!$D$4:$D$503,_calc!$E$385))&amp;" – "&amp;IF(LEN(INDEX('Assets'!$A$4:$A$503,_calc!$E$385))=0,"",INDEX('Assets'!$A$4:$A$503,_calc!$E$385)))</f>
        <v/>
      </c>
      <c r="B383" s="44">
        <f>IF(_calc!$E$385="","",IF(ISNUMBER(INDEX('Assets'!$G$4:$G$503,_calc!$E$385)),TEXT(INDEX('Assets'!$G$4:$G$503,_calc!$E$385),"yyyy-mm-dd"),""))</f>
        <v/>
      </c>
      <c r="C383" s="44">
        <f>IF(_calc!$E$385="","","Inspection")</f>
        <v/>
      </c>
      <c r="D383" s="44">
        <f>IF(_calc!$E$385="","",IF(ISNUMBER(INDEX('Assets'!$F$4:$F$503,_calc!$E$385)),TEXT(INDEX('Assets'!$F$4:$F$503,_calc!$E$385),"yyyy-mm-dd"),""))</f>
        <v/>
      </c>
      <c r="E383" s="44">
        <f>IF(_calc!$E$385="","",IF(LEN(INDEX('Assets'!$O$4:$O$503,_calc!$E$385))=0,"",INDEX('Assets'!$O$4:$O$503,_calc!$E$385)))</f>
        <v/>
      </c>
      <c r="F383" s="44">
        <f>IF(_calc!$E$385="","",TRIM(IF(LEN(IF(LEN(INDEX('Assets'!$B$4:$B$503,_calc!$E$385))=0,"",INDEX('Assets'!$B$4:$B$503,_calc!$E$385)))=0,"","Asset ID: "&amp;IF(LEN(INDEX('Assets'!$B$4:$B$503,_calc!$E$385))=0,"",INDEX('Assets'!$B$4:$B$503,_calc!$E$385))&amp;". ")&amp;IF(LEN(IF(LEN(INDEX('Assets'!$C$4:$C$503,_calc!$E$385))=0,"",INDEX('Assets'!$C$4:$C$503,_calc!$E$385)))=0,"","Location: "&amp;IF(LEN(INDEX('Assets'!$C$4:$C$503,_calc!$E$385))=0,"",INDEX('Assets'!$C$4:$C$503,_calc!$E$385))&amp;". ")&amp;IF(LEN(IF(LEN(INDEX('Assets'!$E$4:$E$503,_calc!$E$385))=0,"",INDEX('Assets'!$E$4:$E$503,_calc!$E$385)))=0,"","Every (months): "&amp;IF(LEN(INDEX('Assets'!$E$4:$E$503,_calc!$E$385))=0,"",INDEX('Assets'!$E$4:$E$503,_calc!$E$385))&amp;". ")&amp;IF(LEN(IF(LEN(INDEX('Assets'!$M$4:$M$503,_calc!$E$385))=0,"",INDEX('Assets'!$M$4:$M$503,_calc!$E$385)))=0,"","Last result: "&amp;IF(LEN(INDEX('Assets'!$M$4:$M$503,_calc!$E$385))=0,"",INDEX('Assets'!$M$4:$M$503,_calc!$E$385))&amp;". ")&amp;IF(LEN(IF(LEN(INDEX('Assets'!$Q$4:$Q$503,_calc!$E$385))=0,"",INDEX('Assets'!$Q$4:$Q$503,_calc!$E$385)))=0,"",IF(LEN(INDEX('Assets'!$Q$4:$Q$503,_calc!$E$385))=0,"",INDEX('Assets'!$Q$4:$Q$503,_calc!$E$385)))))</f>
        <v/>
      </c>
      <c r="G383" s="44">
        <f>IF(_calc!$E$385="","",IF(LEN(INDEX('Assets'!$P$4:$P$503,_calc!$E$385))=0,"",INDEX('Assets'!$P$4:$P$503,_calc!$E$385)))</f>
        <v/>
      </c>
      <c r="K383" s="44">
        <f>IF(_calc!$E$385="","",IF(LEN(INDEX('Assets'!$N$4:$N$503,_calc!$E$385))=0,"",INDEX('Assets'!$N$4:$N$503,_calc!$E$385)))</f>
        <v/>
      </c>
    </row>
    <row r="384">
      <c r="A384" s="44">
        <f>IF(_calc!$E$386="","",IF(LEN(INDEX('Assets'!$D$4:$D$503,_calc!$E$386))=0,"",INDEX('Assets'!$D$4:$D$503,_calc!$E$386))&amp;" – "&amp;IF(LEN(INDEX('Assets'!$A$4:$A$503,_calc!$E$386))=0,"",INDEX('Assets'!$A$4:$A$503,_calc!$E$386)))</f>
        <v/>
      </c>
      <c r="B384" s="44">
        <f>IF(_calc!$E$386="","",IF(ISNUMBER(INDEX('Assets'!$G$4:$G$503,_calc!$E$386)),TEXT(INDEX('Assets'!$G$4:$G$503,_calc!$E$386),"yyyy-mm-dd"),""))</f>
        <v/>
      </c>
      <c r="C384" s="44">
        <f>IF(_calc!$E$386="","","Inspection")</f>
        <v/>
      </c>
      <c r="D384" s="44">
        <f>IF(_calc!$E$386="","",IF(ISNUMBER(INDEX('Assets'!$F$4:$F$503,_calc!$E$386)),TEXT(INDEX('Assets'!$F$4:$F$503,_calc!$E$386),"yyyy-mm-dd"),""))</f>
        <v/>
      </c>
      <c r="E384" s="44">
        <f>IF(_calc!$E$386="","",IF(LEN(INDEX('Assets'!$O$4:$O$503,_calc!$E$386))=0,"",INDEX('Assets'!$O$4:$O$503,_calc!$E$386)))</f>
        <v/>
      </c>
      <c r="F384" s="44">
        <f>IF(_calc!$E$386="","",TRIM(IF(LEN(IF(LEN(INDEX('Assets'!$B$4:$B$503,_calc!$E$386))=0,"",INDEX('Assets'!$B$4:$B$503,_calc!$E$386)))=0,"","Asset ID: "&amp;IF(LEN(INDEX('Assets'!$B$4:$B$503,_calc!$E$386))=0,"",INDEX('Assets'!$B$4:$B$503,_calc!$E$386))&amp;". ")&amp;IF(LEN(IF(LEN(INDEX('Assets'!$C$4:$C$503,_calc!$E$386))=0,"",INDEX('Assets'!$C$4:$C$503,_calc!$E$386)))=0,"","Location: "&amp;IF(LEN(INDEX('Assets'!$C$4:$C$503,_calc!$E$386))=0,"",INDEX('Assets'!$C$4:$C$503,_calc!$E$386))&amp;". ")&amp;IF(LEN(IF(LEN(INDEX('Assets'!$E$4:$E$503,_calc!$E$386))=0,"",INDEX('Assets'!$E$4:$E$503,_calc!$E$386)))=0,"","Every (months): "&amp;IF(LEN(INDEX('Assets'!$E$4:$E$503,_calc!$E$386))=0,"",INDEX('Assets'!$E$4:$E$503,_calc!$E$386))&amp;". ")&amp;IF(LEN(IF(LEN(INDEX('Assets'!$M$4:$M$503,_calc!$E$386))=0,"",INDEX('Assets'!$M$4:$M$503,_calc!$E$386)))=0,"","Last result: "&amp;IF(LEN(INDEX('Assets'!$M$4:$M$503,_calc!$E$386))=0,"",INDEX('Assets'!$M$4:$M$503,_calc!$E$386))&amp;". ")&amp;IF(LEN(IF(LEN(INDEX('Assets'!$Q$4:$Q$503,_calc!$E$386))=0,"",INDEX('Assets'!$Q$4:$Q$503,_calc!$E$386)))=0,"",IF(LEN(INDEX('Assets'!$Q$4:$Q$503,_calc!$E$386))=0,"",INDEX('Assets'!$Q$4:$Q$503,_calc!$E$386)))))</f>
        <v/>
      </c>
      <c r="G384" s="44">
        <f>IF(_calc!$E$386="","",IF(LEN(INDEX('Assets'!$P$4:$P$503,_calc!$E$386))=0,"",INDEX('Assets'!$P$4:$P$503,_calc!$E$386)))</f>
        <v/>
      </c>
      <c r="K384" s="44">
        <f>IF(_calc!$E$386="","",IF(LEN(INDEX('Assets'!$N$4:$N$503,_calc!$E$386))=0,"",INDEX('Assets'!$N$4:$N$503,_calc!$E$386)))</f>
        <v/>
      </c>
    </row>
    <row r="385">
      <c r="A385" s="44">
        <f>IF(_calc!$E$387="","",IF(LEN(INDEX('Assets'!$D$4:$D$503,_calc!$E$387))=0,"",INDEX('Assets'!$D$4:$D$503,_calc!$E$387))&amp;" – "&amp;IF(LEN(INDEX('Assets'!$A$4:$A$503,_calc!$E$387))=0,"",INDEX('Assets'!$A$4:$A$503,_calc!$E$387)))</f>
        <v/>
      </c>
      <c r="B385" s="44">
        <f>IF(_calc!$E$387="","",IF(ISNUMBER(INDEX('Assets'!$G$4:$G$503,_calc!$E$387)),TEXT(INDEX('Assets'!$G$4:$G$503,_calc!$E$387),"yyyy-mm-dd"),""))</f>
        <v/>
      </c>
      <c r="C385" s="44">
        <f>IF(_calc!$E$387="","","Inspection")</f>
        <v/>
      </c>
      <c r="D385" s="44">
        <f>IF(_calc!$E$387="","",IF(ISNUMBER(INDEX('Assets'!$F$4:$F$503,_calc!$E$387)),TEXT(INDEX('Assets'!$F$4:$F$503,_calc!$E$387),"yyyy-mm-dd"),""))</f>
        <v/>
      </c>
      <c r="E385" s="44">
        <f>IF(_calc!$E$387="","",IF(LEN(INDEX('Assets'!$O$4:$O$503,_calc!$E$387))=0,"",INDEX('Assets'!$O$4:$O$503,_calc!$E$387)))</f>
        <v/>
      </c>
      <c r="F385" s="44">
        <f>IF(_calc!$E$387="","",TRIM(IF(LEN(IF(LEN(INDEX('Assets'!$B$4:$B$503,_calc!$E$387))=0,"",INDEX('Assets'!$B$4:$B$503,_calc!$E$387)))=0,"","Asset ID: "&amp;IF(LEN(INDEX('Assets'!$B$4:$B$503,_calc!$E$387))=0,"",INDEX('Assets'!$B$4:$B$503,_calc!$E$387))&amp;". ")&amp;IF(LEN(IF(LEN(INDEX('Assets'!$C$4:$C$503,_calc!$E$387))=0,"",INDEX('Assets'!$C$4:$C$503,_calc!$E$387)))=0,"","Location: "&amp;IF(LEN(INDEX('Assets'!$C$4:$C$503,_calc!$E$387))=0,"",INDEX('Assets'!$C$4:$C$503,_calc!$E$387))&amp;". ")&amp;IF(LEN(IF(LEN(INDEX('Assets'!$E$4:$E$503,_calc!$E$387))=0,"",INDEX('Assets'!$E$4:$E$503,_calc!$E$387)))=0,"","Every (months): "&amp;IF(LEN(INDEX('Assets'!$E$4:$E$503,_calc!$E$387))=0,"",INDEX('Assets'!$E$4:$E$503,_calc!$E$387))&amp;". ")&amp;IF(LEN(IF(LEN(INDEX('Assets'!$M$4:$M$503,_calc!$E$387))=0,"",INDEX('Assets'!$M$4:$M$503,_calc!$E$387)))=0,"","Last result: "&amp;IF(LEN(INDEX('Assets'!$M$4:$M$503,_calc!$E$387))=0,"",INDEX('Assets'!$M$4:$M$503,_calc!$E$387))&amp;". ")&amp;IF(LEN(IF(LEN(INDEX('Assets'!$Q$4:$Q$503,_calc!$E$387))=0,"",INDEX('Assets'!$Q$4:$Q$503,_calc!$E$387)))=0,"",IF(LEN(INDEX('Assets'!$Q$4:$Q$503,_calc!$E$387))=0,"",INDEX('Assets'!$Q$4:$Q$503,_calc!$E$387)))))</f>
        <v/>
      </c>
      <c r="G385" s="44">
        <f>IF(_calc!$E$387="","",IF(LEN(INDEX('Assets'!$P$4:$P$503,_calc!$E$387))=0,"",INDEX('Assets'!$P$4:$P$503,_calc!$E$387)))</f>
        <v/>
      </c>
      <c r="K385" s="44">
        <f>IF(_calc!$E$387="","",IF(LEN(INDEX('Assets'!$N$4:$N$503,_calc!$E$387))=0,"",INDEX('Assets'!$N$4:$N$503,_calc!$E$387)))</f>
        <v/>
      </c>
    </row>
    <row r="386">
      <c r="A386" s="44">
        <f>IF(_calc!$E$388="","",IF(LEN(INDEX('Assets'!$D$4:$D$503,_calc!$E$388))=0,"",INDEX('Assets'!$D$4:$D$503,_calc!$E$388))&amp;" – "&amp;IF(LEN(INDEX('Assets'!$A$4:$A$503,_calc!$E$388))=0,"",INDEX('Assets'!$A$4:$A$503,_calc!$E$388)))</f>
        <v/>
      </c>
      <c r="B386" s="44">
        <f>IF(_calc!$E$388="","",IF(ISNUMBER(INDEX('Assets'!$G$4:$G$503,_calc!$E$388)),TEXT(INDEX('Assets'!$G$4:$G$503,_calc!$E$388),"yyyy-mm-dd"),""))</f>
        <v/>
      </c>
      <c r="C386" s="44">
        <f>IF(_calc!$E$388="","","Inspection")</f>
        <v/>
      </c>
      <c r="D386" s="44">
        <f>IF(_calc!$E$388="","",IF(ISNUMBER(INDEX('Assets'!$F$4:$F$503,_calc!$E$388)),TEXT(INDEX('Assets'!$F$4:$F$503,_calc!$E$388),"yyyy-mm-dd"),""))</f>
        <v/>
      </c>
      <c r="E386" s="44">
        <f>IF(_calc!$E$388="","",IF(LEN(INDEX('Assets'!$O$4:$O$503,_calc!$E$388))=0,"",INDEX('Assets'!$O$4:$O$503,_calc!$E$388)))</f>
        <v/>
      </c>
      <c r="F386" s="44">
        <f>IF(_calc!$E$388="","",TRIM(IF(LEN(IF(LEN(INDEX('Assets'!$B$4:$B$503,_calc!$E$388))=0,"",INDEX('Assets'!$B$4:$B$503,_calc!$E$388)))=0,"","Asset ID: "&amp;IF(LEN(INDEX('Assets'!$B$4:$B$503,_calc!$E$388))=0,"",INDEX('Assets'!$B$4:$B$503,_calc!$E$388))&amp;". ")&amp;IF(LEN(IF(LEN(INDEX('Assets'!$C$4:$C$503,_calc!$E$388))=0,"",INDEX('Assets'!$C$4:$C$503,_calc!$E$388)))=0,"","Location: "&amp;IF(LEN(INDEX('Assets'!$C$4:$C$503,_calc!$E$388))=0,"",INDEX('Assets'!$C$4:$C$503,_calc!$E$388))&amp;". ")&amp;IF(LEN(IF(LEN(INDEX('Assets'!$E$4:$E$503,_calc!$E$388))=0,"",INDEX('Assets'!$E$4:$E$503,_calc!$E$388)))=0,"","Every (months): "&amp;IF(LEN(INDEX('Assets'!$E$4:$E$503,_calc!$E$388))=0,"",INDEX('Assets'!$E$4:$E$503,_calc!$E$388))&amp;". ")&amp;IF(LEN(IF(LEN(INDEX('Assets'!$M$4:$M$503,_calc!$E$388))=0,"",INDEX('Assets'!$M$4:$M$503,_calc!$E$388)))=0,"","Last result: "&amp;IF(LEN(INDEX('Assets'!$M$4:$M$503,_calc!$E$388))=0,"",INDEX('Assets'!$M$4:$M$503,_calc!$E$388))&amp;". ")&amp;IF(LEN(IF(LEN(INDEX('Assets'!$Q$4:$Q$503,_calc!$E$388))=0,"",INDEX('Assets'!$Q$4:$Q$503,_calc!$E$388)))=0,"",IF(LEN(INDEX('Assets'!$Q$4:$Q$503,_calc!$E$388))=0,"",INDEX('Assets'!$Q$4:$Q$503,_calc!$E$388)))))</f>
        <v/>
      </c>
      <c r="G386" s="44">
        <f>IF(_calc!$E$388="","",IF(LEN(INDEX('Assets'!$P$4:$P$503,_calc!$E$388))=0,"",INDEX('Assets'!$P$4:$P$503,_calc!$E$388)))</f>
        <v/>
      </c>
      <c r="K386" s="44">
        <f>IF(_calc!$E$388="","",IF(LEN(INDEX('Assets'!$N$4:$N$503,_calc!$E$388))=0,"",INDEX('Assets'!$N$4:$N$503,_calc!$E$388)))</f>
        <v/>
      </c>
    </row>
    <row r="387">
      <c r="A387" s="44">
        <f>IF(_calc!$E$389="","",IF(LEN(INDEX('Assets'!$D$4:$D$503,_calc!$E$389))=0,"",INDEX('Assets'!$D$4:$D$503,_calc!$E$389))&amp;" – "&amp;IF(LEN(INDEX('Assets'!$A$4:$A$503,_calc!$E$389))=0,"",INDEX('Assets'!$A$4:$A$503,_calc!$E$389)))</f>
        <v/>
      </c>
      <c r="B387" s="44">
        <f>IF(_calc!$E$389="","",IF(ISNUMBER(INDEX('Assets'!$G$4:$G$503,_calc!$E$389)),TEXT(INDEX('Assets'!$G$4:$G$503,_calc!$E$389),"yyyy-mm-dd"),""))</f>
        <v/>
      </c>
      <c r="C387" s="44">
        <f>IF(_calc!$E$389="","","Inspection")</f>
        <v/>
      </c>
      <c r="D387" s="44">
        <f>IF(_calc!$E$389="","",IF(ISNUMBER(INDEX('Assets'!$F$4:$F$503,_calc!$E$389)),TEXT(INDEX('Assets'!$F$4:$F$503,_calc!$E$389),"yyyy-mm-dd"),""))</f>
        <v/>
      </c>
      <c r="E387" s="44">
        <f>IF(_calc!$E$389="","",IF(LEN(INDEX('Assets'!$O$4:$O$503,_calc!$E$389))=0,"",INDEX('Assets'!$O$4:$O$503,_calc!$E$389)))</f>
        <v/>
      </c>
      <c r="F387" s="44">
        <f>IF(_calc!$E$389="","",TRIM(IF(LEN(IF(LEN(INDEX('Assets'!$B$4:$B$503,_calc!$E$389))=0,"",INDEX('Assets'!$B$4:$B$503,_calc!$E$389)))=0,"","Asset ID: "&amp;IF(LEN(INDEX('Assets'!$B$4:$B$503,_calc!$E$389))=0,"",INDEX('Assets'!$B$4:$B$503,_calc!$E$389))&amp;". ")&amp;IF(LEN(IF(LEN(INDEX('Assets'!$C$4:$C$503,_calc!$E$389))=0,"",INDEX('Assets'!$C$4:$C$503,_calc!$E$389)))=0,"","Location: "&amp;IF(LEN(INDEX('Assets'!$C$4:$C$503,_calc!$E$389))=0,"",INDEX('Assets'!$C$4:$C$503,_calc!$E$389))&amp;". ")&amp;IF(LEN(IF(LEN(INDEX('Assets'!$E$4:$E$503,_calc!$E$389))=0,"",INDEX('Assets'!$E$4:$E$503,_calc!$E$389)))=0,"","Every (months): "&amp;IF(LEN(INDEX('Assets'!$E$4:$E$503,_calc!$E$389))=0,"",INDEX('Assets'!$E$4:$E$503,_calc!$E$389))&amp;". ")&amp;IF(LEN(IF(LEN(INDEX('Assets'!$M$4:$M$503,_calc!$E$389))=0,"",INDEX('Assets'!$M$4:$M$503,_calc!$E$389)))=0,"","Last result: "&amp;IF(LEN(INDEX('Assets'!$M$4:$M$503,_calc!$E$389))=0,"",INDEX('Assets'!$M$4:$M$503,_calc!$E$389))&amp;". ")&amp;IF(LEN(IF(LEN(INDEX('Assets'!$Q$4:$Q$503,_calc!$E$389))=0,"",INDEX('Assets'!$Q$4:$Q$503,_calc!$E$389)))=0,"",IF(LEN(INDEX('Assets'!$Q$4:$Q$503,_calc!$E$389))=0,"",INDEX('Assets'!$Q$4:$Q$503,_calc!$E$389)))))</f>
        <v/>
      </c>
      <c r="G387" s="44">
        <f>IF(_calc!$E$389="","",IF(LEN(INDEX('Assets'!$P$4:$P$503,_calc!$E$389))=0,"",INDEX('Assets'!$P$4:$P$503,_calc!$E$389)))</f>
        <v/>
      </c>
      <c r="K387" s="44">
        <f>IF(_calc!$E$389="","",IF(LEN(INDEX('Assets'!$N$4:$N$503,_calc!$E$389))=0,"",INDEX('Assets'!$N$4:$N$503,_calc!$E$389)))</f>
        <v/>
      </c>
    </row>
    <row r="388">
      <c r="A388" s="44">
        <f>IF(_calc!$E$390="","",IF(LEN(INDEX('Assets'!$D$4:$D$503,_calc!$E$390))=0,"",INDEX('Assets'!$D$4:$D$503,_calc!$E$390))&amp;" – "&amp;IF(LEN(INDEX('Assets'!$A$4:$A$503,_calc!$E$390))=0,"",INDEX('Assets'!$A$4:$A$503,_calc!$E$390)))</f>
        <v/>
      </c>
      <c r="B388" s="44">
        <f>IF(_calc!$E$390="","",IF(ISNUMBER(INDEX('Assets'!$G$4:$G$503,_calc!$E$390)),TEXT(INDEX('Assets'!$G$4:$G$503,_calc!$E$390),"yyyy-mm-dd"),""))</f>
        <v/>
      </c>
      <c r="C388" s="44">
        <f>IF(_calc!$E$390="","","Inspection")</f>
        <v/>
      </c>
      <c r="D388" s="44">
        <f>IF(_calc!$E$390="","",IF(ISNUMBER(INDEX('Assets'!$F$4:$F$503,_calc!$E$390)),TEXT(INDEX('Assets'!$F$4:$F$503,_calc!$E$390),"yyyy-mm-dd"),""))</f>
        <v/>
      </c>
      <c r="E388" s="44">
        <f>IF(_calc!$E$390="","",IF(LEN(INDEX('Assets'!$O$4:$O$503,_calc!$E$390))=0,"",INDEX('Assets'!$O$4:$O$503,_calc!$E$390)))</f>
        <v/>
      </c>
      <c r="F388" s="44">
        <f>IF(_calc!$E$390="","",TRIM(IF(LEN(IF(LEN(INDEX('Assets'!$B$4:$B$503,_calc!$E$390))=0,"",INDEX('Assets'!$B$4:$B$503,_calc!$E$390)))=0,"","Asset ID: "&amp;IF(LEN(INDEX('Assets'!$B$4:$B$503,_calc!$E$390))=0,"",INDEX('Assets'!$B$4:$B$503,_calc!$E$390))&amp;". ")&amp;IF(LEN(IF(LEN(INDEX('Assets'!$C$4:$C$503,_calc!$E$390))=0,"",INDEX('Assets'!$C$4:$C$503,_calc!$E$390)))=0,"","Location: "&amp;IF(LEN(INDEX('Assets'!$C$4:$C$503,_calc!$E$390))=0,"",INDEX('Assets'!$C$4:$C$503,_calc!$E$390))&amp;". ")&amp;IF(LEN(IF(LEN(INDEX('Assets'!$E$4:$E$503,_calc!$E$390))=0,"",INDEX('Assets'!$E$4:$E$503,_calc!$E$390)))=0,"","Every (months): "&amp;IF(LEN(INDEX('Assets'!$E$4:$E$503,_calc!$E$390))=0,"",INDEX('Assets'!$E$4:$E$503,_calc!$E$390))&amp;". ")&amp;IF(LEN(IF(LEN(INDEX('Assets'!$M$4:$M$503,_calc!$E$390))=0,"",INDEX('Assets'!$M$4:$M$503,_calc!$E$390)))=0,"","Last result: "&amp;IF(LEN(INDEX('Assets'!$M$4:$M$503,_calc!$E$390))=0,"",INDEX('Assets'!$M$4:$M$503,_calc!$E$390))&amp;". ")&amp;IF(LEN(IF(LEN(INDEX('Assets'!$Q$4:$Q$503,_calc!$E$390))=0,"",INDEX('Assets'!$Q$4:$Q$503,_calc!$E$390)))=0,"",IF(LEN(INDEX('Assets'!$Q$4:$Q$503,_calc!$E$390))=0,"",INDEX('Assets'!$Q$4:$Q$503,_calc!$E$390)))))</f>
        <v/>
      </c>
      <c r="G388" s="44">
        <f>IF(_calc!$E$390="","",IF(LEN(INDEX('Assets'!$P$4:$P$503,_calc!$E$390))=0,"",INDEX('Assets'!$P$4:$P$503,_calc!$E$390)))</f>
        <v/>
      </c>
      <c r="K388" s="44">
        <f>IF(_calc!$E$390="","",IF(LEN(INDEX('Assets'!$N$4:$N$503,_calc!$E$390))=0,"",INDEX('Assets'!$N$4:$N$503,_calc!$E$390)))</f>
        <v/>
      </c>
    </row>
    <row r="389">
      <c r="A389" s="44">
        <f>IF(_calc!$E$391="","",IF(LEN(INDEX('Assets'!$D$4:$D$503,_calc!$E$391))=0,"",INDEX('Assets'!$D$4:$D$503,_calc!$E$391))&amp;" – "&amp;IF(LEN(INDEX('Assets'!$A$4:$A$503,_calc!$E$391))=0,"",INDEX('Assets'!$A$4:$A$503,_calc!$E$391)))</f>
        <v/>
      </c>
      <c r="B389" s="44">
        <f>IF(_calc!$E$391="","",IF(ISNUMBER(INDEX('Assets'!$G$4:$G$503,_calc!$E$391)),TEXT(INDEX('Assets'!$G$4:$G$503,_calc!$E$391),"yyyy-mm-dd"),""))</f>
        <v/>
      </c>
      <c r="C389" s="44">
        <f>IF(_calc!$E$391="","","Inspection")</f>
        <v/>
      </c>
      <c r="D389" s="44">
        <f>IF(_calc!$E$391="","",IF(ISNUMBER(INDEX('Assets'!$F$4:$F$503,_calc!$E$391)),TEXT(INDEX('Assets'!$F$4:$F$503,_calc!$E$391),"yyyy-mm-dd"),""))</f>
        <v/>
      </c>
      <c r="E389" s="44">
        <f>IF(_calc!$E$391="","",IF(LEN(INDEX('Assets'!$O$4:$O$503,_calc!$E$391))=0,"",INDEX('Assets'!$O$4:$O$503,_calc!$E$391)))</f>
        <v/>
      </c>
      <c r="F389" s="44">
        <f>IF(_calc!$E$391="","",TRIM(IF(LEN(IF(LEN(INDEX('Assets'!$B$4:$B$503,_calc!$E$391))=0,"",INDEX('Assets'!$B$4:$B$503,_calc!$E$391)))=0,"","Asset ID: "&amp;IF(LEN(INDEX('Assets'!$B$4:$B$503,_calc!$E$391))=0,"",INDEX('Assets'!$B$4:$B$503,_calc!$E$391))&amp;". ")&amp;IF(LEN(IF(LEN(INDEX('Assets'!$C$4:$C$503,_calc!$E$391))=0,"",INDEX('Assets'!$C$4:$C$503,_calc!$E$391)))=0,"","Location: "&amp;IF(LEN(INDEX('Assets'!$C$4:$C$503,_calc!$E$391))=0,"",INDEX('Assets'!$C$4:$C$503,_calc!$E$391))&amp;". ")&amp;IF(LEN(IF(LEN(INDEX('Assets'!$E$4:$E$503,_calc!$E$391))=0,"",INDEX('Assets'!$E$4:$E$503,_calc!$E$391)))=0,"","Every (months): "&amp;IF(LEN(INDEX('Assets'!$E$4:$E$503,_calc!$E$391))=0,"",INDEX('Assets'!$E$4:$E$503,_calc!$E$391))&amp;". ")&amp;IF(LEN(IF(LEN(INDEX('Assets'!$M$4:$M$503,_calc!$E$391))=0,"",INDEX('Assets'!$M$4:$M$503,_calc!$E$391)))=0,"","Last result: "&amp;IF(LEN(INDEX('Assets'!$M$4:$M$503,_calc!$E$391))=0,"",INDEX('Assets'!$M$4:$M$503,_calc!$E$391))&amp;". ")&amp;IF(LEN(IF(LEN(INDEX('Assets'!$Q$4:$Q$503,_calc!$E$391))=0,"",INDEX('Assets'!$Q$4:$Q$503,_calc!$E$391)))=0,"",IF(LEN(INDEX('Assets'!$Q$4:$Q$503,_calc!$E$391))=0,"",INDEX('Assets'!$Q$4:$Q$503,_calc!$E$391)))))</f>
        <v/>
      </c>
      <c r="G389" s="44">
        <f>IF(_calc!$E$391="","",IF(LEN(INDEX('Assets'!$P$4:$P$503,_calc!$E$391))=0,"",INDEX('Assets'!$P$4:$P$503,_calc!$E$391)))</f>
        <v/>
      </c>
      <c r="K389" s="44">
        <f>IF(_calc!$E$391="","",IF(LEN(INDEX('Assets'!$N$4:$N$503,_calc!$E$391))=0,"",INDEX('Assets'!$N$4:$N$503,_calc!$E$391)))</f>
        <v/>
      </c>
    </row>
    <row r="390">
      <c r="A390" s="44">
        <f>IF(_calc!$E$392="","",IF(LEN(INDEX('Assets'!$D$4:$D$503,_calc!$E$392))=0,"",INDEX('Assets'!$D$4:$D$503,_calc!$E$392))&amp;" – "&amp;IF(LEN(INDEX('Assets'!$A$4:$A$503,_calc!$E$392))=0,"",INDEX('Assets'!$A$4:$A$503,_calc!$E$392)))</f>
        <v/>
      </c>
      <c r="B390" s="44">
        <f>IF(_calc!$E$392="","",IF(ISNUMBER(INDEX('Assets'!$G$4:$G$503,_calc!$E$392)),TEXT(INDEX('Assets'!$G$4:$G$503,_calc!$E$392),"yyyy-mm-dd"),""))</f>
        <v/>
      </c>
      <c r="C390" s="44">
        <f>IF(_calc!$E$392="","","Inspection")</f>
        <v/>
      </c>
      <c r="D390" s="44">
        <f>IF(_calc!$E$392="","",IF(ISNUMBER(INDEX('Assets'!$F$4:$F$503,_calc!$E$392)),TEXT(INDEX('Assets'!$F$4:$F$503,_calc!$E$392),"yyyy-mm-dd"),""))</f>
        <v/>
      </c>
      <c r="E390" s="44">
        <f>IF(_calc!$E$392="","",IF(LEN(INDEX('Assets'!$O$4:$O$503,_calc!$E$392))=0,"",INDEX('Assets'!$O$4:$O$503,_calc!$E$392)))</f>
        <v/>
      </c>
      <c r="F390" s="44">
        <f>IF(_calc!$E$392="","",TRIM(IF(LEN(IF(LEN(INDEX('Assets'!$B$4:$B$503,_calc!$E$392))=0,"",INDEX('Assets'!$B$4:$B$503,_calc!$E$392)))=0,"","Asset ID: "&amp;IF(LEN(INDEX('Assets'!$B$4:$B$503,_calc!$E$392))=0,"",INDEX('Assets'!$B$4:$B$503,_calc!$E$392))&amp;". ")&amp;IF(LEN(IF(LEN(INDEX('Assets'!$C$4:$C$503,_calc!$E$392))=0,"",INDEX('Assets'!$C$4:$C$503,_calc!$E$392)))=0,"","Location: "&amp;IF(LEN(INDEX('Assets'!$C$4:$C$503,_calc!$E$392))=0,"",INDEX('Assets'!$C$4:$C$503,_calc!$E$392))&amp;". ")&amp;IF(LEN(IF(LEN(INDEX('Assets'!$E$4:$E$503,_calc!$E$392))=0,"",INDEX('Assets'!$E$4:$E$503,_calc!$E$392)))=0,"","Every (months): "&amp;IF(LEN(INDEX('Assets'!$E$4:$E$503,_calc!$E$392))=0,"",INDEX('Assets'!$E$4:$E$503,_calc!$E$392))&amp;". ")&amp;IF(LEN(IF(LEN(INDEX('Assets'!$M$4:$M$503,_calc!$E$392))=0,"",INDEX('Assets'!$M$4:$M$503,_calc!$E$392)))=0,"","Last result: "&amp;IF(LEN(INDEX('Assets'!$M$4:$M$503,_calc!$E$392))=0,"",INDEX('Assets'!$M$4:$M$503,_calc!$E$392))&amp;". ")&amp;IF(LEN(IF(LEN(INDEX('Assets'!$Q$4:$Q$503,_calc!$E$392))=0,"",INDEX('Assets'!$Q$4:$Q$503,_calc!$E$392)))=0,"",IF(LEN(INDEX('Assets'!$Q$4:$Q$503,_calc!$E$392))=0,"",INDEX('Assets'!$Q$4:$Q$503,_calc!$E$392)))))</f>
        <v/>
      </c>
      <c r="G390" s="44">
        <f>IF(_calc!$E$392="","",IF(LEN(INDEX('Assets'!$P$4:$P$503,_calc!$E$392))=0,"",INDEX('Assets'!$P$4:$P$503,_calc!$E$392)))</f>
        <v/>
      </c>
      <c r="K390" s="44">
        <f>IF(_calc!$E$392="","",IF(LEN(INDEX('Assets'!$N$4:$N$503,_calc!$E$392))=0,"",INDEX('Assets'!$N$4:$N$503,_calc!$E$392)))</f>
        <v/>
      </c>
    </row>
    <row r="391">
      <c r="A391" s="44">
        <f>IF(_calc!$E$393="","",IF(LEN(INDEX('Assets'!$D$4:$D$503,_calc!$E$393))=0,"",INDEX('Assets'!$D$4:$D$503,_calc!$E$393))&amp;" – "&amp;IF(LEN(INDEX('Assets'!$A$4:$A$503,_calc!$E$393))=0,"",INDEX('Assets'!$A$4:$A$503,_calc!$E$393)))</f>
        <v/>
      </c>
      <c r="B391" s="44">
        <f>IF(_calc!$E$393="","",IF(ISNUMBER(INDEX('Assets'!$G$4:$G$503,_calc!$E$393)),TEXT(INDEX('Assets'!$G$4:$G$503,_calc!$E$393),"yyyy-mm-dd"),""))</f>
        <v/>
      </c>
      <c r="C391" s="44">
        <f>IF(_calc!$E$393="","","Inspection")</f>
        <v/>
      </c>
      <c r="D391" s="44">
        <f>IF(_calc!$E$393="","",IF(ISNUMBER(INDEX('Assets'!$F$4:$F$503,_calc!$E$393)),TEXT(INDEX('Assets'!$F$4:$F$503,_calc!$E$393),"yyyy-mm-dd"),""))</f>
        <v/>
      </c>
      <c r="E391" s="44">
        <f>IF(_calc!$E$393="","",IF(LEN(INDEX('Assets'!$O$4:$O$503,_calc!$E$393))=0,"",INDEX('Assets'!$O$4:$O$503,_calc!$E$393)))</f>
        <v/>
      </c>
      <c r="F391" s="44">
        <f>IF(_calc!$E$393="","",TRIM(IF(LEN(IF(LEN(INDEX('Assets'!$B$4:$B$503,_calc!$E$393))=0,"",INDEX('Assets'!$B$4:$B$503,_calc!$E$393)))=0,"","Asset ID: "&amp;IF(LEN(INDEX('Assets'!$B$4:$B$503,_calc!$E$393))=0,"",INDEX('Assets'!$B$4:$B$503,_calc!$E$393))&amp;". ")&amp;IF(LEN(IF(LEN(INDEX('Assets'!$C$4:$C$503,_calc!$E$393))=0,"",INDEX('Assets'!$C$4:$C$503,_calc!$E$393)))=0,"","Location: "&amp;IF(LEN(INDEX('Assets'!$C$4:$C$503,_calc!$E$393))=0,"",INDEX('Assets'!$C$4:$C$503,_calc!$E$393))&amp;". ")&amp;IF(LEN(IF(LEN(INDEX('Assets'!$E$4:$E$503,_calc!$E$393))=0,"",INDEX('Assets'!$E$4:$E$503,_calc!$E$393)))=0,"","Every (months): "&amp;IF(LEN(INDEX('Assets'!$E$4:$E$503,_calc!$E$393))=0,"",INDEX('Assets'!$E$4:$E$503,_calc!$E$393))&amp;". ")&amp;IF(LEN(IF(LEN(INDEX('Assets'!$M$4:$M$503,_calc!$E$393))=0,"",INDEX('Assets'!$M$4:$M$503,_calc!$E$393)))=0,"","Last result: "&amp;IF(LEN(INDEX('Assets'!$M$4:$M$503,_calc!$E$393))=0,"",INDEX('Assets'!$M$4:$M$503,_calc!$E$393))&amp;". ")&amp;IF(LEN(IF(LEN(INDEX('Assets'!$Q$4:$Q$503,_calc!$E$393))=0,"",INDEX('Assets'!$Q$4:$Q$503,_calc!$E$393)))=0,"",IF(LEN(INDEX('Assets'!$Q$4:$Q$503,_calc!$E$393))=0,"",INDEX('Assets'!$Q$4:$Q$503,_calc!$E$393)))))</f>
        <v/>
      </c>
      <c r="G391" s="44">
        <f>IF(_calc!$E$393="","",IF(LEN(INDEX('Assets'!$P$4:$P$503,_calc!$E$393))=0,"",INDEX('Assets'!$P$4:$P$503,_calc!$E$393)))</f>
        <v/>
      </c>
      <c r="K391" s="44">
        <f>IF(_calc!$E$393="","",IF(LEN(INDEX('Assets'!$N$4:$N$503,_calc!$E$393))=0,"",INDEX('Assets'!$N$4:$N$503,_calc!$E$393)))</f>
        <v/>
      </c>
    </row>
    <row r="392">
      <c r="A392" s="44">
        <f>IF(_calc!$E$394="","",IF(LEN(INDEX('Assets'!$D$4:$D$503,_calc!$E$394))=0,"",INDEX('Assets'!$D$4:$D$503,_calc!$E$394))&amp;" – "&amp;IF(LEN(INDEX('Assets'!$A$4:$A$503,_calc!$E$394))=0,"",INDEX('Assets'!$A$4:$A$503,_calc!$E$394)))</f>
        <v/>
      </c>
      <c r="B392" s="44">
        <f>IF(_calc!$E$394="","",IF(ISNUMBER(INDEX('Assets'!$G$4:$G$503,_calc!$E$394)),TEXT(INDEX('Assets'!$G$4:$G$503,_calc!$E$394),"yyyy-mm-dd"),""))</f>
        <v/>
      </c>
      <c r="C392" s="44">
        <f>IF(_calc!$E$394="","","Inspection")</f>
        <v/>
      </c>
      <c r="D392" s="44">
        <f>IF(_calc!$E$394="","",IF(ISNUMBER(INDEX('Assets'!$F$4:$F$503,_calc!$E$394)),TEXT(INDEX('Assets'!$F$4:$F$503,_calc!$E$394),"yyyy-mm-dd"),""))</f>
        <v/>
      </c>
      <c r="E392" s="44">
        <f>IF(_calc!$E$394="","",IF(LEN(INDEX('Assets'!$O$4:$O$503,_calc!$E$394))=0,"",INDEX('Assets'!$O$4:$O$503,_calc!$E$394)))</f>
        <v/>
      </c>
      <c r="F392" s="44">
        <f>IF(_calc!$E$394="","",TRIM(IF(LEN(IF(LEN(INDEX('Assets'!$B$4:$B$503,_calc!$E$394))=0,"",INDEX('Assets'!$B$4:$B$503,_calc!$E$394)))=0,"","Asset ID: "&amp;IF(LEN(INDEX('Assets'!$B$4:$B$503,_calc!$E$394))=0,"",INDEX('Assets'!$B$4:$B$503,_calc!$E$394))&amp;". ")&amp;IF(LEN(IF(LEN(INDEX('Assets'!$C$4:$C$503,_calc!$E$394))=0,"",INDEX('Assets'!$C$4:$C$503,_calc!$E$394)))=0,"","Location: "&amp;IF(LEN(INDEX('Assets'!$C$4:$C$503,_calc!$E$394))=0,"",INDEX('Assets'!$C$4:$C$503,_calc!$E$394))&amp;". ")&amp;IF(LEN(IF(LEN(INDEX('Assets'!$E$4:$E$503,_calc!$E$394))=0,"",INDEX('Assets'!$E$4:$E$503,_calc!$E$394)))=0,"","Every (months): "&amp;IF(LEN(INDEX('Assets'!$E$4:$E$503,_calc!$E$394))=0,"",INDEX('Assets'!$E$4:$E$503,_calc!$E$394))&amp;". ")&amp;IF(LEN(IF(LEN(INDEX('Assets'!$M$4:$M$503,_calc!$E$394))=0,"",INDEX('Assets'!$M$4:$M$503,_calc!$E$394)))=0,"","Last result: "&amp;IF(LEN(INDEX('Assets'!$M$4:$M$503,_calc!$E$394))=0,"",INDEX('Assets'!$M$4:$M$503,_calc!$E$394))&amp;". ")&amp;IF(LEN(IF(LEN(INDEX('Assets'!$Q$4:$Q$503,_calc!$E$394))=0,"",INDEX('Assets'!$Q$4:$Q$503,_calc!$E$394)))=0,"",IF(LEN(INDEX('Assets'!$Q$4:$Q$503,_calc!$E$394))=0,"",INDEX('Assets'!$Q$4:$Q$503,_calc!$E$394)))))</f>
        <v/>
      </c>
      <c r="G392" s="44">
        <f>IF(_calc!$E$394="","",IF(LEN(INDEX('Assets'!$P$4:$P$503,_calc!$E$394))=0,"",INDEX('Assets'!$P$4:$P$503,_calc!$E$394)))</f>
        <v/>
      </c>
      <c r="K392" s="44">
        <f>IF(_calc!$E$394="","",IF(LEN(INDEX('Assets'!$N$4:$N$503,_calc!$E$394))=0,"",INDEX('Assets'!$N$4:$N$503,_calc!$E$394)))</f>
        <v/>
      </c>
    </row>
    <row r="393">
      <c r="A393" s="44">
        <f>IF(_calc!$E$395="","",IF(LEN(INDEX('Assets'!$D$4:$D$503,_calc!$E$395))=0,"",INDEX('Assets'!$D$4:$D$503,_calc!$E$395))&amp;" – "&amp;IF(LEN(INDEX('Assets'!$A$4:$A$503,_calc!$E$395))=0,"",INDEX('Assets'!$A$4:$A$503,_calc!$E$395)))</f>
        <v/>
      </c>
      <c r="B393" s="44">
        <f>IF(_calc!$E$395="","",IF(ISNUMBER(INDEX('Assets'!$G$4:$G$503,_calc!$E$395)),TEXT(INDEX('Assets'!$G$4:$G$503,_calc!$E$395),"yyyy-mm-dd"),""))</f>
        <v/>
      </c>
      <c r="C393" s="44">
        <f>IF(_calc!$E$395="","","Inspection")</f>
        <v/>
      </c>
      <c r="D393" s="44">
        <f>IF(_calc!$E$395="","",IF(ISNUMBER(INDEX('Assets'!$F$4:$F$503,_calc!$E$395)),TEXT(INDEX('Assets'!$F$4:$F$503,_calc!$E$395),"yyyy-mm-dd"),""))</f>
        <v/>
      </c>
      <c r="E393" s="44">
        <f>IF(_calc!$E$395="","",IF(LEN(INDEX('Assets'!$O$4:$O$503,_calc!$E$395))=0,"",INDEX('Assets'!$O$4:$O$503,_calc!$E$395)))</f>
        <v/>
      </c>
      <c r="F393" s="44">
        <f>IF(_calc!$E$395="","",TRIM(IF(LEN(IF(LEN(INDEX('Assets'!$B$4:$B$503,_calc!$E$395))=0,"",INDEX('Assets'!$B$4:$B$503,_calc!$E$395)))=0,"","Asset ID: "&amp;IF(LEN(INDEX('Assets'!$B$4:$B$503,_calc!$E$395))=0,"",INDEX('Assets'!$B$4:$B$503,_calc!$E$395))&amp;". ")&amp;IF(LEN(IF(LEN(INDEX('Assets'!$C$4:$C$503,_calc!$E$395))=0,"",INDEX('Assets'!$C$4:$C$503,_calc!$E$395)))=0,"","Location: "&amp;IF(LEN(INDEX('Assets'!$C$4:$C$503,_calc!$E$395))=0,"",INDEX('Assets'!$C$4:$C$503,_calc!$E$395))&amp;". ")&amp;IF(LEN(IF(LEN(INDEX('Assets'!$E$4:$E$503,_calc!$E$395))=0,"",INDEX('Assets'!$E$4:$E$503,_calc!$E$395)))=0,"","Every (months): "&amp;IF(LEN(INDEX('Assets'!$E$4:$E$503,_calc!$E$395))=0,"",INDEX('Assets'!$E$4:$E$503,_calc!$E$395))&amp;". ")&amp;IF(LEN(IF(LEN(INDEX('Assets'!$M$4:$M$503,_calc!$E$395))=0,"",INDEX('Assets'!$M$4:$M$503,_calc!$E$395)))=0,"","Last result: "&amp;IF(LEN(INDEX('Assets'!$M$4:$M$503,_calc!$E$395))=0,"",INDEX('Assets'!$M$4:$M$503,_calc!$E$395))&amp;". ")&amp;IF(LEN(IF(LEN(INDEX('Assets'!$Q$4:$Q$503,_calc!$E$395))=0,"",INDEX('Assets'!$Q$4:$Q$503,_calc!$E$395)))=0,"",IF(LEN(INDEX('Assets'!$Q$4:$Q$503,_calc!$E$395))=0,"",INDEX('Assets'!$Q$4:$Q$503,_calc!$E$395)))))</f>
        <v/>
      </c>
      <c r="G393" s="44">
        <f>IF(_calc!$E$395="","",IF(LEN(INDEX('Assets'!$P$4:$P$503,_calc!$E$395))=0,"",INDEX('Assets'!$P$4:$P$503,_calc!$E$395)))</f>
        <v/>
      </c>
      <c r="K393" s="44">
        <f>IF(_calc!$E$395="","",IF(LEN(INDEX('Assets'!$N$4:$N$503,_calc!$E$395))=0,"",INDEX('Assets'!$N$4:$N$503,_calc!$E$395)))</f>
        <v/>
      </c>
    </row>
    <row r="394">
      <c r="A394" s="44">
        <f>IF(_calc!$E$396="","",IF(LEN(INDEX('Assets'!$D$4:$D$503,_calc!$E$396))=0,"",INDEX('Assets'!$D$4:$D$503,_calc!$E$396))&amp;" – "&amp;IF(LEN(INDEX('Assets'!$A$4:$A$503,_calc!$E$396))=0,"",INDEX('Assets'!$A$4:$A$503,_calc!$E$396)))</f>
        <v/>
      </c>
      <c r="B394" s="44">
        <f>IF(_calc!$E$396="","",IF(ISNUMBER(INDEX('Assets'!$G$4:$G$503,_calc!$E$396)),TEXT(INDEX('Assets'!$G$4:$G$503,_calc!$E$396),"yyyy-mm-dd"),""))</f>
        <v/>
      </c>
      <c r="C394" s="44">
        <f>IF(_calc!$E$396="","","Inspection")</f>
        <v/>
      </c>
      <c r="D394" s="44">
        <f>IF(_calc!$E$396="","",IF(ISNUMBER(INDEX('Assets'!$F$4:$F$503,_calc!$E$396)),TEXT(INDEX('Assets'!$F$4:$F$503,_calc!$E$396),"yyyy-mm-dd"),""))</f>
        <v/>
      </c>
      <c r="E394" s="44">
        <f>IF(_calc!$E$396="","",IF(LEN(INDEX('Assets'!$O$4:$O$503,_calc!$E$396))=0,"",INDEX('Assets'!$O$4:$O$503,_calc!$E$396)))</f>
        <v/>
      </c>
      <c r="F394" s="44">
        <f>IF(_calc!$E$396="","",TRIM(IF(LEN(IF(LEN(INDEX('Assets'!$B$4:$B$503,_calc!$E$396))=0,"",INDEX('Assets'!$B$4:$B$503,_calc!$E$396)))=0,"","Asset ID: "&amp;IF(LEN(INDEX('Assets'!$B$4:$B$503,_calc!$E$396))=0,"",INDEX('Assets'!$B$4:$B$503,_calc!$E$396))&amp;". ")&amp;IF(LEN(IF(LEN(INDEX('Assets'!$C$4:$C$503,_calc!$E$396))=0,"",INDEX('Assets'!$C$4:$C$503,_calc!$E$396)))=0,"","Location: "&amp;IF(LEN(INDEX('Assets'!$C$4:$C$503,_calc!$E$396))=0,"",INDEX('Assets'!$C$4:$C$503,_calc!$E$396))&amp;". ")&amp;IF(LEN(IF(LEN(INDEX('Assets'!$E$4:$E$503,_calc!$E$396))=0,"",INDEX('Assets'!$E$4:$E$503,_calc!$E$396)))=0,"","Every (months): "&amp;IF(LEN(INDEX('Assets'!$E$4:$E$503,_calc!$E$396))=0,"",INDEX('Assets'!$E$4:$E$503,_calc!$E$396))&amp;". ")&amp;IF(LEN(IF(LEN(INDEX('Assets'!$M$4:$M$503,_calc!$E$396))=0,"",INDEX('Assets'!$M$4:$M$503,_calc!$E$396)))=0,"","Last result: "&amp;IF(LEN(INDEX('Assets'!$M$4:$M$503,_calc!$E$396))=0,"",INDEX('Assets'!$M$4:$M$503,_calc!$E$396))&amp;". ")&amp;IF(LEN(IF(LEN(INDEX('Assets'!$Q$4:$Q$503,_calc!$E$396))=0,"",INDEX('Assets'!$Q$4:$Q$503,_calc!$E$396)))=0,"",IF(LEN(INDEX('Assets'!$Q$4:$Q$503,_calc!$E$396))=0,"",INDEX('Assets'!$Q$4:$Q$503,_calc!$E$396)))))</f>
        <v/>
      </c>
      <c r="G394" s="44">
        <f>IF(_calc!$E$396="","",IF(LEN(INDEX('Assets'!$P$4:$P$503,_calc!$E$396))=0,"",INDEX('Assets'!$P$4:$P$503,_calc!$E$396)))</f>
        <v/>
      </c>
      <c r="K394" s="44">
        <f>IF(_calc!$E$396="","",IF(LEN(INDEX('Assets'!$N$4:$N$503,_calc!$E$396))=0,"",INDEX('Assets'!$N$4:$N$503,_calc!$E$396)))</f>
        <v/>
      </c>
    </row>
    <row r="395">
      <c r="A395" s="44">
        <f>IF(_calc!$E$397="","",IF(LEN(INDEX('Assets'!$D$4:$D$503,_calc!$E$397))=0,"",INDEX('Assets'!$D$4:$D$503,_calc!$E$397))&amp;" – "&amp;IF(LEN(INDEX('Assets'!$A$4:$A$503,_calc!$E$397))=0,"",INDEX('Assets'!$A$4:$A$503,_calc!$E$397)))</f>
        <v/>
      </c>
      <c r="B395" s="44">
        <f>IF(_calc!$E$397="","",IF(ISNUMBER(INDEX('Assets'!$G$4:$G$503,_calc!$E$397)),TEXT(INDEX('Assets'!$G$4:$G$503,_calc!$E$397),"yyyy-mm-dd"),""))</f>
        <v/>
      </c>
      <c r="C395" s="44">
        <f>IF(_calc!$E$397="","","Inspection")</f>
        <v/>
      </c>
      <c r="D395" s="44">
        <f>IF(_calc!$E$397="","",IF(ISNUMBER(INDEX('Assets'!$F$4:$F$503,_calc!$E$397)),TEXT(INDEX('Assets'!$F$4:$F$503,_calc!$E$397),"yyyy-mm-dd"),""))</f>
        <v/>
      </c>
      <c r="E395" s="44">
        <f>IF(_calc!$E$397="","",IF(LEN(INDEX('Assets'!$O$4:$O$503,_calc!$E$397))=0,"",INDEX('Assets'!$O$4:$O$503,_calc!$E$397)))</f>
        <v/>
      </c>
      <c r="F395" s="44">
        <f>IF(_calc!$E$397="","",TRIM(IF(LEN(IF(LEN(INDEX('Assets'!$B$4:$B$503,_calc!$E$397))=0,"",INDEX('Assets'!$B$4:$B$503,_calc!$E$397)))=0,"","Asset ID: "&amp;IF(LEN(INDEX('Assets'!$B$4:$B$503,_calc!$E$397))=0,"",INDEX('Assets'!$B$4:$B$503,_calc!$E$397))&amp;". ")&amp;IF(LEN(IF(LEN(INDEX('Assets'!$C$4:$C$503,_calc!$E$397))=0,"",INDEX('Assets'!$C$4:$C$503,_calc!$E$397)))=0,"","Location: "&amp;IF(LEN(INDEX('Assets'!$C$4:$C$503,_calc!$E$397))=0,"",INDEX('Assets'!$C$4:$C$503,_calc!$E$397))&amp;". ")&amp;IF(LEN(IF(LEN(INDEX('Assets'!$E$4:$E$503,_calc!$E$397))=0,"",INDEX('Assets'!$E$4:$E$503,_calc!$E$397)))=0,"","Every (months): "&amp;IF(LEN(INDEX('Assets'!$E$4:$E$503,_calc!$E$397))=0,"",INDEX('Assets'!$E$4:$E$503,_calc!$E$397))&amp;". ")&amp;IF(LEN(IF(LEN(INDEX('Assets'!$M$4:$M$503,_calc!$E$397))=0,"",INDEX('Assets'!$M$4:$M$503,_calc!$E$397)))=0,"","Last result: "&amp;IF(LEN(INDEX('Assets'!$M$4:$M$503,_calc!$E$397))=0,"",INDEX('Assets'!$M$4:$M$503,_calc!$E$397))&amp;". ")&amp;IF(LEN(IF(LEN(INDEX('Assets'!$Q$4:$Q$503,_calc!$E$397))=0,"",INDEX('Assets'!$Q$4:$Q$503,_calc!$E$397)))=0,"",IF(LEN(INDEX('Assets'!$Q$4:$Q$503,_calc!$E$397))=0,"",INDEX('Assets'!$Q$4:$Q$503,_calc!$E$397)))))</f>
        <v/>
      </c>
      <c r="G395" s="44">
        <f>IF(_calc!$E$397="","",IF(LEN(INDEX('Assets'!$P$4:$P$503,_calc!$E$397))=0,"",INDEX('Assets'!$P$4:$P$503,_calc!$E$397)))</f>
        <v/>
      </c>
      <c r="K395" s="44">
        <f>IF(_calc!$E$397="","",IF(LEN(INDEX('Assets'!$N$4:$N$503,_calc!$E$397))=0,"",INDEX('Assets'!$N$4:$N$503,_calc!$E$397)))</f>
        <v/>
      </c>
    </row>
    <row r="396">
      <c r="A396" s="44">
        <f>IF(_calc!$E$398="","",IF(LEN(INDEX('Assets'!$D$4:$D$503,_calc!$E$398))=0,"",INDEX('Assets'!$D$4:$D$503,_calc!$E$398))&amp;" – "&amp;IF(LEN(INDEX('Assets'!$A$4:$A$503,_calc!$E$398))=0,"",INDEX('Assets'!$A$4:$A$503,_calc!$E$398)))</f>
        <v/>
      </c>
      <c r="B396" s="44">
        <f>IF(_calc!$E$398="","",IF(ISNUMBER(INDEX('Assets'!$G$4:$G$503,_calc!$E$398)),TEXT(INDEX('Assets'!$G$4:$G$503,_calc!$E$398),"yyyy-mm-dd"),""))</f>
        <v/>
      </c>
      <c r="C396" s="44">
        <f>IF(_calc!$E$398="","","Inspection")</f>
        <v/>
      </c>
      <c r="D396" s="44">
        <f>IF(_calc!$E$398="","",IF(ISNUMBER(INDEX('Assets'!$F$4:$F$503,_calc!$E$398)),TEXT(INDEX('Assets'!$F$4:$F$503,_calc!$E$398),"yyyy-mm-dd"),""))</f>
        <v/>
      </c>
      <c r="E396" s="44">
        <f>IF(_calc!$E$398="","",IF(LEN(INDEX('Assets'!$O$4:$O$503,_calc!$E$398))=0,"",INDEX('Assets'!$O$4:$O$503,_calc!$E$398)))</f>
        <v/>
      </c>
      <c r="F396" s="44">
        <f>IF(_calc!$E$398="","",TRIM(IF(LEN(IF(LEN(INDEX('Assets'!$B$4:$B$503,_calc!$E$398))=0,"",INDEX('Assets'!$B$4:$B$503,_calc!$E$398)))=0,"","Asset ID: "&amp;IF(LEN(INDEX('Assets'!$B$4:$B$503,_calc!$E$398))=0,"",INDEX('Assets'!$B$4:$B$503,_calc!$E$398))&amp;". ")&amp;IF(LEN(IF(LEN(INDEX('Assets'!$C$4:$C$503,_calc!$E$398))=0,"",INDEX('Assets'!$C$4:$C$503,_calc!$E$398)))=0,"","Location: "&amp;IF(LEN(INDEX('Assets'!$C$4:$C$503,_calc!$E$398))=0,"",INDEX('Assets'!$C$4:$C$503,_calc!$E$398))&amp;". ")&amp;IF(LEN(IF(LEN(INDEX('Assets'!$E$4:$E$503,_calc!$E$398))=0,"",INDEX('Assets'!$E$4:$E$503,_calc!$E$398)))=0,"","Every (months): "&amp;IF(LEN(INDEX('Assets'!$E$4:$E$503,_calc!$E$398))=0,"",INDEX('Assets'!$E$4:$E$503,_calc!$E$398))&amp;". ")&amp;IF(LEN(IF(LEN(INDEX('Assets'!$M$4:$M$503,_calc!$E$398))=0,"",INDEX('Assets'!$M$4:$M$503,_calc!$E$398)))=0,"","Last result: "&amp;IF(LEN(INDEX('Assets'!$M$4:$M$503,_calc!$E$398))=0,"",INDEX('Assets'!$M$4:$M$503,_calc!$E$398))&amp;". ")&amp;IF(LEN(IF(LEN(INDEX('Assets'!$Q$4:$Q$503,_calc!$E$398))=0,"",INDEX('Assets'!$Q$4:$Q$503,_calc!$E$398)))=0,"",IF(LEN(INDEX('Assets'!$Q$4:$Q$503,_calc!$E$398))=0,"",INDEX('Assets'!$Q$4:$Q$503,_calc!$E$398)))))</f>
        <v/>
      </c>
      <c r="G396" s="44">
        <f>IF(_calc!$E$398="","",IF(LEN(INDEX('Assets'!$P$4:$P$503,_calc!$E$398))=0,"",INDEX('Assets'!$P$4:$P$503,_calc!$E$398)))</f>
        <v/>
      </c>
      <c r="K396" s="44">
        <f>IF(_calc!$E$398="","",IF(LEN(INDEX('Assets'!$N$4:$N$503,_calc!$E$398))=0,"",INDEX('Assets'!$N$4:$N$503,_calc!$E$398)))</f>
        <v/>
      </c>
    </row>
    <row r="397">
      <c r="A397" s="44">
        <f>IF(_calc!$E$399="","",IF(LEN(INDEX('Assets'!$D$4:$D$503,_calc!$E$399))=0,"",INDEX('Assets'!$D$4:$D$503,_calc!$E$399))&amp;" – "&amp;IF(LEN(INDEX('Assets'!$A$4:$A$503,_calc!$E$399))=0,"",INDEX('Assets'!$A$4:$A$503,_calc!$E$399)))</f>
        <v/>
      </c>
      <c r="B397" s="44">
        <f>IF(_calc!$E$399="","",IF(ISNUMBER(INDEX('Assets'!$G$4:$G$503,_calc!$E$399)),TEXT(INDEX('Assets'!$G$4:$G$503,_calc!$E$399),"yyyy-mm-dd"),""))</f>
        <v/>
      </c>
      <c r="C397" s="44">
        <f>IF(_calc!$E$399="","","Inspection")</f>
        <v/>
      </c>
      <c r="D397" s="44">
        <f>IF(_calc!$E$399="","",IF(ISNUMBER(INDEX('Assets'!$F$4:$F$503,_calc!$E$399)),TEXT(INDEX('Assets'!$F$4:$F$503,_calc!$E$399),"yyyy-mm-dd"),""))</f>
        <v/>
      </c>
      <c r="E397" s="44">
        <f>IF(_calc!$E$399="","",IF(LEN(INDEX('Assets'!$O$4:$O$503,_calc!$E$399))=0,"",INDEX('Assets'!$O$4:$O$503,_calc!$E$399)))</f>
        <v/>
      </c>
      <c r="F397" s="44">
        <f>IF(_calc!$E$399="","",TRIM(IF(LEN(IF(LEN(INDEX('Assets'!$B$4:$B$503,_calc!$E$399))=0,"",INDEX('Assets'!$B$4:$B$503,_calc!$E$399)))=0,"","Asset ID: "&amp;IF(LEN(INDEX('Assets'!$B$4:$B$503,_calc!$E$399))=0,"",INDEX('Assets'!$B$4:$B$503,_calc!$E$399))&amp;". ")&amp;IF(LEN(IF(LEN(INDEX('Assets'!$C$4:$C$503,_calc!$E$399))=0,"",INDEX('Assets'!$C$4:$C$503,_calc!$E$399)))=0,"","Location: "&amp;IF(LEN(INDEX('Assets'!$C$4:$C$503,_calc!$E$399))=0,"",INDEX('Assets'!$C$4:$C$503,_calc!$E$399))&amp;". ")&amp;IF(LEN(IF(LEN(INDEX('Assets'!$E$4:$E$503,_calc!$E$399))=0,"",INDEX('Assets'!$E$4:$E$503,_calc!$E$399)))=0,"","Every (months): "&amp;IF(LEN(INDEX('Assets'!$E$4:$E$503,_calc!$E$399))=0,"",INDEX('Assets'!$E$4:$E$503,_calc!$E$399))&amp;". ")&amp;IF(LEN(IF(LEN(INDEX('Assets'!$M$4:$M$503,_calc!$E$399))=0,"",INDEX('Assets'!$M$4:$M$503,_calc!$E$399)))=0,"","Last result: "&amp;IF(LEN(INDEX('Assets'!$M$4:$M$503,_calc!$E$399))=0,"",INDEX('Assets'!$M$4:$M$503,_calc!$E$399))&amp;". ")&amp;IF(LEN(IF(LEN(INDEX('Assets'!$Q$4:$Q$503,_calc!$E$399))=0,"",INDEX('Assets'!$Q$4:$Q$503,_calc!$E$399)))=0,"",IF(LEN(INDEX('Assets'!$Q$4:$Q$503,_calc!$E$399))=0,"",INDEX('Assets'!$Q$4:$Q$503,_calc!$E$399)))))</f>
        <v/>
      </c>
      <c r="G397" s="44">
        <f>IF(_calc!$E$399="","",IF(LEN(INDEX('Assets'!$P$4:$P$503,_calc!$E$399))=0,"",INDEX('Assets'!$P$4:$P$503,_calc!$E$399)))</f>
        <v/>
      </c>
      <c r="K397" s="44">
        <f>IF(_calc!$E$399="","",IF(LEN(INDEX('Assets'!$N$4:$N$503,_calc!$E$399))=0,"",INDEX('Assets'!$N$4:$N$503,_calc!$E$399)))</f>
        <v/>
      </c>
    </row>
    <row r="398">
      <c r="A398" s="44">
        <f>IF(_calc!$E$400="","",IF(LEN(INDEX('Assets'!$D$4:$D$503,_calc!$E$400))=0,"",INDEX('Assets'!$D$4:$D$503,_calc!$E$400))&amp;" – "&amp;IF(LEN(INDEX('Assets'!$A$4:$A$503,_calc!$E$400))=0,"",INDEX('Assets'!$A$4:$A$503,_calc!$E$400)))</f>
        <v/>
      </c>
      <c r="B398" s="44">
        <f>IF(_calc!$E$400="","",IF(ISNUMBER(INDEX('Assets'!$G$4:$G$503,_calc!$E$400)),TEXT(INDEX('Assets'!$G$4:$G$503,_calc!$E$400),"yyyy-mm-dd"),""))</f>
        <v/>
      </c>
      <c r="C398" s="44">
        <f>IF(_calc!$E$400="","","Inspection")</f>
        <v/>
      </c>
      <c r="D398" s="44">
        <f>IF(_calc!$E$400="","",IF(ISNUMBER(INDEX('Assets'!$F$4:$F$503,_calc!$E$400)),TEXT(INDEX('Assets'!$F$4:$F$503,_calc!$E$400),"yyyy-mm-dd"),""))</f>
        <v/>
      </c>
      <c r="E398" s="44">
        <f>IF(_calc!$E$400="","",IF(LEN(INDEX('Assets'!$O$4:$O$503,_calc!$E$400))=0,"",INDEX('Assets'!$O$4:$O$503,_calc!$E$400)))</f>
        <v/>
      </c>
      <c r="F398" s="44">
        <f>IF(_calc!$E$400="","",TRIM(IF(LEN(IF(LEN(INDEX('Assets'!$B$4:$B$503,_calc!$E$400))=0,"",INDEX('Assets'!$B$4:$B$503,_calc!$E$400)))=0,"","Asset ID: "&amp;IF(LEN(INDEX('Assets'!$B$4:$B$503,_calc!$E$400))=0,"",INDEX('Assets'!$B$4:$B$503,_calc!$E$400))&amp;". ")&amp;IF(LEN(IF(LEN(INDEX('Assets'!$C$4:$C$503,_calc!$E$400))=0,"",INDEX('Assets'!$C$4:$C$503,_calc!$E$400)))=0,"","Location: "&amp;IF(LEN(INDEX('Assets'!$C$4:$C$503,_calc!$E$400))=0,"",INDEX('Assets'!$C$4:$C$503,_calc!$E$400))&amp;". ")&amp;IF(LEN(IF(LEN(INDEX('Assets'!$E$4:$E$503,_calc!$E$400))=0,"",INDEX('Assets'!$E$4:$E$503,_calc!$E$400)))=0,"","Every (months): "&amp;IF(LEN(INDEX('Assets'!$E$4:$E$503,_calc!$E$400))=0,"",INDEX('Assets'!$E$4:$E$503,_calc!$E$400))&amp;". ")&amp;IF(LEN(IF(LEN(INDEX('Assets'!$M$4:$M$503,_calc!$E$400))=0,"",INDEX('Assets'!$M$4:$M$503,_calc!$E$400)))=0,"","Last result: "&amp;IF(LEN(INDEX('Assets'!$M$4:$M$503,_calc!$E$400))=0,"",INDEX('Assets'!$M$4:$M$503,_calc!$E$400))&amp;". ")&amp;IF(LEN(IF(LEN(INDEX('Assets'!$Q$4:$Q$503,_calc!$E$400))=0,"",INDEX('Assets'!$Q$4:$Q$503,_calc!$E$400)))=0,"",IF(LEN(INDEX('Assets'!$Q$4:$Q$503,_calc!$E$400))=0,"",INDEX('Assets'!$Q$4:$Q$503,_calc!$E$400)))))</f>
        <v/>
      </c>
      <c r="G398" s="44">
        <f>IF(_calc!$E$400="","",IF(LEN(INDEX('Assets'!$P$4:$P$503,_calc!$E$400))=0,"",INDEX('Assets'!$P$4:$P$503,_calc!$E$400)))</f>
        <v/>
      </c>
      <c r="K398" s="44">
        <f>IF(_calc!$E$400="","",IF(LEN(INDEX('Assets'!$N$4:$N$503,_calc!$E$400))=0,"",INDEX('Assets'!$N$4:$N$503,_calc!$E$400)))</f>
        <v/>
      </c>
    </row>
    <row r="399">
      <c r="A399" s="44">
        <f>IF(_calc!$E$401="","",IF(LEN(INDEX('Assets'!$D$4:$D$503,_calc!$E$401))=0,"",INDEX('Assets'!$D$4:$D$503,_calc!$E$401))&amp;" – "&amp;IF(LEN(INDEX('Assets'!$A$4:$A$503,_calc!$E$401))=0,"",INDEX('Assets'!$A$4:$A$503,_calc!$E$401)))</f>
        <v/>
      </c>
      <c r="B399" s="44">
        <f>IF(_calc!$E$401="","",IF(ISNUMBER(INDEX('Assets'!$G$4:$G$503,_calc!$E$401)),TEXT(INDEX('Assets'!$G$4:$G$503,_calc!$E$401),"yyyy-mm-dd"),""))</f>
        <v/>
      </c>
      <c r="C399" s="44">
        <f>IF(_calc!$E$401="","","Inspection")</f>
        <v/>
      </c>
      <c r="D399" s="44">
        <f>IF(_calc!$E$401="","",IF(ISNUMBER(INDEX('Assets'!$F$4:$F$503,_calc!$E$401)),TEXT(INDEX('Assets'!$F$4:$F$503,_calc!$E$401),"yyyy-mm-dd"),""))</f>
        <v/>
      </c>
      <c r="E399" s="44">
        <f>IF(_calc!$E$401="","",IF(LEN(INDEX('Assets'!$O$4:$O$503,_calc!$E$401))=0,"",INDEX('Assets'!$O$4:$O$503,_calc!$E$401)))</f>
        <v/>
      </c>
      <c r="F399" s="44">
        <f>IF(_calc!$E$401="","",TRIM(IF(LEN(IF(LEN(INDEX('Assets'!$B$4:$B$503,_calc!$E$401))=0,"",INDEX('Assets'!$B$4:$B$503,_calc!$E$401)))=0,"","Asset ID: "&amp;IF(LEN(INDEX('Assets'!$B$4:$B$503,_calc!$E$401))=0,"",INDEX('Assets'!$B$4:$B$503,_calc!$E$401))&amp;". ")&amp;IF(LEN(IF(LEN(INDEX('Assets'!$C$4:$C$503,_calc!$E$401))=0,"",INDEX('Assets'!$C$4:$C$503,_calc!$E$401)))=0,"","Location: "&amp;IF(LEN(INDEX('Assets'!$C$4:$C$503,_calc!$E$401))=0,"",INDEX('Assets'!$C$4:$C$503,_calc!$E$401))&amp;". ")&amp;IF(LEN(IF(LEN(INDEX('Assets'!$E$4:$E$503,_calc!$E$401))=0,"",INDEX('Assets'!$E$4:$E$503,_calc!$E$401)))=0,"","Every (months): "&amp;IF(LEN(INDEX('Assets'!$E$4:$E$503,_calc!$E$401))=0,"",INDEX('Assets'!$E$4:$E$503,_calc!$E$401))&amp;". ")&amp;IF(LEN(IF(LEN(INDEX('Assets'!$M$4:$M$503,_calc!$E$401))=0,"",INDEX('Assets'!$M$4:$M$503,_calc!$E$401)))=0,"","Last result: "&amp;IF(LEN(INDEX('Assets'!$M$4:$M$503,_calc!$E$401))=0,"",INDEX('Assets'!$M$4:$M$503,_calc!$E$401))&amp;". ")&amp;IF(LEN(IF(LEN(INDEX('Assets'!$Q$4:$Q$503,_calc!$E$401))=0,"",INDEX('Assets'!$Q$4:$Q$503,_calc!$E$401)))=0,"",IF(LEN(INDEX('Assets'!$Q$4:$Q$503,_calc!$E$401))=0,"",INDEX('Assets'!$Q$4:$Q$503,_calc!$E$401)))))</f>
        <v/>
      </c>
      <c r="G399" s="44">
        <f>IF(_calc!$E$401="","",IF(LEN(INDEX('Assets'!$P$4:$P$503,_calc!$E$401))=0,"",INDEX('Assets'!$P$4:$P$503,_calc!$E$401)))</f>
        <v/>
      </c>
      <c r="K399" s="44">
        <f>IF(_calc!$E$401="","",IF(LEN(INDEX('Assets'!$N$4:$N$503,_calc!$E$401))=0,"",INDEX('Assets'!$N$4:$N$503,_calc!$E$401)))</f>
        <v/>
      </c>
    </row>
    <row r="400">
      <c r="A400" s="44">
        <f>IF(_calc!$E$402="","",IF(LEN(INDEX('Assets'!$D$4:$D$503,_calc!$E$402))=0,"",INDEX('Assets'!$D$4:$D$503,_calc!$E$402))&amp;" – "&amp;IF(LEN(INDEX('Assets'!$A$4:$A$503,_calc!$E$402))=0,"",INDEX('Assets'!$A$4:$A$503,_calc!$E$402)))</f>
        <v/>
      </c>
      <c r="B400" s="44">
        <f>IF(_calc!$E$402="","",IF(ISNUMBER(INDEX('Assets'!$G$4:$G$503,_calc!$E$402)),TEXT(INDEX('Assets'!$G$4:$G$503,_calc!$E$402),"yyyy-mm-dd"),""))</f>
        <v/>
      </c>
      <c r="C400" s="44">
        <f>IF(_calc!$E$402="","","Inspection")</f>
        <v/>
      </c>
      <c r="D400" s="44">
        <f>IF(_calc!$E$402="","",IF(ISNUMBER(INDEX('Assets'!$F$4:$F$503,_calc!$E$402)),TEXT(INDEX('Assets'!$F$4:$F$503,_calc!$E$402),"yyyy-mm-dd"),""))</f>
        <v/>
      </c>
      <c r="E400" s="44">
        <f>IF(_calc!$E$402="","",IF(LEN(INDEX('Assets'!$O$4:$O$503,_calc!$E$402))=0,"",INDEX('Assets'!$O$4:$O$503,_calc!$E$402)))</f>
        <v/>
      </c>
      <c r="F400" s="44">
        <f>IF(_calc!$E$402="","",TRIM(IF(LEN(IF(LEN(INDEX('Assets'!$B$4:$B$503,_calc!$E$402))=0,"",INDEX('Assets'!$B$4:$B$503,_calc!$E$402)))=0,"","Asset ID: "&amp;IF(LEN(INDEX('Assets'!$B$4:$B$503,_calc!$E$402))=0,"",INDEX('Assets'!$B$4:$B$503,_calc!$E$402))&amp;". ")&amp;IF(LEN(IF(LEN(INDEX('Assets'!$C$4:$C$503,_calc!$E$402))=0,"",INDEX('Assets'!$C$4:$C$503,_calc!$E$402)))=0,"","Location: "&amp;IF(LEN(INDEX('Assets'!$C$4:$C$503,_calc!$E$402))=0,"",INDEX('Assets'!$C$4:$C$503,_calc!$E$402))&amp;". ")&amp;IF(LEN(IF(LEN(INDEX('Assets'!$E$4:$E$503,_calc!$E$402))=0,"",INDEX('Assets'!$E$4:$E$503,_calc!$E$402)))=0,"","Every (months): "&amp;IF(LEN(INDEX('Assets'!$E$4:$E$503,_calc!$E$402))=0,"",INDEX('Assets'!$E$4:$E$503,_calc!$E$402))&amp;". ")&amp;IF(LEN(IF(LEN(INDEX('Assets'!$M$4:$M$503,_calc!$E$402))=0,"",INDEX('Assets'!$M$4:$M$503,_calc!$E$402)))=0,"","Last result: "&amp;IF(LEN(INDEX('Assets'!$M$4:$M$503,_calc!$E$402))=0,"",INDEX('Assets'!$M$4:$M$503,_calc!$E$402))&amp;". ")&amp;IF(LEN(IF(LEN(INDEX('Assets'!$Q$4:$Q$503,_calc!$E$402))=0,"",INDEX('Assets'!$Q$4:$Q$503,_calc!$E$402)))=0,"",IF(LEN(INDEX('Assets'!$Q$4:$Q$503,_calc!$E$402))=0,"",INDEX('Assets'!$Q$4:$Q$503,_calc!$E$402)))))</f>
        <v/>
      </c>
      <c r="G400" s="44">
        <f>IF(_calc!$E$402="","",IF(LEN(INDEX('Assets'!$P$4:$P$503,_calc!$E$402))=0,"",INDEX('Assets'!$P$4:$P$503,_calc!$E$402)))</f>
        <v/>
      </c>
      <c r="K400" s="44">
        <f>IF(_calc!$E$402="","",IF(LEN(INDEX('Assets'!$N$4:$N$503,_calc!$E$402))=0,"",INDEX('Assets'!$N$4:$N$503,_calc!$E$402)))</f>
        <v/>
      </c>
    </row>
    <row r="401">
      <c r="A401" s="44">
        <f>IF(_calc!$E$403="","",IF(LEN(INDEX('Assets'!$D$4:$D$503,_calc!$E$403))=0,"",INDEX('Assets'!$D$4:$D$503,_calc!$E$403))&amp;" – "&amp;IF(LEN(INDEX('Assets'!$A$4:$A$503,_calc!$E$403))=0,"",INDEX('Assets'!$A$4:$A$503,_calc!$E$403)))</f>
        <v/>
      </c>
      <c r="B401" s="44">
        <f>IF(_calc!$E$403="","",IF(ISNUMBER(INDEX('Assets'!$G$4:$G$503,_calc!$E$403)),TEXT(INDEX('Assets'!$G$4:$G$503,_calc!$E$403),"yyyy-mm-dd"),""))</f>
        <v/>
      </c>
      <c r="C401" s="44">
        <f>IF(_calc!$E$403="","","Inspection")</f>
        <v/>
      </c>
      <c r="D401" s="44">
        <f>IF(_calc!$E$403="","",IF(ISNUMBER(INDEX('Assets'!$F$4:$F$503,_calc!$E$403)),TEXT(INDEX('Assets'!$F$4:$F$503,_calc!$E$403),"yyyy-mm-dd"),""))</f>
        <v/>
      </c>
      <c r="E401" s="44">
        <f>IF(_calc!$E$403="","",IF(LEN(INDEX('Assets'!$O$4:$O$503,_calc!$E$403))=0,"",INDEX('Assets'!$O$4:$O$503,_calc!$E$403)))</f>
        <v/>
      </c>
      <c r="F401" s="44">
        <f>IF(_calc!$E$403="","",TRIM(IF(LEN(IF(LEN(INDEX('Assets'!$B$4:$B$503,_calc!$E$403))=0,"",INDEX('Assets'!$B$4:$B$503,_calc!$E$403)))=0,"","Asset ID: "&amp;IF(LEN(INDEX('Assets'!$B$4:$B$503,_calc!$E$403))=0,"",INDEX('Assets'!$B$4:$B$503,_calc!$E$403))&amp;". ")&amp;IF(LEN(IF(LEN(INDEX('Assets'!$C$4:$C$503,_calc!$E$403))=0,"",INDEX('Assets'!$C$4:$C$503,_calc!$E$403)))=0,"","Location: "&amp;IF(LEN(INDEX('Assets'!$C$4:$C$503,_calc!$E$403))=0,"",INDEX('Assets'!$C$4:$C$503,_calc!$E$403))&amp;". ")&amp;IF(LEN(IF(LEN(INDEX('Assets'!$E$4:$E$503,_calc!$E$403))=0,"",INDEX('Assets'!$E$4:$E$503,_calc!$E$403)))=0,"","Every (months): "&amp;IF(LEN(INDEX('Assets'!$E$4:$E$503,_calc!$E$403))=0,"",INDEX('Assets'!$E$4:$E$503,_calc!$E$403))&amp;". ")&amp;IF(LEN(IF(LEN(INDEX('Assets'!$M$4:$M$503,_calc!$E$403))=0,"",INDEX('Assets'!$M$4:$M$503,_calc!$E$403)))=0,"","Last result: "&amp;IF(LEN(INDEX('Assets'!$M$4:$M$503,_calc!$E$403))=0,"",INDEX('Assets'!$M$4:$M$503,_calc!$E$403))&amp;". ")&amp;IF(LEN(IF(LEN(INDEX('Assets'!$Q$4:$Q$503,_calc!$E$403))=0,"",INDEX('Assets'!$Q$4:$Q$503,_calc!$E$403)))=0,"",IF(LEN(INDEX('Assets'!$Q$4:$Q$503,_calc!$E$403))=0,"",INDEX('Assets'!$Q$4:$Q$503,_calc!$E$403)))))</f>
        <v/>
      </c>
      <c r="G401" s="44">
        <f>IF(_calc!$E$403="","",IF(LEN(INDEX('Assets'!$P$4:$P$503,_calc!$E$403))=0,"",INDEX('Assets'!$P$4:$P$503,_calc!$E$403)))</f>
        <v/>
      </c>
      <c r="K401" s="44">
        <f>IF(_calc!$E$403="","",IF(LEN(INDEX('Assets'!$N$4:$N$503,_calc!$E$403))=0,"",INDEX('Assets'!$N$4:$N$503,_calc!$E$403)))</f>
        <v/>
      </c>
    </row>
    <row r="402">
      <c r="A402" s="44">
        <f>IF(_calc!$E$404="","",IF(LEN(INDEX('Assets'!$D$4:$D$503,_calc!$E$404))=0,"",INDEX('Assets'!$D$4:$D$503,_calc!$E$404))&amp;" – "&amp;IF(LEN(INDEX('Assets'!$A$4:$A$503,_calc!$E$404))=0,"",INDEX('Assets'!$A$4:$A$503,_calc!$E$404)))</f>
        <v/>
      </c>
      <c r="B402" s="44">
        <f>IF(_calc!$E$404="","",IF(ISNUMBER(INDEX('Assets'!$G$4:$G$503,_calc!$E$404)),TEXT(INDEX('Assets'!$G$4:$G$503,_calc!$E$404),"yyyy-mm-dd"),""))</f>
        <v/>
      </c>
      <c r="C402" s="44">
        <f>IF(_calc!$E$404="","","Inspection")</f>
        <v/>
      </c>
      <c r="D402" s="44">
        <f>IF(_calc!$E$404="","",IF(ISNUMBER(INDEX('Assets'!$F$4:$F$503,_calc!$E$404)),TEXT(INDEX('Assets'!$F$4:$F$503,_calc!$E$404),"yyyy-mm-dd"),""))</f>
        <v/>
      </c>
      <c r="E402" s="44">
        <f>IF(_calc!$E$404="","",IF(LEN(INDEX('Assets'!$O$4:$O$503,_calc!$E$404))=0,"",INDEX('Assets'!$O$4:$O$503,_calc!$E$404)))</f>
        <v/>
      </c>
      <c r="F402" s="44">
        <f>IF(_calc!$E$404="","",TRIM(IF(LEN(IF(LEN(INDEX('Assets'!$B$4:$B$503,_calc!$E$404))=0,"",INDEX('Assets'!$B$4:$B$503,_calc!$E$404)))=0,"","Asset ID: "&amp;IF(LEN(INDEX('Assets'!$B$4:$B$503,_calc!$E$404))=0,"",INDEX('Assets'!$B$4:$B$503,_calc!$E$404))&amp;". ")&amp;IF(LEN(IF(LEN(INDEX('Assets'!$C$4:$C$503,_calc!$E$404))=0,"",INDEX('Assets'!$C$4:$C$503,_calc!$E$404)))=0,"","Location: "&amp;IF(LEN(INDEX('Assets'!$C$4:$C$503,_calc!$E$404))=0,"",INDEX('Assets'!$C$4:$C$503,_calc!$E$404))&amp;". ")&amp;IF(LEN(IF(LEN(INDEX('Assets'!$E$4:$E$503,_calc!$E$404))=0,"",INDEX('Assets'!$E$4:$E$503,_calc!$E$404)))=0,"","Every (months): "&amp;IF(LEN(INDEX('Assets'!$E$4:$E$503,_calc!$E$404))=0,"",INDEX('Assets'!$E$4:$E$503,_calc!$E$404))&amp;". ")&amp;IF(LEN(IF(LEN(INDEX('Assets'!$M$4:$M$503,_calc!$E$404))=0,"",INDEX('Assets'!$M$4:$M$503,_calc!$E$404)))=0,"","Last result: "&amp;IF(LEN(INDEX('Assets'!$M$4:$M$503,_calc!$E$404))=0,"",INDEX('Assets'!$M$4:$M$503,_calc!$E$404))&amp;". ")&amp;IF(LEN(IF(LEN(INDEX('Assets'!$Q$4:$Q$503,_calc!$E$404))=0,"",INDEX('Assets'!$Q$4:$Q$503,_calc!$E$404)))=0,"",IF(LEN(INDEX('Assets'!$Q$4:$Q$503,_calc!$E$404))=0,"",INDEX('Assets'!$Q$4:$Q$503,_calc!$E$404)))))</f>
        <v/>
      </c>
      <c r="G402" s="44">
        <f>IF(_calc!$E$404="","",IF(LEN(INDEX('Assets'!$P$4:$P$503,_calc!$E$404))=0,"",INDEX('Assets'!$P$4:$P$503,_calc!$E$404)))</f>
        <v/>
      </c>
      <c r="K402" s="44">
        <f>IF(_calc!$E$404="","",IF(LEN(INDEX('Assets'!$N$4:$N$503,_calc!$E$404))=0,"",INDEX('Assets'!$N$4:$N$503,_calc!$E$404)))</f>
        <v/>
      </c>
    </row>
    <row r="403">
      <c r="A403" s="44">
        <f>IF(_calc!$E$405="","",IF(LEN(INDEX('Assets'!$D$4:$D$503,_calc!$E$405))=0,"",INDEX('Assets'!$D$4:$D$503,_calc!$E$405))&amp;" – "&amp;IF(LEN(INDEX('Assets'!$A$4:$A$503,_calc!$E$405))=0,"",INDEX('Assets'!$A$4:$A$503,_calc!$E$405)))</f>
        <v/>
      </c>
      <c r="B403" s="44">
        <f>IF(_calc!$E$405="","",IF(ISNUMBER(INDEX('Assets'!$G$4:$G$503,_calc!$E$405)),TEXT(INDEX('Assets'!$G$4:$G$503,_calc!$E$405),"yyyy-mm-dd"),""))</f>
        <v/>
      </c>
      <c r="C403" s="44">
        <f>IF(_calc!$E$405="","","Inspection")</f>
        <v/>
      </c>
      <c r="D403" s="44">
        <f>IF(_calc!$E$405="","",IF(ISNUMBER(INDEX('Assets'!$F$4:$F$503,_calc!$E$405)),TEXT(INDEX('Assets'!$F$4:$F$503,_calc!$E$405),"yyyy-mm-dd"),""))</f>
        <v/>
      </c>
      <c r="E403" s="44">
        <f>IF(_calc!$E$405="","",IF(LEN(INDEX('Assets'!$O$4:$O$503,_calc!$E$405))=0,"",INDEX('Assets'!$O$4:$O$503,_calc!$E$405)))</f>
        <v/>
      </c>
      <c r="F403" s="44">
        <f>IF(_calc!$E$405="","",TRIM(IF(LEN(IF(LEN(INDEX('Assets'!$B$4:$B$503,_calc!$E$405))=0,"",INDEX('Assets'!$B$4:$B$503,_calc!$E$405)))=0,"","Asset ID: "&amp;IF(LEN(INDEX('Assets'!$B$4:$B$503,_calc!$E$405))=0,"",INDEX('Assets'!$B$4:$B$503,_calc!$E$405))&amp;". ")&amp;IF(LEN(IF(LEN(INDEX('Assets'!$C$4:$C$503,_calc!$E$405))=0,"",INDEX('Assets'!$C$4:$C$503,_calc!$E$405)))=0,"","Location: "&amp;IF(LEN(INDEX('Assets'!$C$4:$C$503,_calc!$E$405))=0,"",INDEX('Assets'!$C$4:$C$503,_calc!$E$405))&amp;". ")&amp;IF(LEN(IF(LEN(INDEX('Assets'!$E$4:$E$503,_calc!$E$405))=0,"",INDEX('Assets'!$E$4:$E$503,_calc!$E$405)))=0,"","Every (months): "&amp;IF(LEN(INDEX('Assets'!$E$4:$E$503,_calc!$E$405))=0,"",INDEX('Assets'!$E$4:$E$503,_calc!$E$405))&amp;". ")&amp;IF(LEN(IF(LEN(INDEX('Assets'!$M$4:$M$503,_calc!$E$405))=0,"",INDEX('Assets'!$M$4:$M$503,_calc!$E$405)))=0,"","Last result: "&amp;IF(LEN(INDEX('Assets'!$M$4:$M$503,_calc!$E$405))=0,"",INDEX('Assets'!$M$4:$M$503,_calc!$E$405))&amp;". ")&amp;IF(LEN(IF(LEN(INDEX('Assets'!$Q$4:$Q$503,_calc!$E$405))=0,"",INDEX('Assets'!$Q$4:$Q$503,_calc!$E$405)))=0,"",IF(LEN(INDEX('Assets'!$Q$4:$Q$503,_calc!$E$405))=0,"",INDEX('Assets'!$Q$4:$Q$503,_calc!$E$405)))))</f>
        <v/>
      </c>
      <c r="G403" s="44">
        <f>IF(_calc!$E$405="","",IF(LEN(INDEX('Assets'!$P$4:$P$503,_calc!$E$405))=0,"",INDEX('Assets'!$P$4:$P$503,_calc!$E$405)))</f>
        <v/>
      </c>
      <c r="K403" s="44">
        <f>IF(_calc!$E$405="","",IF(LEN(INDEX('Assets'!$N$4:$N$503,_calc!$E$405))=0,"",INDEX('Assets'!$N$4:$N$503,_calc!$E$405)))</f>
        <v/>
      </c>
    </row>
    <row r="404">
      <c r="A404" s="44">
        <f>IF(_calc!$E$406="","",IF(LEN(INDEX('Assets'!$D$4:$D$503,_calc!$E$406))=0,"",INDEX('Assets'!$D$4:$D$503,_calc!$E$406))&amp;" – "&amp;IF(LEN(INDEX('Assets'!$A$4:$A$503,_calc!$E$406))=0,"",INDEX('Assets'!$A$4:$A$503,_calc!$E$406)))</f>
        <v/>
      </c>
      <c r="B404" s="44">
        <f>IF(_calc!$E$406="","",IF(ISNUMBER(INDEX('Assets'!$G$4:$G$503,_calc!$E$406)),TEXT(INDEX('Assets'!$G$4:$G$503,_calc!$E$406),"yyyy-mm-dd"),""))</f>
        <v/>
      </c>
      <c r="C404" s="44">
        <f>IF(_calc!$E$406="","","Inspection")</f>
        <v/>
      </c>
      <c r="D404" s="44">
        <f>IF(_calc!$E$406="","",IF(ISNUMBER(INDEX('Assets'!$F$4:$F$503,_calc!$E$406)),TEXT(INDEX('Assets'!$F$4:$F$503,_calc!$E$406),"yyyy-mm-dd"),""))</f>
        <v/>
      </c>
      <c r="E404" s="44">
        <f>IF(_calc!$E$406="","",IF(LEN(INDEX('Assets'!$O$4:$O$503,_calc!$E$406))=0,"",INDEX('Assets'!$O$4:$O$503,_calc!$E$406)))</f>
        <v/>
      </c>
      <c r="F404" s="44">
        <f>IF(_calc!$E$406="","",TRIM(IF(LEN(IF(LEN(INDEX('Assets'!$B$4:$B$503,_calc!$E$406))=0,"",INDEX('Assets'!$B$4:$B$503,_calc!$E$406)))=0,"","Asset ID: "&amp;IF(LEN(INDEX('Assets'!$B$4:$B$503,_calc!$E$406))=0,"",INDEX('Assets'!$B$4:$B$503,_calc!$E$406))&amp;". ")&amp;IF(LEN(IF(LEN(INDEX('Assets'!$C$4:$C$503,_calc!$E$406))=0,"",INDEX('Assets'!$C$4:$C$503,_calc!$E$406)))=0,"","Location: "&amp;IF(LEN(INDEX('Assets'!$C$4:$C$503,_calc!$E$406))=0,"",INDEX('Assets'!$C$4:$C$503,_calc!$E$406))&amp;". ")&amp;IF(LEN(IF(LEN(INDEX('Assets'!$E$4:$E$503,_calc!$E$406))=0,"",INDEX('Assets'!$E$4:$E$503,_calc!$E$406)))=0,"","Every (months): "&amp;IF(LEN(INDEX('Assets'!$E$4:$E$503,_calc!$E$406))=0,"",INDEX('Assets'!$E$4:$E$503,_calc!$E$406))&amp;". ")&amp;IF(LEN(IF(LEN(INDEX('Assets'!$M$4:$M$503,_calc!$E$406))=0,"",INDEX('Assets'!$M$4:$M$503,_calc!$E$406)))=0,"","Last result: "&amp;IF(LEN(INDEX('Assets'!$M$4:$M$503,_calc!$E$406))=0,"",INDEX('Assets'!$M$4:$M$503,_calc!$E$406))&amp;". ")&amp;IF(LEN(IF(LEN(INDEX('Assets'!$Q$4:$Q$503,_calc!$E$406))=0,"",INDEX('Assets'!$Q$4:$Q$503,_calc!$E$406)))=0,"",IF(LEN(INDEX('Assets'!$Q$4:$Q$503,_calc!$E$406))=0,"",INDEX('Assets'!$Q$4:$Q$503,_calc!$E$406)))))</f>
        <v/>
      </c>
      <c r="G404" s="44">
        <f>IF(_calc!$E$406="","",IF(LEN(INDEX('Assets'!$P$4:$P$503,_calc!$E$406))=0,"",INDEX('Assets'!$P$4:$P$503,_calc!$E$406)))</f>
        <v/>
      </c>
      <c r="K404" s="44">
        <f>IF(_calc!$E$406="","",IF(LEN(INDEX('Assets'!$N$4:$N$503,_calc!$E$406))=0,"",INDEX('Assets'!$N$4:$N$503,_calc!$E$406)))</f>
        <v/>
      </c>
    </row>
    <row r="405">
      <c r="A405" s="44">
        <f>IF(_calc!$E$407="","",IF(LEN(INDEX('Assets'!$D$4:$D$503,_calc!$E$407))=0,"",INDEX('Assets'!$D$4:$D$503,_calc!$E$407))&amp;" – "&amp;IF(LEN(INDEX('Assets'!$A$4:$A$503,_calc!$E$407))=0,"",INDEX('Assets'!$A$4:$A$503,_calc!$E$407)))</f>
        <v/>
      </c>
      <c r="B405" s="44">
        <f>IF(_calc!$E$407="","",IF(ISNUMBER(INDEX('Assets'!$G$4:$G$503,_calc!$E$407)),TEXT(INDEX('Assets'!$G$4:$G$503,_calc!$E$407),"yyyy-mm-dd"),""))</f>
        <v/>
      </c>
      <c r="C405" s="44">
        <f>IF(_calc!$E$407="","","Inspection")</f>
        <v/>
      </c>
      <c r="D405" s="44">
        <f>IF(_calc!$E$407="","",IF(ISNUMBER(INDEX('Assets'!$F$4:$F$503,_calc!$E$407)),TEXT(INDEX('Assets'!$F$4:$F$503,_calc!$E$407),"yyyy-mm-dd"),""))</f>
        <v/>
      </c>
      <c r="E405" s="44">
        <f>IF(_calc!$E$407="","",IF(LEN(INDEX('Assets'!$O$4:$O$503,_calc!$E$407))=0,"",INDEX('Assets'!$O$4:$O$503,_calc!$E$407)))</f>
        <v/>
      </c>
      <c r="F405" s="44">
        <f>IF(_calc!$E$407="","",TRIM(IF(LEN(IF(LEN(INDEX('Assets'!$B$4:$B$503,_calc!$E$407))=0,"",INDEX('Assets'!$B$4:$B$503,_calc!$E$407)))=0,"","Asset ID: "&amp;IF(LEN(INDEX('Assets'!$B$4:$B$503,_calc!$E$407))=0,"",INDEX('Assets'!$B$4:$B$503,_calc!$E$407))&amp;". ")&amp;IF(LEN(IF(LEN(INDEX('Assets'!$C$4:$C$503,_calc!$E$407))=0,"",INDEX('Assets'!$C$4:$C$503,_calc!$E$407)))=0,"","Location: "&amp;IF(LEN(INDEX('Assets'!$C$4:$C$503,_calc!$E$407))=0,"",INDEX('Assets'!$C$4:$C$503,_calc!$E$407))&amp;". ")&amp;IF(LEN(IF(LEN(INDEX('Assets'!$E$4:$E$503,_calc!$E$407))=0,"",INDEX('Assets'!$E$4:$E$503,_calc!$E$407)))=0,"","Every (months): "&amp;IF(LEN(INDEX('Assets'!$E$4:$E$503,_calc!$E$407))=0,"",INDEX('Assets'!$E$4:$E$503,_calc!$E$407))&amp;". ")&amp;IF(LEN(IF(LEN(INDEX('Assets'!$M$4:$M$503,_calc!$E$407))=0,"",INDEX('Assets'!$M$4:$M$503,_calc!$E$407)))=0,"","Last result: "&amp;IF(LEN(INDEX('Assets'!$M$4:$M$503,_calc!$E$407))=0,"",INDEX('Assets'!$M$4:$M$503,_calc!$E$407))&amp;". ")&amp;IF(LEN(IF(LEN(INDEX('Assets'!$Q$4:$Q$503,_calc!$E$407))=0,"",INDEX('Assets'!$Q$4:$Q$503,_calc!$E$407)))=0,"",IF(LEN(INDEX('Assets'!$Q$4:$Q$503,_calc!$E$407))=0,"",INDEX('Assets'!$Q$4:$Q$503,_calc!$E$407)))))</f>
        <v/>
      </c>
      <c r="G405" s="44">
        <f>IF(_calc!$E$407="","",IF(LEN(INDEX('Assets'!$P$4:$P$503,_calc!$E$407))=0,"",INDEX('Assets'!$P$4:$P$503,_calc!$E$407)))</f>
        <v/>
      </c>
      <c r="K405" s="44">
        <f>IF(_calc!$E$407="","",IF(LEN(INDEX('Assets'!$N$4:$N$503,_calc!$E$407))=0,"",INDEX('Assets'!$N$4:$N$503,_calc!$E$407)))</f>
        <v/>
      </c>
    </row>
    <row r="406">
      <c r="A406" s="44">
        <f>IF(_calc!$E$408="","",IF(LEN(INDEX('Assets'!$D$4:$D$503,_calc!$E$408))=0,"",INDEX('Assets'!$D$4:$D$503,_calc!$E$408))&amp;" – "&amp;IF(LEN(INDEX('Assets'!$A$4:$A$503,_calc!$E$408))=0,"",INDEX('Assets'!$A$4:$A$503,_calc!$E$408)))</f>
        <v/>
      </c>
      <c r="B406" s="44">
        <f>IF(_calc!$E$408="","",IF(ISNUMBER(INDEX('Assets'!$G$4:$G$503,_calc!$E$408)),TEXT(INDEX('Assets'!$G$4:$G$503,_calc!$E$408),"yyyy-mm-dd"),""))</f>
        <v/>
      </c>
      <c r="C406" s="44">
        <f>IF(_calc!$E$408="","","Inspection")</f>
        <v/>
      </c>
      <c r="D406" s="44">
        <f>IF(_calc!$E$408="","",IF(ISNUMBER(INDEX('Assets'!$F$4:$F$503,_calc!$E$408)),TEXT(INDEX('Assets'!$F$4:$F$503,_calc!$E$408),"yyyy-mm-dd"),""))</f>
        <v/>
      </c>
      <c r="E406" s="44">
        <f>IF(_calc!$E$408="","",IF(LEN(INDEX('Assets'!$O$4:$O$503,_calc!$E$408))=0,"",INDEX('Assets'!$O$4:$O$503,_calc!$E$408)))</f>
        <v/>
      </c>
      <c r="F406" s="44">
        <f>IF(_calc!$E$408="","",TRIM(IF(LEN(IF(LEN(INDEX('Assets'!$B$4:$B$503,_calc!$E$408))=0,"",INDEX('Assets'!$B$4:$B$503,_calc!$E$408)))=0,"","Asset ID: "&amp;IF(LEN(INDEX('Assets'!$B$4:$B$503,_calc!$E$408))=0,"",INDEX('Assets'!$B$4:$B$503,_calc!$E$408))&amp;". ")&amp;IF(LEN(IF(LEN(INDEX('Assets'!$C$4:$C$503,_calc!$E$408))=0,"",INDEX('Assets'!$C$4:$C$503,_calc!$E$408)))=0,"","Location: "&amp;IF(LEN(INDEX('Assets'!$C$4:$C$503,_calc!$E$408))=0,"",INDEX('Assets'!$C$4:$C$503,_calc!$E$408))&amp;". ")&amp;IF(LEN(IF(LEN(INDEX('Assets'!$E$4:$E$503,_calc!$E$408))=0,"",INDEX('Assets'!$E$4:$E$503,_calc!$E$408)))=0,"","Every (months): "&amp;IF(LEN(INDEX('Assets'!$E$4:$E$503,_calc!$E$408))=0,"",INDEX('Assets'!$E$4:$E$503,_calc!$E$408))&amp;". ")&amp;IF(LEN(IF(LEN(INDEX('Assets'!$M$4:$M$503,_calc!$E$408))=0,"",INDEX('Assets'!$M$4:$M$503,_calc!$E$408)))=0,"","Last result: "&amp;IF(LEN(INDEX('Assets'!$M$4:$M$503,_calc!$E$408))=0,"",INDEX('Assets'!$M$4:$M$503,_calc!$E$408))&amp;". ")&amp;IF(LEN(IF(LEN(INDEX('Assets'!$Q$4:$Q$503,_calc!$E$408))=0,"",INDEX('Assets'!$Q$4:$Q$503,_calc!$E$408)))=0,"",IF(LEN(INDEX('Assets'!$Q$4:$Q$503,_calc!$E$408))=0,"",INDEX('Assets'!$Q$4:$Q$503,_calc!$E$408)))))</f>
        <v/>
      </c>
      <c r="G406" s="44">
        <f>IF(_calc!$E$408="","",IF(LEN(INDEX('Assets'!$P$4:$P$503,_calc!$E$408))=0,"",INDEX('Assets'!$P$4:$P$503,_calc!$E$408)))</f>
        <v/>
      </c>
      <c r="K406" s="44">
        <f>IF(_calc!$E$408="","",IF(LEN(INDEX('Assets'!$N$4:$N$503,_calc!$E$408))=0,"",INDEX('Assets'!$N$4:$N$503,_calc!$E$408)))</f>
        <v/>
      </c>
    </row>
    <row r="407">
      <c r="A407" s="44">
        <f>IF(_calc!$E$409="","",IF(LEN(INDEX('Assets'!$D$4:$D$503,_calc!$E$409))=0,"",INDEX('Assets'!$D$4:$D$503,_calc!$E$409))&amp;" – "&amp;IF(LEN(INDEX('Assets'!$A$4:$A$503,_calc!$E$409))=0,"",INDEX('Assets'!$A$4:$A$503,_calc!$E$409)))</f>
        <v/>
      </c>
      <c r="B407" s="44">
        <f>IF(_calc!$E$409="","",IF(ISNUMBER(INDEX('Assets'!$G$4:$G$503,_calc!$E$409)),TEXT(INDEX('Assets'!$G$4:$G$503,_calc!$E$409),"yyyy-mm-dd"),""))</f>
        <v/>
      </c>
      <c r="C407" s="44">
        <f>IF(_calc!$E$409="","","Inspection")</f>
        <v/>
      </c>
      <c r="D407" s="44">
        <f>IF(_calc!$E$409="","",IF(ISNUMBER(INDEX('Assets'!$F$4:$F$503,_calc!$E$409)),TEXT(INDEX('Assets'!$F$4:$F$503,_calc!$E$409),"yyyy-mm-dd"),""))</f>
        <v/>
      </c>
      <c r="E407" s="44">
        <f>IF(_calc!$E$409="","",IF(LEN(INDEX('Assets'!$O$4:$O$503,_calc!$E$409))=0,"",INDEX('Assets'!$O$4:$O$503,_calc!$E$409)))</f>
        <v/>
      </c>
      <c r="F407" s="44">
        <f>IF(_calc!$E$409="","",TRIM(IF(LEN(IF(LEN(INDEX('Assets'!$B$4:$B$503,_calc!$E$409))=0,"",INDEX('Assets'!$B$4:$B$503,_calc!$E$409)))=0,"","Asset ID: "&amp;IF(LEN(INDEX('Assets'!$B$4:$B$503,_calc!$E$409))=0,"",INDEX('Assets'!$B$4:$B$503,_calc!$E$409))&amp;". ")&amp;IF(LEN(IF(LEN(INDEX('Assets'!$C$4:$C$503,_calc!$E$409))=0,"",INDEX('Assets'!$C$4:$C$503,_calc!$E$409)))=0,"","Location: "&amp;IF(LEN(INDEX('Assets'!$C$4:$C$503,_calc!$E$409))=0,"",INDEX('Assets'!$C$4:$C$503,_calc!$E$409))&amp;". ")&amp;IF(LEN(IF(LEN(INDEX('Assets'!$E$4:$E$503,_calc!$E$409))=0,"",INDEX('Assets'!$E$4:$E$503,_calc!$E$409)))=0,"","Every (months): "&amp;IF(LEN(INDEX('Assets'!$E$4:$E$503,_calc!$E$409))=0,"",INDEX('Assets'!$E$4:$E$503,_calc!$E$409))&amp;". ")&amp;IF(LEN(IF(LEN(INDEX('Assets'!$M$4:$M$503,_calc!$E$409))=0,"",INDEX('Assets'!$M$4:$M$503,_calc!$E$409)))=0,"","Last result: "&amp;IF(LEN(INDEX('Assets'!$M$4:$M$503,_calc!$E$409))=0,"",INDEX('Assets'!$M$4:$M$503,_calc!$E$409))&amp;". ")&amp;IF(LEN(IF(LEN(INDEX('Assets'!$Q$4:$Q$503,_calc!$E$409))=0,"",INDEX('Assets'!$Q$4:$Q$503,_calc!$E$409)))=0,"",IF(LEN(INDEX('Assets'!$Q$4:$Q$503,_calc!$E$409))=0,"",INDEX('Assets'!$Q$4:$Q$503,_calc!$E$409)))))</f>
        <v/>
      </c>
      <c r="G407" s="44">
        <f>IF(_calc!$E$409="","",IF(LEN(INDEX('Assets'!$P$4:$P$503,_calc!$E$409))=0,"",INDEX('Assets'!$P$4:$P$503,_calc!$E$409)))</f>
        <v/>
      </c>
      <c r="K407" s="44">
        <f>IF(_calc!$E$409="","",IF(LEN(INDEX('Assets'!$N$4:$N$503,_calc!$E$409))=0,"",INDEX('Assets'!$N$4:$N$503,_calc!$E$409)))</f>
        <v/>
      </c>
    </row>
    <row r="408">
      <c r="A408" s="44">
        <f>IF(_calc!$E$410="","",IF(LEN(INDEX('Assets'!$D$4:$D$503,_calc!$E$410))=0,"",INDEX('Assets'!$D$4:$D$503,_calc!$E$410))&amp;" – "&amp;IF(LEN(INDEX('Assets'!$A$4:$A$503,_calc!$E$410))=0,"",INDEX('Assets'!$A$4:$A$503,_calc!$E$410)))</f>
        <v/>
      </c>
      <c r="B408" s="44">
        <f>IF(_calc!$E$410="","",IF(ISNUMBER(INDEX('Assets'!$G$4:$G$503,_calc!$E$410)),TEXT(INDEX('Assets'!$G$4:$G$503,_calc!$E$410),"yyyy-mm-dd"),""))</f>
        <v/>
      </c>
      <c r="C408" s="44">
        <f>IF(_calc!$E$410="","","Inspection")</f>
        <v/>
      </c>
      <c r="D408" s="44">
        <f>IF(_calc!$E$410="","",IF(ISNUMBER(INDEX('Assets'!$F$4:$F$503,_calc!$E$410)),TEXT(INDEX('Assets'!$F$4:$F$503,_calc!$E$410),"yyyy-mm-dd"),""))</f>
        <v/>
      </c>
      <c r="E408" s="44">
        <f>IF(_calc!$E$410="","",IF(LEN(INDEX('Assets'!$O$4:$O$503,_calc!$E$410))=0,"",INDEX('Assets'!$O$4:$O$503,_calc!$E$410)))</f>
        <v/>
      </c>
      <c r="F408" s="44">
        <f>IF(_calc!$E$410="","",TRIM(IF(LEN(IF(LEN(INDEX('Assets'!$B$4:$B$503,_calc!$E$410))=0,"",INDEX('Assets'!$B$4:$B$503,_calc!$E$410)))=0,"","Asset ID: "&amp;IF(LEN(INDEX('Assets'!$B$4:$B$503,_calc!$E$410))=0,"",INDEX('Assets'!$B$4:$B$503,_calc!$E$410))&amp;". ")&amp;IF(LEN(IF(LEN(INDEX('Assets'!$C$4:$C$503,_calc!$E$410))=0,"",INDEX('Assets'!$C$4:$C$503,_calc!$E$410)))=0,"","Location: "&amp;IF(LEN(INDEX('Assets'!$C$4:$C$503,_calc!$E$410))=0,"",INDEX('Assets'!$C$4:$C$503,_calc!$E$410))&amp;". ")&amp;IF(LEN(IF(LEN(INDEX('Assets'!$E$4:$E$503,_calc!$E$410))=0,"",INDEX('Assets'!$E$4:$E$503,_calc!$E$410)))=0,"","Every (months): "&amp;IF(LEN(INDEX('Assets'!$E$4:$E$503,_calc!$E$410))=0,"",INDEX('Assets'!$E$4:$E$503,_calc!$E$410))&amp;". ")&amp;IF(LEN(IF(LEN(INDEX('Assets'!$M$4:$M$503,_calc!$E$410))=0,"",INDEX('Assets'!$M$4:$M$503,_calc!$E$410)))=0,"","Last result: "&amp;IF(LEN(INDEX('Assets'!$M$4:$M$503,_calc!$E$410))=0,"",INDEX('Assets'!$M$4:$M$503,_calc!$E$410))&amp;". ")&amp;IF(LEN(IF(LEN(INDEX('Assets'!$Q$4:$Q$503,_calc!$E$410))=0,"",INDEX('Assets'!$Q$4:$Q$503,_calc!$E$410)))=0,"",IF(LEN(INDEX('Assets'!$Q$4:$Q$503,_calc!$E$410))=0,"",INDEX('Assets'!$Q$4:$Q$503,_calc!$E$410)))))</f>
        <v/>
      </c>
      <c r="G408" s="44">
        <f>IF(_calc!$E$410="","",IF(LEN(INDEX('Assets'!$P$4:$P$503,_calc!$E$410))=0,"",INDEX('Assets'!$P$4:$P$503,_calc!$E$410)))</f>
        <v/>
      </c>
      <c r="K408" s="44">
        <f>IF(_calc!$E$410="","",IF(LEN(INDEX('Assets'!$N$4:$N$503,_calc!$E$410))=0,"",INDEX('Assets'!$N$4:$N$503,_calc!$E$410)))</f>
        <v/>
      </c>
    </row>
    <row r="409">
      <c r="A409" s="44">
        <f>IF(_calc!$E$411="","",IF(LEN(INDEX('Assets'!$D$4:$D$503,_calc!$E$411))=0,"",INDEX('Assets'!$D$4:$D$503,_calc!$E$411))&amp;" – "&amp;IF(LEN(INDEX('Assets'!$A$4:$A$503,_calc!$E$411))=0,"",INDEX('Assets'!$A$4:$A$503,_calc!$E$411)))</f>
        <v/>
      </c>
      <c r="B409" s="44">
        <f>IF(_calc!$E$411="","",IF(ISNUMBER(INDEX('Assets'!$G$4:$G$503,_calc!$E$411)),TEXT(INDEX('Assets'!$G$4:$G$503,_calc!$E$411),"yyyy-mm-dd"),""))</f>
        <v/>
      </c>
      <c r="C409" s="44">
        <f>IF(_calc!$E$411="","","Inspection")</f>
        <v/>
      </c>
      <c r="D409" s="44">
        <f>IF(_calc!$E$411="","",IF(ISNUMBER(INDEX('Assets'!$F$4:$F$503,_calc!$E$411)),TEXT(INDEX('Assets'!$F$4:$F$503,_calc!$E$411),"yyyy-mm-dd"),""))</f>
        <v/>
      </c>
      <c r="E409" s="44">
        <f>IF(_calc!$E$411="","",IF(LEN(INDEX('Assets'!$O$4:$O$503,_calc!$E$411))=0,"",INDEX('Assets'!$O$4:$O$503,_calc!$E$411)))</f>
        <v/>
      </c>
      <c r="F409" s="44">
        <f>IF(_calc!$E$411="","",TRIM(IF(LEN(IF(LEN(INDEX('Assets'!$B$4:$B$503,_calc!$E$411))=0,"",INDEX('Assets'!$B$4:$B$503,_calc!$E$411)))=0,"","Asset ID: "&amp;IF(LEN(INDEX('Assets'!$B$4:$B$503,_calc!$E$411))=0,"",INDEX('Assets'!$B$4:$B$503,_calc!$E$411))&amp;". ")&amp;IF(LEN(IF(LEN(INDEX('Assets'!$C$4:$C$503,_calc!$E$411))=0,"",INDEX('Assets'!$C$4:$C$503,_calc!$E$411)))=0,"","Location: "&amp;IF(LEN(INDEX('Assets'!$C$4:$C$503,_calc!$E$411))=0,"",INDEX('Assets'!$C$4:$C$503,_calc!$E$411))&amp;". ")&amp;IF(LEN(IF(LEN(INDEX('Assets'!$E$4:$E$503,_calc!$E$411))=0,"",INDEX('Assets'!$E$4:$E$503,_calc!$E$411)))=0,"","Every (months): "&amp;IF(LEN(INDEX('Assets'!$E$4:$E$503,_calc!$E$411))=0,"",INDEX('Assets'!$E$4:$E$503,_calc!$E$411))&amp;". ")&amp;IF(LEN(IF(LEN(INDEX('Assets'!$M$4:$M$503,_calc!$E$411))=0,"",INDEX('Assets'!$M$4:$M$503,_calc!$E$411)))=0,"","Last result: "&amp;IF(LEN(INDEX('Assets'!$M$4:$M$503,_calc!$E$411))=0,"",INDEX('Assets'!$M$4:$M$503,_calc!$E$411))&amp;". ")&amp;IF(LEN(IF(LEN(INDEX('Assets'!$Q$4:$Q$503,_calc!$E$411))=0,"",INDEX('Assets'!$Q$4:$Q$503,_calc!$E$411)))=0,"",IF(LEN(INDEX('Assets'!$Q$4:$Q$503,_calc!$E$411))=0,"",INDEX('Assets'!$Q$4:$Q$503,_calc!$E$411)))))</f>
        <v/>
      </c>
      <c r="G409" s="44">
        <f>IF(_calc!$E$411="","",IF(LEN(INDEX('Assets'!$P$4:$P$503,_calc!$E$411))=0,"",INDEX('Assets'!$P$4:$P$503,_calc!$E$411)))</f>
        <v/>
      </c>
      <c r="K409" s="44">
        <f>IF(_calc!$E$411="","",IF(LEN(INDEX('Assets'!$N$4:$N$503,_calc!$E$411))=0,"",INDEX('Assets'!$N$4:$N$503,_calc!$E$411)))</f>
        <v/>
      </c>
    </row>
    <row r="410">
      <c r="A410" s="44">
        <f>IF(_calc!$E$412="","",IF(LEN(INDEX('Assets'!$D$4:$D$503,_calc!$E$412))=0,"",INDEX('Assets'!$D$4:$D$503,_calc!$E$412))&amp;" – "&amp;IF(LEN(INDEX('Assets'!$A$4:$A$503,_calc!$E$412))=0,"",INDEX('Assets'!$A$4:$A$503,_calc!$E$412)))</f>
        <v/>
      </c>
      <c r="B410" s="44">
        <f>IF(_calc!$E$412="","",IF(ISNUMBER(INDEX('Assets'!$G$4:$G$503,_calc!$E$412)),TEXT(INDEX('Assets'!$G$4:$G$503,_calc!$E$412),"yyyy-mm-dd"),""))</f>
        <v/>
      </c>
      <c r="C410" s="44">
        <f>IF(_calc!$E$412="","","Inspection")</f>
        <v/>
      </c>
      <c r="D410" s="44">
        <f>IF(_calc!$E$412="","",IF(ISNUMBER(INDEX('Assets'!$F$4:$F$503,_calc!$E$412)),TEXT(INDEX('Assets'!$F$4:$F$503,_calc!$E$412),"yyyy-mm-dd"),""))</f>
        <v/>
      </c>
      <c r="E410" s="44">
        <f>IF(_calc!$E$412="","",IF(LEN(INDEX('Assets'!$O$4:$O$503,_calc!$E$412))=0,"",INDEX('Assets'!$O$4:$O$503,_calc!$E$412)))</f>
        <v/>
      </c>
      <c r="F410" s="44">
        <f>IF(_calc!$E$412="","",TRIM(IF(LEN(IF(LEN(INDEX('Assets'!$B$4:$B$503,_calc!$E$412))=0,"",INDEX('Assets'!$B$4:$B$503,_calc!$E$412)))=0,"","Asset ID: "&amp;IF(LEN(INDEX('Assets'!$B$4:$B$503,_calc!$E$412))=0,"",INDEX('Assets'!$B$4:$B$503,_calc!$E$412))&amp;". ")&amp;IF(LEN(IF(LEN(INDEX('Assets'!$C$4:$C$503,_calc!$E$412))=0,"",INDEX('Assets'!$C$4:$C$503,_calc!$E$412)))=0,"","Location: "&amp;IF(LEN(INDEX('Assets'!$C$4:$C$503,_calc!$E$412))=0,"",INDEX('Assets'!$C$4:$C$503,_calc!$E$412))&amp;". ")&amp;IF(LEN(IF(LEN(INDEX('Assets'!$E$4:$E$503,_calc!$E$412))=0,"",INDEX('Assets'!$E$4:$E$503,_calc!$E$412)))=0,"","Every (months): "&amp;IF(LEN(INDEX('Assets'!$E$4:$E$503,_calc!$E$412))=0,"",INDEX('Assets'!$E$4:$E$503,_calc!$E$412))&amp;". ")&amp;IF(LEN(IF(LEN(INDEX('Assets'!$M$4:$M$503,_calc!$E$412))=0,"",INDEX('Assets'!$M$4:$M$503,_calc!$E$412)))=0,"","Last result: "&amp;IF(LEN(INDEX('Assets'!$M$4:$M$503,_calc!$E$412))=0,"",INDEX('Assets'!$M$4:$M$503,_calc!$E$412))&amp;". ")&amp;IF(LEN(IF(LEN(INDEX('Assets'!$Q$4:$Q$503,_calc!$E$412))=0,"",INDEX('Assets'!$Q$4:$Q$503,_calc!$E$412)))=0,"",IF(LEN(INDEX('Assets'!$Q$4:$Q$503,_calc!$E$412))=0,"",INDEX('Assets'!$Q$4:$Q$503,_calc!$E$412)))))</f>
        <v/>
      </c>
      <c r="G410" s="44">
        <f>IF(_calc!$E$412="","",IF(LEN(INDEX('Assets'!$P$4:$P$503,_calc!$E$412))=0,"",INDEX('Assets'!$P$4:$P$503,_calc!$E$412)))</f>
        <v/>
      </c>
      <c r="K410" s="44">
        <f>IF(_calc!$E$412="","",IF(LEN(INDEX('Assets'!$N$4:$N$503,_calc!$E$412))=0,"",INDEX('Assets'!$N$4:$N$503,_calc!$E$412)))</f>
        <v/>
      </c>
    </row>
    <row r="411">
      <c r="A411" s="44">
        <f>IF(_calc!$E$413="","",IF(LEN(INDEX('Assets'!$D$4:$D$503,_calc!$E$413))=0,"",INDEX('Assets'!$D$4:$D$503,_calc!$E$413))&amp;" – "&amp;IF(LEN(INDEX('Assets'!$A$4:$A$503,_calc!$E$413))=0,"",INDEX('Assets'!$A$4:$A$503,_calc!$E$413)))</f>
        <v/>
      </c>
      <c r="B411" s="44">
        <f>IF(_calc!$E$413="","",IF(ISNUMBER(INDEX('Assets'!$G$4:$G$503,_calc!$E$413)),TEXT(INDEX('Assets'!$G$4:$G$503,_calc!$E$413),"yyyy-mm-dd"),""))</f>
        <v/>
      </c>
      <c r="C411" s="44">
        <f>IF(_calc!$E$413="","","Inspection")</f>
        <v/>
      </c>
      <c r="D411" s="44">
        <f>IF(_calc!$E$413="","",IF(ISNUMBER(INDEX('Assets'!$F$4:$F$503,_calc!$E$413)),TEXT(INDEX('Assets'!$F$4:$F$503,_calc!$E$413),"yyyy-mm-dd"),""))</f>
        <v/>
      </c>
      <c r="E411" s="44">
        <f>IF(_calc!$E$413="","",IF(LEN(INDEX('Assets'!$O$4:$O$503,_calc!$E$413))=0,"",INDEX('Assets'!$O$4:$O$503,_calc!$E$413)))</f>
        <v/>
      </c>
      <c r="F411" s="44">
        <f>IF(_calc!$E$413="","",TRIM(IF(LEN(IF(LEN(INDEX('Assets'!$B$4:$B$503,_calc!$E$413))=0,"",INDEX('Assets'!$B$4:$B$503,_calc!$E$413)))=0,"","Asset ID: "&amp;IF(LEN(INDEX('Assets'!$B$4:$B$503,_calc!$E$413))=0,"",INDEX('Assets'!$B$4:$B$503,_calc!$E$413))&amp;". ")&amp;IF(LEN(IF(LEN(INDEX('Assets'!$C$4:$C$503,_calc!$E$413))=0,"",INDEX('Assets'!$C$4:$C$503,_calc!$E$413)))=0,"","Location: "&amp;IF(LEN(INDEX('Assets'!$C$4:$C$503,_calc!$E$413))=0,"",INDEX('Assets'!$C$4:$C$503,_calc!$E$413))&amp;". ")&amp;IF(LEN(IF(LEN(INDEX('Assets'!$E$4:$E$503,_calc!$E$413))=0,"",INDEX('Assets'!$E$4:$E$503,_calc!$E$413)))=0,"","Every (months): "&amp;IF(LEN(INDEX('Assets'!$E$4:$E$503,_calc!$E$413))=0,"",INDEX('Assets'!$E$4:$E$503,_calc!$E$413))&amp;". ")&amp;IF(LEN(IF(LEN(INDEX('Assets'!$M$4:$M$503,_calc!$E$413))=0,"",INDEX('Assets'!$M$4:$M$503,_calc!$E$413)))=0,"","Last result: "&amp;IF(LEN(INDEX('Assets'!$M$4:$M$503,_calc!$E$413))=0,"",INDEX('Assets'!$M$4:$M$503,_calc!$E$413))&amp;". ")&amp;IF(LEN(IF(LEN(INDEX('Assets'!$Q$4:$Q$503,_calc!$E$413))=0,"",INDEX('Assets'!$Q$4:$Q$503,_calc!$E$413)))=0,"",IF(LEN(INDEX('Assets'!$Q$4:$Q$503,_calc!$E$413))=0,"",INDEX('Assets'!$Q$4:$Q$503,_calc!$E$413)))))</f>
        <v/>
      </c>
      <c r="G411" s="44">
        <f>IF(_calc!$E$413="","",IF(LEN(INDEX('Assets'!$P$4:$P$503,_calc!$E$413))=0,"",INDEX('Assets'!$P$4:$P$503,_calc!$E$413)))</f>
        <v/>
      </c>
      <c r="K411" s="44">
        <f>IF(_calc!$E$413="","",IF(LEN(INDEX('Assets'!$N$4:$N$503,_calc!$E$413))=0,"",INDEX('Assets'!$N$4:$N$503,_calc!$E$413)))</f>
        <v/>
      </c>
    </row>
    <row r="412">
      <c r="A412" s="44">
        <f>IF(_calc!$E$414="","",IF(LEN(INDEX('Assets'!$D$4:$D$503,_calc!$E$414))=0,"",INDEX('Assets'!$D$4:$D$503,_calc!$E$414))&amp;" – "&amp;IF(LEN(INDEX('Assets'!$A$4:$A$503,_calc!$E$414))=0,"",INDEX('Assets'!$A$4:$A$503,_calc!$E$414)))</f>
        <v/>
      </c>
      <c r="B412" s="44">
        <f>IF(_calc!$E$414="","",IF(ISNUMBER(INDEX('Assets'!$G$4:$G$503,_calc!$E$414)),TEXT(INDEX('Assets'!$G$4:$G$503,_calc!$E$414),"yyyy-mm-dd"),""))</f>
        <v/>
      </c>
      <c r="C412" s="44">
        <f>IF(_calc!$E$414="","","Inspection")</f>
        <v/>
      </c>
      <c r="D412" s="44">
        <f>IF(_calc!$E$414="","",IF(ISNUMBER(INDEX('Assets'!$F$4:$F$503,_calc!$E$414)),TEXT(INDEX('Assets'!$F$4:$F$503,_calc!$E$414),"yyyy-mm-dd"),""))</f>
        <v/>
      </c>
      <c r="E412" s="44">
        <f>IF(_calc!$E$414="","",IF(LEN(INDEX('Assets'!$O$4:$O$503,_calc!$E$414))=0,"",INDEX('Assets'!$O$4:$O$503,_calc!$E$414)))</f>
        <v/>
      </c>
      <c r="F412" s="44">
        <f>IF(_calc!$E$414="","",TRIM(IF(LEN(IF(LEN(INDEX('Assets'!$B$4:$B$503,_calc!$E$414))=0,"",INDEX('Assets'!$B$4:$B$503,_calc!$E$414)))=0,"","Asset ID: "&amp;IF(LEN(INDEX('Assets'!$B$4:$B$503,_calc!$E$414))=0,"",INDEX('Assets'!$B$4:$B$503,_calc!$E$414))&amp;". ")&amp;IF(LEN(IF(LEN(INDEX('Assets'!$C$4:$C$503,_calc!$E$414))=0,"",INDEX('Assets'!$C$4:$C$503,_calc!$E$414)))=0,"","Location: "&amp;IF(LEN(INDEX('Assets'!$C$4:$C$503,_calc!$E$414))=0,"",INDEX('Assets'!$C$4:$C$503,_calc!$E$414))&amp;". ")&amp;IF(LEN(IF(LEN(INDEX('Assets'!$E$4:$E$503,_calc!$E$414))=0,"",INDEX('Assets'!$E$4:$E$503,_calc!$E$414)))=0,"","Every (months): "&amp;IF(LEN(INDEX('Assets'!$E$4:$E$503,_calc!$E$414))=0,"",INDEX('Assets'!$E$4:$E$503,_calc!$E$414))&amp;". ")&amp;IF(LEN(IF(LEN(INDEX('Assets'!$M$4:$M$503,_calc!$E$414))=0,"",INDEX('Assets'!$M$4:$M$503,_calc!$E$414)))=0,"","Last result: "&amp;IF(LEN(INDEX('Assets'!$M$4:$M$503,_calc!$E$414))=0,"",INDEX('Assets'!$M$4:$M$503,_calc!$E$414))&amp;". ")&amp;IF(LEN(IF(LEN(INDEX('Assets'!$Q$4:$Q$503,_calc!$E$414))=0,"",INDEX('Assets'!$Q$4:$Q$503,_calc!$E$414)))=0,"",IF(LEN(INDEX('Assets'!$Q$4:$Q$503,_calc!$E$414))=0,"",INDEX('Assets'!$Q$4:$Q$503,_calc!$E$414)))))</f>
        <v/>
      </c>
      <c r="G412" s="44">
        <f>IF(_calc!$E$414="","",IF(LEN(INDEX('Assets'!$P$4:$P$503,_calc!$E$414))=0,"",INDEX('Assets'!$P$4:$P$503,_calc!$E$414)))</f>
        <v/>
      </c>
      <c r="K412" s="44">
        <f>IF(_calc!$E$414="","",IF(LEN(INDEX('Assets'!$N$4:$N$503,_calc!$E$414))=0,"",INDEX('Assets'!$N$4:$N$503,_calc!$E$414)))</f>
        <v/>
      </c>
    </row>
    <row r="413">
      <c r="A413" s="44">
        <f>IF(_calc!$E$415="","",IF(LEN(INDEX('Assets'!$D$4:$D$503,_calc!$E$415))=0,"",INDEX('Assets'!$D$4:$D$503,_calc!$E$415))&amp;" – "&amp;IF(LEN(INDEX('Assets'!$A$4:$A$503,_calc!$E$415))=0,"",INDEX('Assets'!$A$4:$A$503,_calc!$E$415)))</f>
        <v/>
      </c>
      <c r="B413" s="44">
        <f>IF(_calc!$E$415="","",IF(ISNUMBER(INDEX('Assets'!$G$4:$G$503,_calc!$E$415)),TEXT(INDEX('Assets'!$G$4:$G$503,_calc!$E$415),"yyyy-mm-dd"),""))</f>
        <v/>
      </c>
      <c r="C413" s="44">
        <f>IF(_calc!$E$415="","","Inspection")</f>
        <v/>
      </c>
      <c r="D413" s="44">
        <f>IF(_calc!$E$415="","",IF(ISNUMBER(INDEX('Assets'!$F$4:$F$503,_calc!$E$415)),TEXT(INDEX('Assets'!$F$4:$F$503,_calc!$E$415),"yyyy-mm-dd"),""))</f>
        <v/>
      </c>
      <c r="E413" s="44">
        <f>IF(_calc!$E$415="","",IF(LEN(INDEX('Assets'!$O$4:$O$503,_calc!$E$415))=0,"",INDEX('Assets'!$O$4:$O$503,_calc!$E$415)))</f>
        <v/>
      </c>
      <c r="F413" s="44">
        <f>IF(_calc!$E$415="","",TRIM(IF(LEN(IF(LEN(INDEX('Assets'!$B$4:$B$503,_calc!$E$415))=0,"",INDEX('Assets'!$B$4:$B$503,_calc!$E$415)))=0,"","Asset ID: "&amp;IF(LEN(INDEX('Assets'!$B$4:$B$503,_calc!$E$415))=0,"",INDEX('Assets'!$B$4:$B$503,_calc!$E$415))&amp;". ")&amp;IF(LEN(IF(LEN(INDEX('Assets'!$C$4:$C$503,_calc!$E$415))=0,"",INDEX('Assets'!$C$4:$C$503,_calc!$E$415)))=0,"","Location: "&amp;IF(LEN(INDEX('Assets'!$C$4:$C$503,_calc!$E$415))=0,"",INDEX('Assets'!$C$4:$C$503,_calc!$E$415))&amp;". ")&amp;IF(LEN(IF(LEN(INDEX('Assets'!$E$4:$E$503,_calc!$E$415))=0,"",INDEX('Assets'!$E$4:$E$503,_calc!$E$415)))=0,"","Every (months): "&amp;IF(LEN(INDEX('Assets'!$E$4:$E$503,_calc!$E$415))=0,"",INDEX('Assets'!$E$4:$E$503,_calc!$E$415))&amp;". ")&amp;IF(LEN(IF(LEN(INDEX('Assets'!$M$4:$M$503,_calc!$E$415))=0,"",INDEX('Assets'!$M$4:$M$503,_calc!$E$415)))=0,"","Last result: "&amp;IF(LEN(INDEX('Assets'!$M$4:$M$503,_calc!$E$415))=0,"",INDEX('Assets'!$M$4:$M$503,_calc!$E$415))&amp;". ")&amp;IF(LEN(IF(LEN(INDEX('Assets'!$Q$4:$Q$503,_calc!$E$415))=0,"",INDEX('Assets'!$Q$4:$Q$503,_calc!$E$415)))=0,"",IF(LEN(INDEX('Assets'!$Q$4:$Q$503,_calc!$E$415))=0,"",INDEX('Assets'!$Q$4:$Q$503,_calc!$E$415)))))</f>
        <v/>
      </c>
      <c r="G413" s="44">
        <f>IF(_calc!$E$415="","",IF(LEN(INDEX('Assets'!$P$4:$P$503,_calc!$E$415))=0,"",INDEX('Assets'!$P$4:$P$503,_calc!$E$415)))</f>
        <v/>
      </c>
      <c r="K413" s="44">
        <f>IF(_calc!$E$415="","",IF(LEN(INDEX('Assets'!$N$4:$N$503,_calc!$E$415))=0,"",INDEX('Assets'!$N$4:$N$503,_calc!$E$415)))</f>
        <v/>
      </c>
    </row>
    <row r="414">
      <c r="A414" s="44">
        <f>IF(_calc!$E$416="","",IF(LEN(INDEX('Assets'!$D$4:$D$503,_calc!$E$416))=0,"",INDEX('Assets'!$D$4:$D$503,_calc!$E$416))&amp;" – "&amp;IF(LEN(INDEX('Assets'!$A$4:$A$503,_calc!$E$416))=0,"",INDEX('Assets'!$A$4:$A$503,_calc!$E$416)))</f>
        <v/>
      </c>
      <c r="B414" s="44">
        <f>IF(_calc!$E$416="","",IF(ISNUMBER(INDEX('Assets'!$G$4:$G$503,_calc!$E$416)),TEXT(INDEX('Assets'!$G$4:$G$503,_calc!$E$416),"yyyy-mm-dd"),""))</f>
        <v/>
      </c>
      <c r="C414" s="44">
        <f>IF(_calc!$E$416="","","Inspection")</f>
        <v/>
      </c>
      <c r="D414" s="44">
        <f>IF(_calc!$E$416="","",IF(ISNUMBER(INDEX('Assets'!$F$4:$F$503,_calc!$E$416)),TEXT(INDEX('Assets'!$F$4:$F$503,_calc!$E$416),"yyyy-mm-dd"),""))</f>
        <v/>
      </c>
      <c r="E414" s="44">
        <f>IF(_calc!$E$416="","",IF(LEN(INDEX('Assets'!$O$4:$O$503,_calc!$E$416))=0,"",INDEX('Assets'!$O$4:$O$503,_calc!$E$416)))</f>
        <v/>
      </c>
      <c r="F414" s="44">
        <f>IF(_calc!$E$416="","",TRIM(IF(LEN(IF(LEN(INDEX('Assets'!$B$4:$B$503,_calc!$E$416))=0,"",INDEX('Assets'!$B$4:$B$503,_calc!$E$416)))=0,"","Asset ID: "&amp;IF(LEN(INDEX('Assets'!$B$4:$B$503,_calc!$E$416))=0,"",INDEX('Assets'!$B$4:$B$503,_calc!$E$416))&amp;". ")&amp;IF(LEN(IF(LEN(INDEX('Assets'!$C$4:$C$503,_calc!$E$416))=0,"",INDEX('Assets'!$C$4:$C$503,_calc!$E$416)))=0,"","Location: "&amp;IF(LEN(INDEX('Assets'!$C$4:$C$503,_calc!$E$416))=0,"",INDEX('Assets'!$C$4:$C$503,_calc!$E$416))&amp;". ")&amp;IF(LEN(IF(LEN(INDEX('Assets'!$E$4:$E$503,_calc!$E$416))=0,"",INDEX('Assets'!$E$4:$E$503,_calc!$E$416)))=0,"","Every (months): "&amp;IF(LEN(INDEX('Assets'!$E$4:$E$503,_calc!$E$416))=0,"",INDEX('Assets'!$E$4:$E$503,_calc!$E$416))&amp;". ")&amp;IF(LEN(IF(LEN(INDEX('Assets'!$M$4:$M$503,_calc!$E$416))=0,"",INDEX('Assets'!$M$4:$M$503,_calc!$E$416)))=0,"","Last result: "&amp;IF(LEN(INDEX('Assets'!$M$4:$M$503,_calc!$E$416))=0,"",INDEX('Assets'!$M$4:$M$503,_calc!$E$416))&amp;". ")&amp;IF(LEN(IF(LEN(INDEX('Assets'!$Q$4:$Q$503,_calc!$E$416))=0,"",INDEX('Assets'!$Q$4:$Q$503,_calc!$E$416)))=0,"",IF(LEN(INDEX('Assets'!$Q$4:$Q$503,_calc!$E$416))=0,"",INDEX('Assets'!$Q$4:$Q$503,_calc!$E$416)))))</f>
        <v/>
      </c>
      <c r="G414" s="44">
        <f>IF(_calc!$E$416="","",IF(LEN(INDEX('Assets'!$P$4:$P$503,_calc!$E$416))=0,"",INDEX('Assets'!$P$4:$P$503,_calc!$E$416)))</f>
        <v/>
      </c>
      <c r="K414" s="44">
        <f>IF(_calc!$E$416="","",IF(LEN(INDEX('Assets'!$N$4:$N$503,_calc!$E$416))=0,"",INDEX('Assets'!$N$4:$N$503,_calc!$E$416)))</f>
        <v/>
      </c>
    </row>
    <row r="415">
      <c r="A415" s="44">
        <f>IF(_calc!$E$417="","",IF(LEN(INDEX('Assets'!$D$4:$D$503,_calc!$E$417))=0,"",INDEX('Assets'!$D$4:$D$503,_calc!$E$417))&amp;" – "&amp;IF(LEN(INDEX('Assets'!$A$4:$A$503,_calc!$E$417))=0,"",INDEX('Assets'!$A$4:$A$503,_calc!$E$417)))</f>
        <v/>
      </c>
      <c r="B415" s="44">
        <f>IF(_calc!$E$417="","",IF(ISNUMBER(INDEX('Assets'!$G$4:$G$503,_calc!$E$417)),TEXT(INDEX('Assets'!$G$4:$G$503,_calc!$E$417),"yyyy-mm-dd"),""))</f>
        <v/>
      </c>
      <c r="C415" s="44">
        <f>IF(_calc!$E$417="","","Inspection")</f>
        <v/>
      </c>
      <c r="D415" s="44">
        <f>IF(_calc!$E$417="","",IF(ISNUMBER(INDEX('Assets'!$F$4:$F$503,_calc!$E$417)),TEXT(INDEX('Assets'!$F$4:$F$503,_calc!$E$417),"yyyy-mm-dd"),""))</f>
        <v/>
      </c>
      <c r="E415" s="44">
        <f>IF(_calc!$E$417="","",IF(LEN(INDEX('Assets'!$O$4:$O$503,_calc!$E$417))=0,"",INDEX('Assets'!$O$4:$O$503,_calc!$E$417)))</f>
        <v/>
      </c>
      <c r="F415" s="44">
        <f>IF(_calc!$E$417="","",TRIM(IF(LEN(IF(LEN(INDEX('Assets'!$B$4:$B$503,_calc!$E$417))=0,"",INDEX('Assets'!$B$4:$B$503,_calc!$E$417)))=0,"","Asset ID: "&amp;IF(LEN(INDEX('Assets'!$B$4:$B$503,_calc!$E$417))=0,"",INDEX('Assets'!$B$4:$B$503,_calc!$E$417))&amp;". ")&amp;IF(LEN(IF(LEN(INDEX('Assets'!$C$4:$C$503,_calc!$E$417))=0,"",INDEX('Assets'!$C$4:$C$503,_calc!$E$417)))=0,"","Location: "&amp;IF(LEN(INDEX('Assets'!$C$4:$C$503,_calc!$E$417))=0,"",INDEX('Assets'!$C$4:$C$503,_calc!$E$417))&amp;". ")&amp;IF(LEN(IF(LEN(INDEX('Assets'!$E$4:$E$503,_calc!$E$417))=0,"",INDEX('Assets'!$E$4:$E$503,_calc!$E$417)))=0,"","Every (months): "&amp;IF(LEN(INDEX('Assets'!$E$4:$E$503,_calc!$E$417))=0,"",INDEX('Assets'!$E$4:$E$503,_calc!$E$417))&amp;". ")&amp;IF(LEN(IF(LEN(INDEX('Assets'!$M$4:$M$503,_calc!$E$417))=0,"",INDEX('Assets'!$M$4:$M$503,_calc!$E$417)))=0,"","Last result: "&amp;IF(LEN(INDEX('Assets'!$M$4:$M$503,_calc!$E$417))=0,"",INDEX('Assets'!$M$4:$M$503,_calc!$E$417))&amp;". ")&amp;IF(LEN(IF(LEN(INDEX('Assets'!$Q$4:$Q$503,_calc!$E$417))=0,"",INDEX('Assets'!$Q$4:$Q$503,_calc!$E$417)))=0,"",IF(LEN(INDEX('Assets'!$Q$4:$Q$503,_calc!$E$417))=0,"",INDEX('Assets'!$Q$4:$Q$503,_calc!$E$417)))))</f>
        <v/>
      </c>
      <c r="G415" s="44">
        <f>IF(_calc!$E$417="","",IF(LEN(INDEX('Assets'!$P$4:$P$503,_calc!$E$417))=0,"",INDEX('Assets'!$P$4:$P$503,_calc!$E$417)))</f>
        <v/>
      </c>
      <c r="K415" s="44">
        <f>IF(_calc!$E$417="","",IF(LEN(INDEX('Assets'!$N$4:$N$503,_calc!$E$417))=0,"",INDEX('Assets'!$N$4:$N$503,_calc!$E$417)))</f>
        <v/>
      </c>
    </row>
    <row r="416">
      <c r="A416" s="44">
        <f>IF(_calc!$E$418="","",IF(LEN(INDEX('Assets'!$D$4:$D$503,_calc!$E$418))=0,"",INDEX('Assets'!$D$4:$D$503,_calc!$E$418))&amp;" – "&amp;IF(LEN(INDEX('Assets'!$A$4:$A$503,_calc!$E$418))=0,"",INDEX('Assets'!$A$4:$A$503,_calc!$E$418)))</f>
        <v/>
      </c>
      <c r="B416" s="44">
        <f>IF(_calc!$E$418="","",IF(ISNUMBER(INDEX('Assets'!$G$4:$G$503,_calc!$E$418)),TEXT(INDEX('Assets'!$G$4:$G$503,_calc!$E$418),"yyyy-mm-dd"),""))</f>
        <v/>
      </c>
      <c r="C416" s="44">
        <f>IF(_calc!$E$418="","","Inspection")</f>
        <v/>
      </c>
      <c r="D416" s="44">
        <f>IF(_calc!$E$418="","",IF(ISNUMBER(INDEX('Assets'!$F$4:$F$503,_calc!$E$418)),TEXT(INDEX('Assets'!$F$4:$F$503,_calc!$E$418),"yyyy-mm-dd"),""))</f>
        <v/>
      </c>
      <c r="E416" s="44">
        <f>IF(_calc!$E$418="","",IF(LEN(INDEX('Assets'!$O$4:$O$503,_calc!$E$418))=0,"",INDEX('Assets'!$O$4:$O$503,_calc!$E$418)))</f>
        <v/>
      </c>
      <c r="F416" s="44">
        <f>IF(_calc!$E$418="","",TRIM(IF(LEN(IF(LEN(INDEX('Assets'!$B$4:$B$503,_calc!$E$418))=0,"",INDEX('Assets'!$B$4:$B$503,_calc!$E$418)))=0,"","Asset ID: "&amp;IF(LEN(INDEX('Assets'!$B$4:$B$503,_calc!$E$418))=0,"",INDEX('Assets'!$B$4:$B$503,_calc!$E$418))&amp;". ")&amp;IF(LEN(IF(LEN(INDEX('Assets'!$C$4:$C$503,_calc!$E$418))=0,"",INDEX('Assets'!$C$4:$C$503,_calc!$E$418)))=0,"","Location: "&amp;IF(LEN(INDEX('Assets'!$C$4:$C$503,_calc!$E$418))=0,"",INDEX('Assets'!$C$4:$C$503,_calc!$E$418))&amp;". ")&amp;IF(LEN(IF(LEN(INDEX('Assets'!$E$4:$E$503,_calc!$E$418))=0,"",INDEX('Assets'!$E$4:$E$503,_calc!$E$418)))=0,"","Every (months): "&amp;IF(LEN(INDEX('Assets'!$E$4:$E$503,_calc!$E$418))=0,"",INDEX('Assets'!$E$4:$E$503,_calc!$E$418))&amp;". ")&amp;IF(LEN(IF(LEN(INDEX('Assets'!$M$4:$M$503,_calc!$E$418))=0,"",INDEX('Assets'!$M$4:$M$503,_calc!$E$418)))=0,"","Last result: "&amp;IF(LEN(INDEX('Assets'!$M$4:$M$503,_calc!$E$418))=0,"",INDEX('Assets'!$M$4:$M$503,_calc!$E$418))&amp;". ")&amp;IF(LEN(IF(LEN(INDEX('Assets'!$Q$4:$Q$503,_calc!$E$418))=0,"",INDEX('Assets'!$Q$4:$Q$503,_calc!$E$418)))=0,"",IF(LEN(INDEX('Assets'!$Q$4:$Q$503,_calc!$E$418))=0,"",INDEX('Assets'!$Q$4:$Q$503,_calc!$E$418)))))</f>
        <v/>
      </c>
      <c r="G416" s="44">
        <f>IF(_calc!$E$418="","",IF(LEN(INDEX('Assets'!$P$4:$P$503,_calc!$E$418))=0,"",INDEX('Assets'!$P$4:$P$503,_calc!$E$418)))</f>
        <v/>
      </c>
      <c r="K416" s="44">
        <f>IF(_calc!$E$418="","",IF(LEN(INDEX('Assets'!$N$4:$N$503,_calc!$E$418))=0,"",INDEX('Assets'!$N$4:$N$503,_calc!$E$418)))</f>
        <v/>
      </c>
    </row>
    <row r="417">
      <c r="A417" s="44">
        <f>IF(_calc!$E$419="","",IF(LEN(INDEX('Assets'!$D$4:$D$503,_calc!$E$419))=0,"",INDEX('Assets'!$D$4:$D$503,_calc!$E$419))&amp;" – "&amp;IF(LEN(INDEX('Assets'!$A$4:$A$503,_calc!$E$419))=0,"",INDEX('Assets'!$A$4:$A$503,_calc!$E$419)))</f>
        <v/>
      </c>
      <c r="B417" s="44">
        <f>IF(_calc!$E$419="","",IF(ISNUMBER(INDEX('Assets'!$G$4:$G$503,_calc!$E$419)),TEXT(INDEX('Assets'!$G$4:$G$503,_calc!$E$419),"yyyy-mm-dd"),""))</f>
        <v/>
      </c>
      <c r="C417" s="44">
        <f>IF(_calc!$E$419="","","Inspection")</f>
        <v/>
      </c>
      <c r="D417" s="44">
        <f>IF(_calc!$E$419="","",IF(ISNUMBER(INDEX('Assets'!$F$4:$F$503,_calc!$E$419)),TEXT(INDEX('Assets'!$F$4:$F$503,_calc!$E$419),"yyyy-mm-dd"),""))</f>
        <v/>
      </c>
      <c r="E417" s="44">
        <f>IF(_calc!$E$419="","",IF(LEN(INDEX('Assets'!$O$4:$O$503,_calc!$E$419))=0,"",INDEX('Assets'!$O$4:$O$503,_calc!$E$419)))</f>
        <v/>
      </c>
      <c r="F417" s="44">
        <f>IF(_calc!$E$419="","",TRIM(IF(LEN(IF(LEN(INDEX('Assets'!$B$4:$B$503,_calc!$E$419))=0,"",INDEX('Assets'!$B$4:$B$503,_calc!$E$419)))=0,"","Asset ID: "&amp;IF(LEN(INDEX('Assets'!$B$4:$B$503,_calc!$E$419))=0,"",INDEX('Assets'!$B$4:$B$503,_calc!$E$419))&amp;". ")&amp;IF(LEN(IF(LEN(INDEX('Assets'!$C$4:$C$503,_calc!$E$419))=0,"",INDEX('Assets'!$C$4:$C$503,_calc!$E$419)))=0,"","Location: "&amp;IF(LEN(INDEX('Assets'!$C$4:$C$503,_calc!$E$419))=0,"",INDEX('Assets'!$C$4:$C$503,_calc!$E$419))&amp;". ")&amp;IF(LEN(IF(LEN(INDEX('Assets'!$E$4:$E$503,_calc!$E$419))=0,"",INDEX('Assets'!$E$4:$E$503,_calc!$E$419)))=0,"","Every (months): "&amp;IF(LEN(INDEX('Assets'!$E$4:$E$503,_calc!$E$419))=0,"",INDEX('Assets'!$E$4:$E$503,_calc!$E$419))&amp;". ")&amp;IF(LEN(IF(LEN(INDEX('Assets'!$M$4:$M$503,_calc!$E$419))=0,"",INDEX('Assets'!$M$4:$M$503,_calc!$E$419)))=0,"","Last result: "&amp;IF(LEN(INDEX('Assets'!$M$4:$M$503,_calc!$E$419))=0,"",INDEX('Assets'!$M$4:$M$503,_calc!$E$419))&amp;". ")&amp;IF(LEN(IF(LEN(INDEX('Assets'!$Q$4:$Q$503,_calc!$E$419))=0,"",INDEX('Assets'!$Q$4:$Q$503,_calc!$E$419)))=0,"",IF(LEN(INDEX('Assets'!$Q$4:$Q$503,_calc!$E$419))=0,"",INDEX('Assets'!$Q$4:$Q$503,_calc!$E$419)))))</f>
        <v/>
      </c>
      <c r="G417" s="44">
        <f>IF(_calc!$E$419="","",IF(LEN(INDEX('Assets'!$P$4:$P$503,_calc!$E$419))=0,"",INDEX('Assets'!$P$4:$P$503,_calc!$E$419)))</f>
        <v/>
      </c>
      <c r="K417" s="44">
        <f>IF(_calc!$E$419="","",IF(LEN(INDEX('Assets'!$N$4:$N$503,_calc!$E$419))=0,"",INDEX('Assets'!$N$4:$N$503,_calc!$E$419)))</f>
        <v/>
      </c>
    </row>
    <row r="418">
      <c r="A418" s="44">
        <f>IF(_calc!$E$420="","",IF(LEN(INDEX('Assets'!$D$4:$D$503,_calc!$E$420))=0,"",INDEX('Assets'!$D$4:$D$503,_calc!$E$420))&amp;" – "&amp;IF(LEN(INDEX('Assets'!$A$4:$A$503,_calc!$E$420))=0,"",INDEX('Assets'!$A$4:$A$503,_calc!$E$420)))</f>
        <v/>
      </c>
      <c r="B418" s="44">
        <f>IF(_calc!$E$420="","",IF(ISNUMBER(INDEX('Assets'!$G$4:$G$503,_calc!$E$420)),TEXT(INDEX('Assets'!$G$4:$G$503,_calc!$E$420),"yyyy-mm-dd"),""))</f>
        <v/>
      </c>
      <c r="C418" s="44">
        <f>IF(_calc!$E$420="","","Inspection")</f>
        <v/>
      </c>
      <c r="D418" s="44">
        <f>IF(_calc!$E$420="","",IF(ISNUMBER(INDEX('Assets'!$F$4:$F$503,_calc!$E$420)),TEXT(INDEX('Assets'!$F$4:$F$503,_calc!$E$420),"yyyy-mm-dd"),""))</f>
        <v/>
      </c>
      <c r="E418" s="44">
        <f>IF(_calc!$E$420="","",IF(LEN(INDEX('Assets'!$O$4:$O$503,_calc!$E$420))=0,"",INDEX('Assets'!$O$4:$O$503,_calc!$E$420)))</f>
        <v/>
      </c>
      <c r="F418" s="44">
        <f>IF(_calc!$E$420="","",TRIM(IF(LEN(IF(LEN(INDEX('Assets'!$B$4:$B$503,_calc!$E$420))=0,"",INDEX('Assets'!$B$4:$B$503,_calc!$E$420)))=0,"","Asset ID: "&amp;IF(LEN(INDEX('Assets'!$B$4:$B$503,_calc!$E$420))=0,"",INDEX('Assets'!$B$4:$B$503,_calc!$E$420))&amp;". ")&amp;IF(LEN(IF(LEN(INDEX('Assets'!$C$4:$C$503,_calc!$E$420))=0,"",INDEX('Assets'!$C$4:$C$503,_calc!$E$420)))=0,"","Location: "&amp;IF(LEN(INDEX('Assets'!$C$4:$C$503,_calc!$E$420))=0,"",INDEX('Assets'!$C$4:$C$503,_calc!$E$420))&amp;". ")&amp;IF(LEN(IF(LEN(INDEX('Assets'!$E$4:$E$503,_calc!$E$420))=0,"",INDEX('Assets'!$E$4:$E$503,_calc!$E$420)))=0,"","Every (months): "&amp;IF(LEN(INDEX('Assets'!$E$4:$E$503,_calc!$E$420))=0,"",INDEX('Assets'!$E$4:$E$503,_calc!$E$420))&amp;". ")&amp;IF(LEN(IF(LEN(INDEX('Assets'!$M$4:$M$503,_calc!$E$420))=0,"",INDEX('Assets'!$M$4:$M$503,_calc!$E$420)))=0,"","Last result: "&amp;IF(LEN(INDEX('Assets'!$M$4:$M$503,_calc!$E$420))=0,"",INDEX('Assets'!$M$4:$M$503,_calc!$E$420))&amp;". ")&amp;IF(LEN(IF(LEN(INDEX('Assets'!$Q$4:$Q$503,_calc!$E$420))=0,"",INDEX('Assets'!$Q$4:$Q$503,_calc!$E$420)))=0,"",IF(LEN(INDEX('Assets'!$Q$4:$Q$503,_calc!$E$420))=0,"",INDEX('Assets'!$Q$4:$Q$503,_calc!$E$420)))))</f>
        <v/>
      </c>
      <c r="G418" s="44">
        <f>IF(_calc!$E$420="","",IF(LEN(INDEX('Assets'!$P$4:$P$503,_calc!$E$420))=0,"",INDEX('Assets'!$P$4:$P$503,_calc!$E$420)))</f>
        <v/>
      </c>
      <c r="K418" s="44">
        <f>IF(_calc!$E$420="","",IF(LEN(INDEX('Assets'!$N$4:$N$503,_calc!$E$420))=0,"",INDEX('Assets'!$N$4:$N$503,_calc!$E$420)))</f>
        <v/>
      </c>
    </row>
    <row r="419">
      <c r="A419" s="44">
        <f>IF(_calc!$E$421="","",IF(LEN(INDEX('Assets'!$D$4:$D$503,_calc!$E$421))=0,"",INDEX('Assets'!$D$4:$D$503,_calc!$E$421))&amp;" – "&amp;IF(LEN(INDEX('Assets'!$A$4:$A$503,_calc!$E$421))=0,"",INDEX('Assets'!$A$4:$A$503,_calc!$E$421)))</f>
        <v/>
      </c>
      <c r="B419" s="44">
        <f>IF(_calc!$E$421="","",IF(ISNUMBER(INDEX('Assets'!$G$4:$G$503,_calc!$E$421)),TEXT(INDEX('Assets'!$G$4:$G$503,_calc!$E$421),"yyyy-mm-dd"),""))</f>
        <v/>
      </c>
      <c r="C419" s="44">
        <f>IF(_calc!$E$421="","","Inspection")</f>
        <v/>
      </c>
      <c r="D419" s="44">
        <f>IF(_calc!$E$421="","",IF(ISNUMBER(INDEX('Assets'!$F$4:$F$503,_calc!$E$421)),TEXT(INDEX('Assets'!$F$4:$F$503,_calc!$E$421),"yyyy-mm-dd"),""))</f>
        <v/>
      </c>
      <c r="E419" s="44">
        <f>IF(_calc!$E$421="","",IF(LEN(INDEX('Assets'!$O$4:$O$503,_calc!$E$421))=0,"",INDEX('Assets'!$O$4:$O$503,_calc!$E$421)))</f>
        <v/>
      </c>
      <c r="F419" s="44">
        <f>IF(_calc!$E$421="","",TRIM(IF(LEN(IF(LEN(INDEX('Assets'!$B$4:$B$503,_calc!$E$421))=0,"",INDEX('Assets'!$B$4:$B$503,_calc!$E$421)))=0,"","Asset ID: "&amp;IF(LEN(INDEX('Assets'!$B$4:$B$503,_calc!$E$421))=0,"",INDEX('Assets'!$B$4:$B$503,_calc!$E$421))&amp;". ")&amp;IF(LEN(IF(LEN(INDEX('Assets'!$C$4:$C$503,_calc!$E$421))=0,"",INDEX('Assets'!$C$4:$C$503,_calc!$E$421)))=0,"","Location: "&amp;IF(LEN(INDEX('Assets'!$C$4:$C$503,_calc!$E$421))=0,"",INDEX('Assets'!$C$4:$C$503,_calc!$E$421))&amp;". ")&amp;IF(LEN(IF(LEN(INDEX('Assets'!$E$4:$E$503,_calc!$E$421))=0,"",INDEX('Assets'!$E$4:$E$503,_calc!$E$421)))=0,"","Every (months): "&amp;IF(LEN(INDEX('Assets'!$E$4:$E$503,_calc!$E$421))=0,"",INDEX('Assets'!$E$4:$E$503,_calc!$E$421))&amp;". ")&amp;IF(LEN(IF(LEN(INDEX('Assets'!$M$4:$M$503,_calc!$E$421))=0,"",INDEX('Assets'!$M$4:$M$503,_calc!$E$421)))=0,"","Last result: "&amp;IF(LEN(INDEX('Assets'!$M$4:$M$503,_calc!$E$421))=0,"",INDEX('Assets'!$M$4:$M$503,_calc!$E$421))&amp;". ")&amp;IF(LEN(IF(LEN(INDEX('Assets'!$Q$4:$Q$503,_calc!$E$421))=0,"",INDEX('Assets'!$Q$4:$Q$503,_calc!$E$421)))=0,"",IF(LEN(INDEX('Assets'!$Q$4:$Q$503,_calc!$E$421))=0,"",INDEX('Assets'!$Q$4:$Q$503,_calc!$E$421)))))</f>
        <v/>
      </c>
      <c r="G419" s="44">
        <f>IF(_calc!$E$421="","",IF(LEN(INDEX('Assets'!$P$4:$P$503,_calc!$E$421))=0,"",INDEX('Assets'!$P$4:$P$503,_calc!$E$421)))</f>
        <v/>
      </c>
      <c r="K419" s="44">
        <f>IF(_calc!$E$421="","",IF(LEN(INDEX('Assets'!$N$4:$N$503,_calc!$E$421))=0,"",INDEX('Assets'!$N$4:$N$503,_calc!$E$421)))</f>
        <v/>
      </c>
    </row>
    <row r="420">
      <c r="A420" s="44">
        <f>IF(_calc!$E$422="","",IF(LEN(INDEX('Assets'!$D$4:$D$503,_calc!$E$422))=0,"",INDEX('Assets'!$D$4:$D$503,_calc!$E$422))&amp;" – "&amp;IF(LEN(INDEX('Assets'!$A$4:$A$503,_calc!$E$422))=0,"",INDEX('Assets'!$A$4:$A$503,_calc!$E$422)))</f>
        <v/>
      </c>
      <c r="B420" s="44">
        <f>IF(_calc!$E$422="","",IF(ISNUMBER(INDEX('Assets'!$G$4:$G$503,_calc!$E$422)),TEXT(INDEX('Assets'!$G$4:$G$503,_calc!$E$422),"yyyy-mm-dd"),""))</f>
        <v/>
      </c>
      <c r="C420" s="44">
        <f>IF(_calc!$E$422="","","Inspection")</f>
        <v/>
      </c>
      <c r="D420" s="44">
        <f>IF(_calc!$E$422="","",IF(ISNUMBER(INDEX('Assets'!$F$4:$F$503,_calc!$E$422)),TEXT(INDEX('Assets'!$F$4:$F$503,_calc!$E$422),"yyyy-mm-dd"),""))</f>
        <v/>
      </c>
      <c r="E420" s="44">
        <f>IF(_calc!$E$422="","",IF(LEN(INDEX('Assets'!$O$4:$O$503,_calc!$E$422))=0,"",INDEX('Assets'!$O$4:$O$503,_calc!$E$422)))</f>
        <v/>
      </c>
      <c r="F420" s="44">
        <f>IF(_calc!$E$422="","",TRIM(IF(LEN(IF(LEN(INDEX('Assets'!$B$4:$B$503,_calc!$E$422))=0,"",INDEX('Assets'!$B$4:$B$503,_calc!$E$422)))=0,"","Asset ID: "&amp;IF(LEN(INDEX('Assets'!$B$4:$B$503,_calc!$E$422))=0,"",INDEX('Assets'!$B$4:$B$503,_calc!$E$422))&amp;". ")&amp;IF(LEN(IF(LEN(INDEX('Assets'!$C$4:$C$503,_calc!$E$422))=0,"",INDEX('Assets'!$C$4:$C$503,_calc!$E$422)))=0,"","Location: "&amp;IF(LEN(INDEX('Assets'!$C$4:$C$503,_calc!$E$422))=0,"",INDEX('Assets'!$C$4:$C$503,_calc!$E$422))&amp;". ")&amp;IF(LEN(IF(LEN(INDEX('Assets'!$E$4:$E$503,_calc!$E$422))=0,"",INDEX('Assets'!$E$4:$E$503,_calc!$E$422)))=0,"","Every (months): "&amp;IF(LEN(INDEX('Assets'!$E$4:$E$503,_calc!$E$422))=0,"",INDEX('Assets'!$E$4:$E$503,_calc!$E$422))&amp;". ")&amp;IF(LEN(IF(LEN(INDEX('Assets'!$M$4:$M$503,_calc!$E$422))=0,"",INDEX('Assets'!$M$4:$M$503,_calc!$E$422)))=0,"","Last result: "&amp;IF(LEN(INDEX('Assets'!$M$4:$M$503,_calc!$E$422))=0,"",INDEX('Assets'!$M$4:$M$503,_calc!$E$422))&amp;". ")&amp;IF(LEN(IF(LEN(INDEX('Assets'!$Q$4:$Q$503,_calc!$E$422))=0,"",INDEX('Assets'!$Q$4:$Q$503,_calc!$E$422)))=0,"",IF(LEN(INDEX('Assets'!$Q$4:$Q$503,_calc!$E$422))=0,"",INDEX('Assets'!$Q$4:$Q$503,_calc!$E$422)))))</f>
        <v/>
      </c>
      <c r="G420" s="44">
        <f>IF(_calc!$E$422="","",IF(LEN(INDEX('Assets'!$P$4:$P$503,_calc!$E$422))=0,"",INDEX('Assets'!$P$4:$P$503,_calc!$E$422)))</f>
        <v/>
      </c>
      <c r="K420" s="44">
        <f>IF(_calc!$E$422="","",IF(LEN(INDEX('Assets'!$N$4:$N$503,_calc!$E$422))=0,"",INDEX('Assets'!$N$4:$N$503,_calc!$E$422)))</f>
        <v/>
      </c>
    </row>
    <row r="421">
      <c r="A421" s="44">
        <f>IF(_calc!$E$423="","",IF(LEN(INDEX('Assets'!$D$4:$D$503,_calc!$E$423))=0,"",INDEX('Assets'!$D$4:$D$503,_calc!$E$423))&amp;" – "&amp;IF(LEN(INDEX('Assets'!$A$4:$A$503,_calc!$E$423))=0,"",INDEX('Assets'!$A$4:$A$503,_calc!$E$423)))</f>
        <v/>
      </c>
      <c r="B421" s="44">
        <f>IF(_calc!$E$423="","",IF(ISNUMBER(INDEX('Assets'!$G$4:$G$503,_calc!$E$423)),TEXT(INDEX('Assets'!$G$4:$G$503,_calc!$E$423),"yyyy-mm-dd"),""))</f>
        <v/>
      </c>
      <c r="C421" s="44">
        <f>IF(_calc!$E$423="","","Inspection")</f>
        <v/>
      </c>
      <c r="D421" s="44">
        <f>IF(_calc!$E$423="","",IF(ISNUMBER(INDEX('Assets'!$F$4:$F$503,_calc!$E$423)),TEXT(INDEX('Assets'!$F$4:$F$503,_calc!$E$423),"yyyy-mm-dd"),""))</f>
        <v/>
      </c>
      <c r="E421" s="44">
        <f>IF(_calc!$E$423="","",IF(LEN(INDEX('Assets'!$O$4:$O$503,_calc!$E$423))=0,"",INDEX('Assets'!$O$4:$O$503,_calc!$E$423)))</f>
        <v/>
      </c>
      <c r="F421" s="44">
        <f>IF(_calc!$E$423="","",TRIM(IF(LEN(IF(LEN(INDEX('Assets'!$B$4:$B$503,_calc!$E$423))=0,"",INDEX('Assets'!$B$4:$B$503,_calc!$E$423)))=0,"","Asset ID: "&amp;IF(LEN(INDEX('Assets'!$B$4:$B$503,_calc!$E$423))=0,"",INDEX('Assets'!$B$4:$B$503,_calc!$E$423))&amp;". ")&amp;IF(LEN(IF(LEN(INDEX('Assets'!$C$4:$C$503,_calc!$E$423))=0,"",INDEX('Assets'!$C$4:$C$503,_calc!$E$423)))=0,"","Location: "&amp;IF(LEN(INDEX('Assets'!$C$4:$C$503,_calc!$E$423))=0,"",INDEX('Assets'!$C$4:$C$503,_calc!$E$423))&amp;". ")&amp;IF(LEN(IF(LEN(INDEX('Assets'!$E$4:$E$503,_calc!$E$423))=0,"",INDEX('Assets'!$E$4:$E$503,_calc!$E$423)))=0,"","Every (months): "&amp;IF(LEN(INDEX('Assets'!$E$4:$E$503,_calc!$E$423))=0,"",INDEX('Assets'!$E$4:$E$503,_calc!$E$423))&amp;". ")&amp;IF(LEN(IF(LEN(INDEX('Assets'!$M$4:$M$503,_calc!$E$423))=0,"",INDEX('Assets'!$M$4:$M$503,_calc!$E$423)))=0,"","Last result: "&amp;IF(LEN(INDEX('Assets'!$M$4:$M$503,_calc!$E$423))=0,"",INDEX('Assets'!$M$4:$M$503,_calc!$E$423))&amp;". ")&amp;IF(LEN(IF(LEN(INDEX('Assets'!$Q$4:$Q$503,_calc!$E$423))=0,"",INDEX('Assets'!$Q$4:$Q$503,_calc!$E$423)))=0,"",IF(LEN(INDEX('Assets'!$Q$4:$Q$503,_calc!$E$423))=0,"",INDEX('Assets'!$Q$4:$Q$503,_calc!$E$423)))))</f>
        <v/>
      </c>
      <c r="G421" s="44">
        <f>IF(_calc!$E$423="","",IF(LEN(INDEX('Assets'!$P$4:$P$503,_calc!$E$423))=0,"",INDEX('Assets'!$P$4:$P$503,_calc!$E$423)))</f>
        <v/>
      </c>
      <c r="K421" s="44">
        <f>IF(_calc!$E$423="","",IF(LEN(INDEX('Assets'!$N$4:$N$503,_calc!$E$423))=0,"",INDEX('Assets'!$N$4:$N$503,_calc!$E$423)))</f>
        <v/>
      </c>
    </row>
    <row r="422">
      <c r="A422" s="44">
        <f>IF(_calc!$E$424="","",IF(LEN(INDEX('Assets'!$D$4:$D$503,_calc!$E$424))=0,"",INDEX('Assets'!$D$4:$D$503,_calc!$E$424))&amp;" – "&amp;IF(LEN(INDEX('Assets'!$A$4:$A$503,_calc!$E$424))=0,"",INDEX('Assets'!$A$4:$A$503,_calc!$E$424)))</f>
        <v/>
      </c>
      <c r="B422" s="44">
        <f>IF(_calc!$E$424="","",IF(ISNUMBER(INDEX('Assets'!$G$4:$G$503,_calc!$E$424)),TEXT(INDEX('Assets'!$G$4:$G$503,_calc!$E$424),"yyyy-mm-dd"),""))</f>
        <v/>
      </c>
      <c r="C422" s="44">
        <f>IF(_calc!$E$424="","","Inspection")</f>
        <v/>
      </c>
      <c r="D422" s="44">
        <f>IF(_calc!$E$424="","",IF(ISNUMBER(INDEX('Assets'!$F$4:$F$503,_calc!$E$424)),TEXT(INDEX('Assets'!$F$4:$F$503,_calc!$E$424),"yyyy-mm-dd"),""))</f>
        <v/>
      </c>
      <c r="E422" s="44">
        <f>IF(_calc!$E$424="","",IF(LEN(INDEX('Assets'!$O$4:$O$503,_calc!$E$424))=0,"",INDEX('Assets'!$O$4:$O$503,_calc!$E$424)))</f>
        <v/>
      </c>
      <c r="F422" s="44">
        <f>IF(_calc!$E$424="","",TRIM(IF(LEN(IF(LEN(INDEX('Assets'!$B$4:$B$503,_calc!$E$424))=0,"",INDEX('Assets'!$B$4:$B$503,_calc!$E$424)))=0,"","Asset ID: "&amp;IF(LEN(INDEX('Assets'!$B$4:$B$503,_calc!$E$424))=0,"",INDEX('Assets'!$B$4:$B$503,_calc!$E$424))&amp;". ")&amp;IF(LEN(IF(LEN(INDEX('Assets'!$C$4:$C$503,_calc!$E$424))=0,"",INDEX('Assets'!$C$4:$C$503,_calc!$E$424)))=0,"","Location: "&amp;IF(LEN(INDEX('Assets'!$C$4:$C$503,_calc!$E$424))=0,"",INDEX('Assets'!$C$4:$C$503,_calc!$E$424))&amp;". ")&amp;IF(LEN(IF(LEN(INDEX('Assets'!$E$4:$E$503,_calc!$E$424))=0,"",INDEX('Assets'!$E$4:$E$503,_calc!$E$424)))=0,"","Every (months): "&amp;IF(LEN(INDEX('Assets'!$E$4:$E$503,_calc!$E$424))=0,"",INDEX('Assets'!$E$4:$E$503,_calc!$E$424))&amp;". ")&amp;IF(LEN(IF(LEN(INDEX('Assets'!$M$4:$M$503,_calc!$E$424))=0,"",INDEX('Assets'!$M$4:$M$503,_calc!$E$424)))=0,"","Last result: "&amp;IF(LEN(INDEX('Assets'!$M$4:$M$503,_calc!$E$424))=0,"",INDEX('Assets'!$M$4:$M$503,_calc!$E$424))&amp;". ")&amp;IF(LEN(IF(LEN(INDEX('Assets'!$Q$4:$Q$503,_calc!$E$424))=0,"",INDEX('Assets'!$Q$4:$Q$503,_calc!$E$424)))=0,"",IF(LEN(INDEX('Assets'!$Q$4:$Q$503,_calc!$E$424))=0,"",INDEX('Assets'!$Q$4:$Q$503,_calc!$E$424)))))</f>
        <v/>
      </c>
      <c r="G422" s="44">
        <f>IF(_calc!$E$424="","",IF(LEN(INDEX('Assets'!$P$4:$P$503,_calc!$E$424))=0,"",INDEX('Assets'!$P$4:$P$503,_calc!$E$424)))</f>
        <v/>
      </c>
      <c r="K422" s="44">
        <f>IF(_calc!$E$424="","",IF(LEN(INDEX('Assets'!$N$4:$N$503,_calc!$E$424))=0,"",INDEX('Assets'!$N$4:$N$503,_calc!$E$424)))</f>
        <v/>
      </c>
    </row>
    <row r="423">
      <c r="A423" s="44">
        <f>IF(_calc!$E$425="","",IF(LEN(INDEX('Assets'!$D$4:$D$503,_calc!$E$425))=0,"",INDEX('Assets'!$D$4:$D$503,_calc!$E$425))&amp;" – "&amp;IF(LEN(INDEX('Assets'!$A$4:$A$503,_calc!$E$425))=0,"",INDEX('Assets'!$A$4:$A$503,_calc!$E$425)))</f>
        <v/>
      </c>
      <c r="B423" s="44">
        <f>IF(_calc!$E$425="","",IF(ISNUMBER(INDEX('Assets'!$G$4:$G$503,_calc!$E$425)),TEXT(INDEX('Assets'!$G$4:$G$503,_calc!$E$425),"yyyy-mm-dd"),""))</f>
        <v/>
      </c>
      <c r="C423" s="44">
        <f>IF(_calc!$E$425="","","Inspection")</f>
        <v/>
      </c>
      <c r="D423" s="44">
        <f>IF(_calc!$E$425="","",IF(ISNUMBER(INDEX('Assets'!$F$4:$F$503,_calc!$E$425)),TEXT(INDEX('Assets'!$F$4:$F$503,_calc!$E$425),"yyyy-mm-dd"),""))</f>
        <v/>
      </c>
      <c r="E423" s="44">
        <f>IF(_calc!$E$425="","",IF(LEN(INDEX('Assets'!$O$4:$O$503,_calc!$E$425))=0,"",INDEX('Assets'!$O$4:$O$503,_calc!$E$425)))</f>
        <v/>
      </c>
      <c r="F423" s="44">
        <f>IF(_calc!$E$425="","",TRIM(IF(LEN(IF(LEN(INDEX('Assets'!$B$4:$B$503,_calc!$E$425))=0,"",INDEX('Assets'!$B$4:$B$503,_calc!$E$425)))=0,"","Asset ID: "&amp;IF(LEN(INDEX('Assets'!$B$4:$B$503,_calc!$E$425))=0,"",INDEX('Assets'!$B$4:$B$503,_calc!$E$425))&amp;". ")&amp;IF(LEN(IF(LEN(INDEX('Assets'!$C$4:$C$503,_calc!$E$425))=0,"",INDEX('Assets'!$C$4:$C$503,_calc!$E$425)))=0,"","Location: "&amp;IF(LEN(INDEX('Assets'!$C$4:$C$503,_calc!$E$425))=0,"",INDEX('Assets'!$C$4:$C$503,_calc!$E$425))&amp;". ")&amp;IF(LEN(IF(LEN(INDEX('Assets'!$E$4:$E$503,_calc!$E$425))=0,"",INDEX('Assets'!$E$4:$E$503,_calc!$E$425)))=0,"","Every (months): "&amp;IF(LEN(INDEX('Assets'!$E$4:$E$503,_calc!$E$425))=0,"",INDEX('Assets'!$E$4:$E$503,_calc!$E$425))&amp;". ")&amp;IF(LEN(IF(LEN(INDEX('Assets'!$M$4:$M$503,_calc!$E$425))=0,"",INDEX('Assets'!$M$4:$M$503,_calc!$E$425)))=0,"","Last result: "&amp;IF(LEN(INDEX('Assets'!$M$4:$M$503,_calc!$E$425))=0,"",INDEX('Assets'!$M$4:$M$503,_calc!$E$425))&amp;". ")&amp;IF(LEN(IF(LEN(INDEX('Assets'!$Q$4:$Q$503,_calc!$E$425))=0,"",INDEX('Assets'!$Q$4:$Q$503,_calc!$E$425)))=0,"",IF(LEN(INDEX('Assets'!$Q$4:$Q$503,_calc!$E$425))=0,"",INDEX('Assets'!$Q$4:$Q$503,_calc!$E$425)))))</f>
        <v/>
      </c>
      <c r="G423" s="44">
        <f>IF(_calc!$E$425="","",IF(LEN(INDEX('Assets'!$P$4:$P$503,_calc!$E$425))=0,"",INDEX('Assets'!$P$4:$P$503,_calc!$E$425)))</f>
        <v/>
      </c>
      <c r="K423" s="44">
        <f>IF(_calc!$E$425="","",IF(LEN(INDEX('Assets'!$N$4:$N$503,_calc!$E$425))=0,"",INDEX('Assets'!$N$4:$N$503,_calc!$E$425)))</f>
        <v/>
      </c>
    </row>
    <row r="424">
      <c r="A424" s="44">
        <f>IF(_calc!$E$426="","",IF(LEN(INDEX('Assets'!$D$4:$D$503,_calc!$E$426))=0,"",INDEX('Assets'!$D$4:$D$503,_calc!$E$426))&amp;" – "&amp;IF(LEN(INDEX('Assets'!$A$4:$A$503,_calc!$E$426))=0,"",INDEX('Assets'!$A$4:$A$503,_calc!$E$426)))</f>
        <v/>
      </c>
      <c r="B424" s="44">
        <f>IF(_calc!$E$426="","",IF(ISNUMBER(INDEX('Assets'!$G$4:$G$503,_calc!$E$426)),TEXT(INDEX('Assets'!$G$4:$G$503,_calc!$E$426),"yyyy-mm-dd"),""))</f>
        <v/>
      </c>
      <c r="C424" s="44">
        <f>IF(_calc!$E$426="","","Inspection")</f>
        <v/>
      </c>
      <c r="D424" s="44">
        <f>IF(_calc!$E$426="","",IF(ISNUMBER(INDEX('Assets'!$F$4:$F$503,_calc!$E$426)),TEXT(INDEX('Assets'!$F$4:$F$503,_calc!$E$426),"yyyy-mm-dd"),""))</f>
        <v/>
      </c>
      <c r="E424" s="44">
        <f>IF(_calc!$E$426="","",IF(LEN(INDEX('Assets'!$O$4:$O$503,_calc!$E$426))=0,"",INDEX('Assets'!$O$4:$O$503,_calc!$E$426)))</f>
        <v/>
      </c>
      <c r="F424" s="44">
        <f>IF(_calc!$E$426="","",TRIM(IF(LEN(IF(LEN(INDEX('Assets'!$B$4:$B$503,_calc!$E$426))=0,"",INDEX('Assets'!$B$4:$B$503,_calc!$E$426)))=0,"","Asset ID: "&amp;IF(LEN(INDEX('Assets'!$B$4:$B$503,_calc!$E$426))=0,"",INDEX('Assets'!$B$4:$B$503,_calc!$E$426))&amp;". ")&amp;IF(LEN(IF(LEN(INDEX('Assets'!$C$4:$C$503,_calc!$E$426))=0,"",INDEX('Assets'!$C$4:$C$503,_calc!$E$426)))=0,"","Location: "&amp;IF(LEN(INDEX('Assets'!$C$4:$C$503,_calc!$E$426))=0,"",INDEX('Assets'!$C$4:$C$503,_calc!$E$426))&amp;". ")&amp;IF(LEN(IF(LEN(INDEX('Assets'!$E$4:$E$503,_calc!$E$426))=0,"",INDEX('Assets'!$E$4:$E$503,_calc!$E$426)))=0,"","Every (months): "&amp;IF(LEN(INDEX('Assets'!$E$4:$E$503,_calc!$E$426))=0,"",INDEX('Assets'!$E$4:$E$503,_calc!$E$426))&amp;". ")&amp;IF(LEN(IF(LEN(INDEX('Assets'!$M$4:$M$503,_calc!$E$426))=0,"",INDEX('Assets'!$M$4:$M$503,_calc!$E$426)))=0,"","Last result: "&amp;IF(LEN(INDEX('Assets'!$M$4:$M$503,_calc!$E$426))=0,"",INDEX('Assets'!$M$4:$M$503,_calc!$E$426))&amp;". ")&amp;IF(LEN(IF(LEN(INDEX('Assets'!$Q$4:$Q$503,_calc!$E$426))=0,"",INDEX('Assets'!$Q$4:$Q$503,_calc!$E$426)))=0,"",IF(LEN(INDEX('Assets'!$Q$4:$Q$503,_calc!$E$426))=0,"",INDEX('Assets'!$Q$4:$Q$503,_calc!$E$426)))))</f>
        <v/>
      </c>
      <c r="G424" s="44">
        <f>IF(_calc!$E$426="","",IF(LEN(INDEX('Assets'!$P$4:$P$503,_calc!$E$426))=0,"",INDEX('Assets'!$P$4:$P$503,_calc!$E$426)))</f>
        <v/>
      </c>
      <c r="K424" s="44">
        <f>IF(_calc!$E$426="","",IF(LEN(INDEX('Assets'!$N$4:$N$503,_calc!$E$426))=0,"",INDEX('Assets'!$N$4:$N$503,_calc!$E$426)))</f>
        <v/>
      </c>
    </row>
    <row r="425">
      <c r="A425" s="44">
        <f>IF(_calc!$E$427="","",IF(LEN(INDEX('Assets'!$D$4:$D$503,_calc!$E$427))=0,"",INDEX('Assets'!$D$4:$D$503,_calc!$E$427))&amp;" – "&amp;IF(LEN(INDEX('Assets'!$A$4:$A$503,_calc!$E$427))=0,"",INDEX('Assets'!$A$4:$A$503,_calc!$E$427)))</f>
        <v/>
      </c>
      <c r="B425" s="44">
        <f>IF(_calc!$E$427="","",IF(ISNUMBER(INDEX('Assets'!$G$4:$G$503,_calc!$E$427)),TEXT(INDEX('Assets'!$G$4:$G$503,_calc!$E$427),"yyyy-mm-dd"),""))</f>
        <v/>
      </c>
      <c r="C425" s="44">
        <f>IF(_calc!$E$427="","","Inspection")</f>
        <v/>
      </c>
      <c r="D425" s="44">
        <f>IF(_calc!$E$427="","",IF(ISNUMBER(INDEX('Assets'!$F$4:$F$503,_calc!$E$427)),TEXT(INDEX('Assets'!$F$4:$F$503,_calc!$E$427),"yyyy-mm-dd"),""))</f>
        <v/>
      </c>
      <c r="E425" s="44">
        <f>IF(_calc!$E$427="","",IF(LEN(INDEX('Assets'!$O$4:$O$503,_calc!$E$427))=0,"",INDEX('Assets'!$O$4:$O$503,_calc!$E$427)))</f>
        <v/>
      </c>
      <c r="F425" s="44">
        <f>IF(_calc!$E$427="","",TRIM(IF(LEN(IF(LEN(INDEX('Assets'!$B$4:$B$503,_calc!$E$427))=0,"",INDEX('Assets'!$B$4:$B$503,_calc!$E$427)))=0,"","Asset ID: "&amp;IF(LEN(INDEX('Assets'!$B$4:$B$503,_calc!$E$427))=0,"",INDEX('Assets'!$B$4:$B$503,_calc!$E$427))&amp;". ")&amp;IF(LEN(IF(LEN(INDEX('Assets'!$C$4:$C$503,_calc!$E$427))=0,"",INDEX('Assets'!$C$4:$C$503,_calc!$E$427)))=0,"","Location: "&amp;IF(LEN(INDEX('Assets'!$C$4:$C$503,_calc!$E$427))=0,"",INDEX('Assets'!$C$4:$C$503,_calc!$E$427))&amp;". ")&amp;IF(LEN(IF(LEN(INDEX('Assets'!$E$4:$E$503,_calc!$E$427))=0,"",INDEX('Assets'!$E$4:$E$503,_calc!$E$427)))=0,"","Every (months): "&amp;IF(LEN(INDEX('Assets'!$E$4:$E$503,_calc!$E$427))=0,"",INDEX('Assets'!$E$4:$E$503,_calc!$E$427))&amp;". ")&amp;IF(LEN(IF(LEN(INDEX('Assets'!$M$4:$M$503,_calc!$E$427))=0,"",INDEX('Assets'!$M$4:$M$503,_calc!$E$427)))=0,"","Last result: "&amp;IF(LEN(INDEX('Assets'!$M$4:$M$503,_calc!$E$427))=0,"",INDEX('Assets'!$M$4:$M$503,_calc!$E$427))&amp;". ")&amp;IF(LEN(IF(LEN(INDEX('Assets'!$Q$4:$Q$503,_calc!$E$427))=0,"",INDEX('Assets'!$Q$4:$Q$503,_calc!$E$427)))=0,"",IF(LEN(INDEX('Assets'!$Q$4:$Q$503,_calc!$E$427))=0,"",INDEX('Assets'!$Q$4:$Q$503,_calc!$E$427)))))</f>
        <v/>
      </c>
      <c r="G425" s="44">
        <f>IF(_calc!$E$427="","",IF(LEN(INDEX('Assets'!$P$4:$P$503,_calc!$E$427))=0,"",INDEX('Assets'!$P$4:$P$503,_calc!$E$427)))</f>
        <v/>
      </c>
      <c r="K425" s="44">
        <f>IF(_calc!$E$427="","",IF(LEN(INDEX('Assets'!$N$4:$N$503,_calc!$E$427))=0,"",INDEX('Assets'!$N$4:$N$503,_calc!$E$427)))</f>
        <v/>
      </c>
    </row>
    <row r="426">
      <c r="A426" s="44">
        <f>IF(_calc!$E$428="","",IF(LEN(INDEX('Assets'!$D$4:$D$503,_calc!$E$428))=0,"",INDEX('Assets'!$D$4:$D$503,_calc!$E$428))&amp;" – "&amp;IF(LEN(INDEX('Assets'!$A$4:$A$503,_calc!$E$428))=0,"",INDEX('Assets'!$A$4:$A$503,_calc!$E$428)))</f>
        <v/>
      </c>
      <c r="B426" s="44">
        <f>IF(_calc!$E$428="","",IF(ISNUMBER(INDEX('Assets'!$G$4:$G$503,_calc!$E$428)),TEXT(INDEX('Assets'!$G$4:$G$503,_calc!$E$428),"yyyy-mm-dd"),""))</f>
        <v/>
      </c>
      <c r="C426" s="44">
        <f>IF(_calc!$E$428="","","Inspection")</f>
        <v/>
      </c>
      <c r="D426" s="44">
        <f>IF(_calc!$E$428="","",IF(ISNUMBER(INDEX('Assets'!$F$4:$F$503,_calc!$E$428)),TEXT(INDEX('Assets'!$F$4:$F$503,_calc!$E$428),"yyyy-mm-dd"),""))</f>
        <v/>
      </c>
      <c r="E426" s="44">
        <f>IF(_calc!$E$428="","",IF(LEN(INDEX('Assets'!$O$4:$O$503,_calc!$E$428))=0,"",INDEX('Assets'!$O$4:$O$503,_calc!$E$428)))</f>
        <v/>
      </c>
      <c r="F426" s="44">
        <f>IF(_calc!$E$428="","",TRIM(IF(LEN(IF(LEN(INDEX('Assets'!$B$4:$B$503,_calc!$E$428))=0,"",INDEX('Assets'!$B$4:$B$503,_calc!$E$428)))=0,"","Asset ID: "&amp;IF(LEN(INDEX('Assets'!$B$4:$B$503,_calc!$E$428))=0,"",INDEX('Assets'!$B$4:$B$503,_calc!$E$428))&amp;". ")&amp;IF(LEN(IF(LEN(INDEX('Assets'!$C$4:$C$503,_calc!$E$428))=0,"",INDEX('Assets'!$C$4:$C$503,_calc!$E$428)))=0,"","Location: "&amp;IF(LEN(INDEX('Assets'!$C$4:$C$503,_calc!$E$428))=0,"",INDEX('Assets'!$C$4:$C$503,_calc!$E$428))&amp;". ")&amp;IF(LEN(IF(LEN(INDEX('Assets'!$E$4:$E$503,_calc!$E$428))=0,"",INDEX('Assets'!$E$4:$E$503,_calc!$E$428)))=0,"","Every (months): "&amp;IF(LEN(INDEX('Assets'!$E$4:$E$503,_calc!$E$428))=0,"",INDEX('Assets'!$E$4:$E$503,_calc!$E$428))&amp;". ")&amp;IF(LEN(IF(LEN(INDEX('Assets'!$M$4:$M$503,_calc!$E$428))=0,"",INDEX('Assets'!$M$4:$M$503,_calc!$E$428)))=0,"","Last result: "&amp;IF(LEN(INDEX('Assets'!$M$4:$M$503,_calc!$E$428))=0,"",INDEX('Assets'!$M$4:$M$503,_calc!$E$428))&amp;". ")&amp;IF(LEN(IF(LEN(INDEX('Assets'!$Q$4:$Q$503,_calc!$E$428))=0,"",INDEX('Assets'!$Q$4:$Q$503,_calc!$E$428)))=0,"",IF(LEN(INDEX('Assets'!$Q$4:$Q$503,_calc!$E$428))=0,"",INDEX('Assets'!$Q$4:$Q$503,_calc!$E$428)))))</f>
        <v/>
      </c>
      <c r="G426" s="44">
        <f>IF(_calc!$E$428="","",IF(LEN(INDEX('Assets'!$P$4:$P$503,_calc!$E$428))=0,"",INDEX('Assets'!$P$4:$P$503,_calc!$E$428)))</f>
        <v/>
      </c>
      <c r="K426" s="44">
        <f>IF(_calc!$E$428="","",IF(LEN(INDEX('Assets'!$N$4:$N$503,_calc!$E$428))=0,"",INDEX('Assets'!$N$4:$N$503,_calc!$E$428)))</f>
        <v/>
      </c>
    </row>
    <row r="427">
      <c r="A427" s="44">
        <f>IF(_calc!$E$429="","",IF(LEN(INDEX('Assets'!$D$4:$D$503,_calc!$E$429))=0,"",INDEX('Assets'!$D$4:$D$503,_calc!$E$429))&amp;" – "&amp;IF(LEN(INDEX('Assets'!$A$4:$A$503,_calc!$E$429))=0,"",INDEX('Assets'!$A$4:$A$503,_calc!$E$429)))</f>
        <v/>
      </c>
      <c r="B427" s="44">
        <f>IF(_calc!$E$429="","",IF(ISNUMBER(INDEX('Assets'!$G$4:$G$503,_calc!$E$429)),TEXT(INDEX('Assets'!$G$4:$G$503,_calc!$E$429),"yyyy-mm-dd"),""))</f>
        <v/>
      </c>
      <c r="C427" s="44">
        <f>IF(_calc!$E$429="","","Inspection")</f>
        <v/>
      </c>
      <c r="D427" s="44">
        <f>IF(_calc!$E$429="","",IF(ISNUMBER(INDEX('Assets'!$F$4:$F$503,_calc!$E$429)),TEXT(INDEX('Assets'!$F$4:$F$503,_calc!$E$429),"yyyy-mm-dd"),""))</f>
        <v/>
      </c>
      <c r="E427" s="44">
        <f>IF(_calc!$E$429="","",IF(LEN(INDEX('Assets'!$O$4:$O$503,_calc!$E$429))=0,"",INDEX('Assets'!$O$4:$O$503,_calc!$E$429)))</f>
        <v/>
      </c>
      <c r="F427" s="44">
        <f>IF(_calc!$E$429="","",TRIM(IF(LEN(IF(LEN(INDEX('Assets'!$B$4:$B$503,_calc!$E$429))=0,"",INDEX('Assets'!$B$4:$B$503,_calc!$E$429)))=0,"","Asset ID: "&amp;IF(LEN(INDEX('Assets'!$B$4:$B$503,_calc!$E$429))=0,"",INDEX('Assets'!$B$4:$B$503,_calc!$E$429))&amp;". ")&amp;IF(LEN(IF(LEN(INDEX('Assets'!$C$4:$C$503,_calc!$E$429))=0,"",INDEX('Assets'!$C$4:$C$503,_calc!$E$429)))=0,"","Location: "&amp;IF(LEN(INDEX('Assets'!$C$4:$C$503,_calc!$E$429))=0,"",INDEX('Assets'!$C$4:$C$503,_calc!$E$429))&amp;". ")&amp;IF(LEN(IF(LEN(INDEX('Assets'!$E$4:$E$503,_calc!$E$429))=0,"",INDEX('Assets'!$E$4:$E$503,_calc!$E$429)))=0,"","Every (months): "&amp;IF(LEN(INDEX('Assets'!$E$4:$E$503,_calc!$E$429))=0,"",INDEX('Assets'!$E$4:$E$503,_calc!$E$429))&amp;". ")&amp;IF(LEN(IF(LEN(INDEX('Assets'!$M$4:$M$503,_calc!$E$429))=0,"",INDEX('Assets'!$M$4:$M$503,_calc!$E$429)))=0,"","Last result: "&amp;IF(LEN(INDEX('Assets'!$M$4:$M$503,_calc!$E$429))=0,"",INDEX('Assets'!$M$4:$M$503,_calc!$E$429))&amp;". ")&amp;IF(LEN(IF(LEN(INDEX('Assets'!$Q$4:$Q$503,_calc!$E$429))=0,"",INDEX('Assets'!$Q$4:$Q$503,_calc!$E$429)))=0,"",IF(LEN(INDEX('Assets'!$Q$4:$Q$503,_calc!$E$429))=0,"",INDEX('Assets'!$Q$4:$Q$503,_calc!$E$429)))))</f>
        <v/>
      </c>
      <c r="G427" s="44">
        <f>IF(_calc!$E$429="","",IF(LEN(INDEX('Assets'!$P$4:$P$503,_calc!$E$429))=0,"",INDEX('Assets'!$P$4:$P$503,_calc!$E$429)))</f>
        <v/>
      </c>
      <c r="K427" s="44">
        <f>IF(_calc!$E$429="","",IF(LEN(INDEX('Assets'!$N$4:$N$503,_calc!$E$429))=0,"",INDEX('Assets'!$N$4:$N$503,_calc!$E$429)))</f>
        <v/>
      </c>
    </row>
    <row r="428">
      <c r="A428" s="44">
        <f>IF(_calc!$E$430="","",IF(LEN(INDEX('Assets'!$D$4:$D$503,_calc!$E$430))=0,"",INDEX('Assets'!$D$4:$D$503,_calc!$E$430))&amp;" – "&amp;IF(LEN(INDEX('Assets'!$A$4:$A$503,_calc!$E$430))=0,"",INDEX('Assets'!$A$4:$A$503,_calc!$E$430)))</f>
        <v/>
      </c>
      <c r="B428" s="44">
        <f>IF(_calc!$E$430="","",IF(ISNUMBER(INDEX('Assets'!$G$4:$G$503,_calc!$E$430)),TEXT(INDEX('Assets'!$G$4:$G$503,_calc!$E$430),"yyyy-mm-dd"),""))</f>
        <v/>
      </c>
      <c r="C428" s="44">
        <f>IF(_calc!$E$430="","","Inspection")</f>
        <v/>
      </c>
      <c r="D428" s="44">
        <f>IF(_calc!$E$430="","",IF(ISNUMBER(INDEX('Assets'!$F$4:$F$503,_calc!$E$430)),TEXT(INDEX('Assets'!$F$4:$F$503,_calc!$E$430),"yyyy-mm-dd"),""))</f>
        <v/>
      </c>
      <c r="E428" s="44">
        <f>IF(_calc!$E$430="","",IF(LEN(INDEX('Assets'!$O$4:$O$503,_calc!$E$430))=0,"",INDEX('Assets'!$O$4:$O$503,_calc!$E$430)))</f>
        <v/>
      </c>
      <c r="F428" s="44">
        <f>IF(_calc!$E$430="","",TRIM(IF(LEN(IF(LEN(INDEX('Assets'!$B$4:$B$503,_calc!$E$430))=0,"",INDEX('Assets'!$B$4:$B$503,_calc!$E$430)))=0,"","Asset ID: "&amp;IF(LEN(INDEX('Assets'!$B$4:$B$503,_calc!$E$430))=0,"",INDEX('Assets'!$B$4:$B$503,_calc!$E$430))&amp;". ")&amp;IF(LEN(IF(LEN(INDEX('Assets'!$C$4:$C$503,_calc!$E$430))=0,"",INDEX('Assets'!$C$4:$C$503,_calc!$E$430)))=0,"","Location: "&amp;IF(LEN(INDEX('Assets'!$C$4:$C$503,_calc!$E$430))=0,"",INDEX('Assets'!$C$4:$C$503,_calc!$E$430))&amp;". ")&amp;IF(LEN(IF(LEN(INDEX('Assets'!$E$4:$E$503,_calc!$E$430))=0,"",INDEX('Assets'!$E$4:$E$503,_calc!$E$430)))=0,"","Every (months): "&amp;IF(LEN(INDEX('Assets'!$E$4:$E$503,_calc!$E$430))=0,"",INDEX('Assets'!$E$4:$E$503,_calc!$E$430))&amp;". ")&amp;IF(LEN(IF(LEN(INDEX('Assets'!$M$4:$M$503,_calc!$E$430))=0,"",INDEX('Assets'!$M$4:$M$503,_calc!$E$430)))=0,"","Last result: "&amp;IF(LEN(INDEX('Assets'!$M$4:$M$503,_calc!$E$430))=0,"",INDEX('Assets'!$M$4:$M$503,_calc!$E$430))&amp;". ")&amp;IF(LEN(IF(LEN(INDEX('Assets'!$Q$4:$Q$503,_calc!$E$430))=0,"",INDEX('Assets'!$Q$4:$Q$503,_calc!$E$430)))=0,"",IF(LEN(INDEX('Assets'!$Q$4:$Q$503,_calc!$E$430))=0,"",INDEX('Assets'!$Q$4:$Q$503,_calc!$E$430)))))</f>
        <v/>
      </c>
      <c r="G428" s="44">
        <f>IF(_calc!$E$430="","",IF(LEN(INDEX('Assets'!$P$4:$P$503,_calc!$E$430))=0,"",INDEX('Assets'!$P$4:$P$503,_calc!$E$430)))</f>
        <v/>
      </c>
      <c r="K428" s="44">
        <f>IF(_calc!$E$430="","",IF(LEN(INDEX('Assets'!$N$4:$N$503,_calc!$E$430))=0,"",INDEX('Assets'!$N$4:$N$503,_calc!$E$430)))</f>
        <v/>
      </c>
    </row>
    <row r="429">
      <c r="A429" s="44">
        <f>IF(_calc!$E$431="","",IF(LEN(INDEX('Assets'!$D$4:$D$503,_calc!$E$431))=0,"",INDEX('Assets'!$D$4:$D$503,_calc!$E$431))&amp;" – "&amp;IF(LEN(INDEX('Assets'!$A$4:$A$503,_calc!$E$431))=0,"",INDEX('Assets'!$A$4:$A$503,_calc!$E$431)))</f>
        <v/>
      </c>
      <c r="B429" s="44">
        <f>IF(_calc!$E$431="","",IF(ISNUMBER(INDEX('Assets'!$G$4:$G$503,_calc!$E$431)),TEXT(INDEX('Assets'!$G$4:$G$503,_calc!$E$431),"yyyy-mm-dd"),""))</f>
        <v/>
      </c>
      <c r="C429" s="44">
        <f>IF(_calc!$E$431="","","Inspection")</f>
        <v/>
      </c>
      <c r="D429" s="44">
        <f>IF(_calc!$E$431="","",IF(ISNUMBER(INDEX('Assets'!$F$4:$F$503,_calc!$E$431)),TEXT(INDEX('Assets'!$F$4:$F$503,_calc!$E$431),"yyyy-mm-dd"),""))</f>
        <v/>
      </c>
      <c r="E429" s="44">
        <f>IF(_calc!$E$431="","",IF(LEN(INDEX('Assets'!$O$4:$O$503,_calc!$E$431))=0,"",INDEX('Assets'!$O$4:$O$503,_calc!$E$431)))</f>
        <v/>
      </c>
      <c r="F429" s="44">
        <f>IF(_calc!$E$431="","",TRIM(IF(LEN(IF(LEN(INDEX('Assets'!$B$4:$B$503,_calc!$E$431))=0,"",INDEX('Assets'!$B$4:$B$503,_calc!$E$431)))=0,"","Asset ID: "&amp;IF(LEN(INDEX('Assets'!$B$4:$B$503,_calc!$E$431))=0,"",INDEX('Assets'!$B$4:$B$503,_calc!$E$431))&amp;". ")&amp;IF(LEN(IF(LEN(INDEX('Assets'!$C$4:$C$503,_calc!$E$431))=0,"",INDEX('Assets'!$C$4:$C$503,_calc!$E$431)))=0,"","Location: "&amp;IF(LEN(INDEX('Assets'!$C$4:$C$503,_calc!$E$431))=0,"",INDEX('Assets'!$C$4:$C$503,_calc!$E$431))&amp;". ")&amp;IF(LEN(IF(LEN(INDEX('Assets'!$E$4:$E$503,_calc!$E$431))=0,"",INDEX('Assets'!$E$4:$E$503,_calc!$E$431)))=0,"","Every (months): "&amp;IF(LEN(INDEX('Assets'!$E$4:$E$503,_calc!$E$431))=0,"",INDEX('Assets'!$E$4:$E$503,_calc!$E$431))&amp;". ")&amp;IF(LEN(IF(LEN(INDEX('Assets'!$M$4:$M$503,_calc!$E$431))=0,"",INDEX('Assets'!$M$4:$M$503,_calc!$E$431)))=0,"","Last result: "&amp;IF(LEN(INDEX('Assets'!$M$4:$M$503,_calc!$E$431))=0,"",INDEX('Assets'!$M$4:$M$503,_calc!$E$431))&amp;". ")&amp;IF(LEN(IF(LEN(INDEX('Assets'!$Q$4:$Q$503,_calc!$E$431))=0,"",INDEX('Assets'!$Q$4:$Q$503,_calc!$E$431)))=0,"",IF(LEN(INDEX('Assets'!$Q$4:$Q$503,_calc!$E$431))=0,"",INDEX('Assets'!$Q$4:$Q$503,_calc!$E$431)))))</f>
        <v/>
      </c>
      <c r="G429" s="44">
        <f>IF(_calc!$E$431="","",IF(LEN(INDEX('Assets'!$P$4:$P$503,_calc!$E$431))=0,"",INDEX('Assets'!$P$4:$P$503,_calc!$E$431)))</f>
        <v/>
      </c>
      <c r="K429" s="44">
        <f>IF(_calc!$E$431="","",IF(LEN(INDEX('Assets'!$N$4:$N$503,_calc!$E$431))=0,"",INDEX('Assets'!$N$4:$N$503,_calc!$E$431)))</f>
        <v/>
      </c>
    </row>
    <row r="430">
      <c r="A430" s="44">
        <f>IF(_calc!$E$432="","",IF(LEN(INDEX('Assets'!$D$4:$D$503,_calc!$E$432))=0,"",INDEX('Assets'!$D$4:$D$503,_calc!$E$432))&amp;" – "&amp;IF(LEN(INDEX('Assets'!$A$4:$A$503,_calc!$E$432))=0,"",INDEX('Assets'!$A$4:$A$503,_calc!$E$432)))</f>
        <v/>
      </c>
      <c r="B430" s="44">
        <f>IF(_calc!$E$432="","",IF(ISNUMBER(INDEX('Assets'!$G$4:$G$503,_calc!$E$432)),TEXT(INDEX('Assets'!$G$4:$G$503,_calc!$E$432),"yyyy-mm-dd"),""))</f>
        <v/>
      </c>
      <c r="C430" s="44">
        <f>IF(_calc!$E$432="","","Inspection")</f>
        <v/>
      </c>
      <c r="D430" s="44">
        <f>IF(_calc!$E$432="","",IF(ISNUMBER(INDEX('Assets'!$F$4:$F$503,_calc!$E$432)),TEXT(INDEX('Assets'!$F$4:$F$503,_calc!$E$432),"yyyy-mm-dd"),""))</f>
        <v/>
      </c>
      <c r="E430" s="44">
        <f>IF(_calc!$E$432="","",IF(LEN(INDEX('Assets'!$O$4:$O$503,_calc!$E$432))=0,"",INDEX('Assets'!$O$4:$O$503,_calc!$E$432)))</f>
        <v/>
      </c>
      <c r="F430" s="44">
        <f>IF(_calc!$E$432="","",TRIM(IF(LEN(IF(LEN(INDEX('Assets'!$B$4:$B$503,_calc!$E$432))=0,"",INDEX('Assets'!$B$4:$B$503,_calc!$E$432)))=0,"","Asset ID: "&amp;IF(LEN(INDEX('Assets'!$B$4:$B$503,_calc!$E$432))=0,"",INDEX('Assets'!$B$4:$B$503,_calc!$E$432))&amp;". ")&amp;IF(LEN(IF(LEN(INDEX('Assets'!$C$4:$C$503,_calc!$E$432))=0,"",INDEX('Assets'!$C$4:$C$503,_calc!$E$432)))=0,"","Location: "&amp;IF(LEN(INDEX('Assets'!$C$4:$C$503,_calc!$E$432))=0,"",INDEX('Assets'!$C$4:$C$503,_calc!$E$432))&amp;". ")&amp;IF(LEN(IF(LEN(INDEX('Assets'!$E$4:$E$503,_calc!$E$432))=0,"",INDEX('Assets'!$E$4:$E$503,_calc!$E$432)))=0,"","Every (months): "&amp;IF(LEN(INDEX('Assets'!$E$4:$E$503,_calc!$E$432))=0,"",INDEX('Assets'!$E$4:$E$503,_calc!$E$432))&amp;". ")&amp;IF(LEN(IF(LEN(INDEX('Assets'!$M$4:$M$503,_calc!$E$432))=0,"",INDEX('Assets'!$M$4:$M$503,_calc!$E$432)))=0,"","Last result: "&amp;IF(LEN(INDEX('Assets'!$M$4:$M$503,_calc!$E$432))=0,"",INDEX('Assets'!$M$4:$M$503,_calc!$E$432))&amp;". ")&amp;IF(LEN(IF(LEN(INDEX('Assets'!$Q$4:$Q$503,_calc!$E$432))=0,"",INDEX('Assets'!$Q$4:$Q$503,_calc!$E$432)))=0,"",IF(LEN(INDEX('Assets'!$Q$4:$Q$503,_calc!$E$432))=0,"",INDEX('Assets'!$Q$4:$Q$503,_calc!$E$432)))))</f>
        <v/>
      </c>
      <c r="G430" s="44">
        <f>IF(_calc!$E$432="","",IF(LEN(INDEX('Assets'!$P$4:$P$503,_calc!$E$432))=0,"",INDEX('Assets'!$P$4:$P$503,_calc!$E$432)))</f>
        <v/>
      </c>
      <c r="K430" s="44">
        <f>IF(_calc!$E$432="","",IF(LEN(INDEX('Assets'!$N$4:$N$503,_calc!$E$432))=0,"",INDEX('Assets'!$N$4:$N$503,_calc!$E$432)))</f>
        <v/>
      </c>
    </row>
    <row r="431">
      <c r="A431" s="44">
        <f>IF(_calc!$E$433="","",IF(LEN(INDEX('Assets'!$D$4:$D$503,_calc!$E$433))=0,"",INDEX('Assets'!$D$4:$D$503,_calc!$E$433))&amp;" – "&amp;IF(LEN(INDEX('Assets'!$A$4:$A$503,_calc!$E$433))=0,"",INDEX('Assets'!$A$4:$A$503,_calc!$E$433)))</f>
        <v/>
      </c>
      <c r="B431" s="44">
        <f>IF(_calc!$E$433="","",IF(ISNUMBER(INDEX('Assets'!$G$4:$G$503,_calc!$E$433)),TEXT(INDEX('Assets'!$G$4:$G$503,_calc!$E$433),"yyyy-mm-dd"),""))</f>
        <v/>
      </c>
      <c r="C431" s="44">
        <f>IF(_calc!$E$433="","","Inspection")</f>
        <v/>
      </c>
      <c r="D431" s="44">
        <f>IF(_calc!$E$433="","",IF(ISNUMBER(INDEX('Assets'!$F$4:$F$503,_calc!$E$433)),TEXT(INDEX('Assets'!$F$4:$F$503,_calc!$E$433),"yyyy-mm-dd"),""))</f>
        <v/>
      </c>
      <c r="E431" s="44">
        <f>IF(_calc!$E$433="","",IF(LEN(INDEX('Assets'!$O$4:$O$503,_calc!$E$433))=0,"",INDEX('Assets'!$O$4:$O$503,_calc!$E$433)))</f>
        <v/>
      </c>
      <c r="F431" s="44">
        <f>IF(_calc!$E$433="","",TRIM(IF(LEN(IF(LEN(INDEX('Assets'!$B$4:$B$503,_calc!$E$433))=0,"",INDEX('Assets'!$B$4:$B$503,_calc!$E$433)))=0,"","Asset ID: "&amp;IF(LEN(INDEX('Assets'!$B$4:$B$503,_calc!$E$433))=0,"",INDEX('Assets'!$B$4:$B$503,_calc!$E$433))&amp;". ")&amp;IF(LEN(IF(LEN(INDEX('Assets'!$C$4:$C$503,_calc!$E$433))=0,"",INDEX('Assets'!$C$4:$C$503,_calc!$E$433)))=0,"","Location: "&amp;IF(LEN(INDEX('Assets'!$C$4:$C$503,_calc!$E$433))=0,"",INDEX('Assets'!$C$4:$C$503,_calc!$E$433))&amp;". ")&amp;IF(LEN(IF(LEN(INDEX('Assets'!$E$4:$E$503,_calc!$E$433))=0,"",INDEX('Assets'!$E$4:$E$503,_calc!$E$433)))=0,"","Every (months): "&amp;IF(LEN(INDEX('Assets'!$E$4:$E$503,_calc!$E$433))=0,"",INDEX('Assets'!$E$4:$E$503,_calc!$E$433))&amp;". ")&amp;IF(LEN(IF(LEN(INDEX('Assets'!$M$4:$M$503,_calc!$E$433))=0,"",INDEX('Assets'!$M$4:$M$503,_calc!$E$433)))=0,"","Last result: "&amp;IF(LEN(INDEX('Assets'!$M$4:$M$503,_calc!$E$433))=0,"",INDEX('Assets'!$M$4:$M$503,_calc!$E$433))&amp;". ")&amp;IF(LEN(IF(LEN(INDEX('Assets'!$Q$4:$Q$503,_calc!$E$433))=0,"",INDEX('Assets'!$Q$4:$Q$503,_calc!$E$433)))=0,"",IF(LEN(INDEX('Assets'!$Q$4:$Q$503,_calc!$E$433))=0,"",INDEX('Assets'!$Q$4:$Q$503,_calc!$E$433)))))</f>
        <v/>
      </c>
      <c r="G431" s="44">
        <f>IF(_calc!$E$433="","",IF(LEN(INDEX('Assets'!$P$4:$P$503,_calc!$E$433))=0,"",INDEX('Assets'!$P$4:$P$503,_calc!$E$433)))</f>
        <v/>
      </c>
      <c r="K431" s="44">
        <f>IF(_calc!$E$433="","",IF(LEN(INDEX('Assets'!$N$4:$N$503,_calc!$E$433))=0,"",INDEX('Assets'!$N$4:$N$503,_calc!$E$433)))</f>
        <v/>
      </c>
    </row>
    <row r="432">
      <c r="A432" s="44">
        <f>IF(_calc!$E$434="","",IF(LEN(INDEX('Assets'!$D$4:$D$503,_calc!$E$434))=0,"",INDEX('Assets'!$D$4:$D$503,_calc!$E$434))&amp;" – "&amp;IF(LEN(INDEX('Assets'!$A$4:$A$503,_calc!$E$434))=0,"",INDEX('Assets'!$A$4:$A$503,_calc!$E$434)))</f>
        <v/>
      </c>
      <c r="B432" s="44">
        <f>IF(_calc!$E$434="","",IF(ISNUMBER(INDEX('Assets'!$G$4:$G$503,_calc!$E$434)),TEXT(INDEX('Assets'!$G$4:$G$503,_calc!$E$434),"yyyy-mm-dd"),""))</f>
        <v/>
      </c>
      <c r="C432" s="44">
        <f>IF(_calc!$E$434="","","Inspection")</f>
        <v/>
      </c>
      <c r="D432" s="44">
        <f>IF(_calc!$E$434="","",IF(ISNUMBER(INDEX('Assets'!$F$4:$F$503,_calc!$E$434)),TEXT(INDEX('Assets'!$F$4:$F$503,_calc!$E$434),"yyyy-mm-dd"),""))</f>
        <v/>
      </c>
      <c r="E432" s="44">
        <f>IF(_calc!$E$434="","",IF(LEN(INDEX('Assets'!$O$4:$O$503,_calc!$E$434))=0,"",INDEX('Assets'!$O$4:$O$503,_calc!$E$434)))</f>
        <v/>
      </c>
      <c r="F432" s="44">
        <f>IF(_calc!$E$434="","",TRIM(IF(LEN(IF(LEN(INDEX('Assets'!$B$4:$B$503,_calc!$E$434))=0,"",INDEX('Assets'!$B$4:$B$503,_calc!$E$434)))=0,"","Asset ID: "&amp;IF(LEN(INDEX('Assets'!$B$4:$B$503,_calc!$E$434))=0,"",INDEX('Assets'!$B$4:$B$503,_calc!$E$434))&amp;". ")&amp;IF(LEN(IF(LEN(INDEX('Assets'!$C$4:$C$503,_calc!$E$434))=0,"",INDEX('Assets'!$C$4:$C$503,_calc!$E$434)))=0,"","Location: "&amp;IF(LEN(INDEX('Assets'!$C$4:$C$503,_calc!$E$434))=0,"",INDEX('Assets'!$C$4:$C$503,_calc!$E$434))&amp;". ")&amp;IF(LEN(IF(LEN(INDEX('Assets'!$E$4:$E$503,_calc!$E$434))=0,"",INDEX('Assets'!$E$4:$E$503,_calc!$E$434)))=0,"","Every (months): "&amp;IF(LEN(INDEX('Assets'!$E$4:$E$503,_calc!$E$434))=0,"",INDEX('Assets'!$E$4:$E$503,_calc!$E$434))&amp;". ")&amp;IF(LEN(IF(LEN(INDEX('Assets'!$M$4:$M$503,_calc!$E$434))=0,"",INDEX('Assets'!$M$4:$M$503,_calc!$E$434)))=0,"","Last result: "&amp;IF(LEN(INDEX('Assets'!$M$4:$M$503,_calc!$E$434))=0,"",INDEX('Assets'!$M$4:$M$503,_calc!$E$434))&amp;". ")&amp;IF(LEN(IF(LEN(INDEX('Assets'!$Q$4:$Q$503,_calc!$E$434))=0,"",INDEX('Assets'!$Q$4:$Q$503,_calc!$E$434)))=0,"",IF(LEN(INDEX('Assets'!$Q$4:$Q$503,_calc!$E$434))=0,"",INDEX('Assets'!$Q$4:$Q$503,_calc!$E$434)))))</f>
        <v/>
      </c>
      <c r="G432" s="44">
        <f>IF(_calc!$E$434="","",IF(LEN(INDEX('Assets'!$P$4:$P$503,_calc!$E$434))=0,"",INDEX('Assets'!$P$4:$P$503,_calc!$E$434)))</f>
        <v/>
      </c>
      <c r="K432" s="44">
        <f>IF(_calc!$E$434="","",IF(LEN(INDEX('Assets'!$N$4:$N$503,_calc!$E$434))=0,"",INDEX('Assets'!$N$4:$N$503,_calc!$E$434)))</f>
        <v/>
      </c>
    </row>
    <row r="433">
      <c r="A433" s="44">
        <f>IF(_calc!$E$435="","",IF(LEN(INDEX('Assets'!$D$4:$D$503,_calc!$E$435))=0,"",INDEX('Assets'!$D$4:$D$503,_calc!$E$435))&amp;" – "&amp;IF(LEN(INDEX('Assets'!$A$4:$A$503,_calc!$E$435))=0,"",INDEX('Assets'!$A$4:$A$503,_calc!$E$435)))</f>
        <v/>
      </c>
      <c r="B433" s="44">
        <f>IF(_calc!$E$435="","",IF(ISNUMBER(INDEX('Assets'!$G$4:$G$503,_calc!$E$435)),TEXT(INDEX('Assets'!$G$4:$G$503,_calc!$E$435),"yyyy-mm-dd"),""))</f>
        <v/>
      </c>
      <c r="C433" s="44">
        <f>IF(_calc!$E$435="","","Inspection")</f>
        <v/>
      </c>
      <c r="D433" s="44">
        <f>IF(_calc!$E$435="","",IF(ISNUMBER(INDEX('Assets'!$F$4:$F$503,_calc!$E$435)),TEXT(INDEX('Assets'!$F$4:$F$503,_calc!$E$435),"yyyy-mm-dd"),""))</f>
        <v/>
      </c>
      <c r="E433" s="44">
        <f>IF(_calc!$E$435="","",IF(LEN(INDEX('Assets'!$O$4:$O$503,_calc!$E$435))=0,"",INDEX('Assets'!$O$4:$O$503,_calc!$E$435)))</f>
        <v/>
      </c>
      <c r="F433" s="44">
        <f>IF(_calc!$E$435="","",TRIM(IF(LEN(IF(LEN(INDEX('Assets'!$B$4:$B$503,_calc!$E$435))=0,"",INDEX('Assets'!$B$4:$B$503,_calc!$E$435)))=0,"","Asset ID: "&amp;IF(LEN(INDEX('Assets'!$B$4:$B$503,_calc!$E$435))=0,"",INDEX('Assets'!$B$4:$B$503,_calc!$E$435))&amp;". ")&amp;IF(LEN(IF(LEN(INDEX('Assets'!$C$4:$C$503,_calc!$E$435))=0,"",INDEX('Assets'!$C$4:$C$503,_calc!$E$435)))=0,"","Location: "&amp;IF(LEN(INDEX('Assets'!$C$4:$C$503,_calc!$E$435))=0,"",INDEX('Assets'!$C$4:$C$503,_calc!$E$435))&amp;". ")&amp;IF(LEN(IF(LEN(INDEX('Assets'!$E$4:$E$503,_calc!$E$435))=0,"",INDEX('Assets'!$E$4:$E$503,_calc!$E$435)))=0,"","Every (months): "&amp;IF(LEN(INDEX('Assets'!$E$4:$E$503,_calc!$E$435))=0,"",INDEX('Assets'!$E$4:$E$503,_calc!$E$435))&amp;". ")&amp;IF(LEN(IF(LEN(INDEX('Assets'!$M$4:$M$503,_calc!$E$435))=0,"",INDEX('Assets'!$M$4:$M$503,_calc!$E$435)))=0,"","Last result: "&amp;IF(LEN(INDEX('Assets'!$M$4:$M$503,_calc!$E$435))=0,"",INDEX('Assets'!$M$4:$M$503,_calc!$E$435))&amp;". ")&amp;IF(LEN(IF(LEN(INDEX('Assets'!$Q$4:$Q$503,_calc!$E$435))=0,"",INDEX('Assets'!$Q$4:$Q$503,_calc!$E$435)))=0,"",IF(LEN(INDEX('Assets'!$Q$4:$Q$503,_calc!$E$435))=0,"",INDEX('Assets'!$Q$4:$Q$503,_calc!$E$435)))))</f>
        <v/>
      </c>
      <c r="G433" s="44">
        <f>IF(_calc!$E$435="","",IF(LEN(INDEX('Assets'!$P$4:$P$503,_calc!$E$435))=0,"",INDEX('Assets'!$P$4:$P$503,_calc!$E$435)))</f>
        <v/>
      </c>
      <c r="K433" s="44">
        <f>IF(_calc!$E$435="","",IF(LEN(INDEX('Assets'!$N$4:$N$503,_calc!$E$435))=0,"",INDEX('Assets'!$N$4:$N$503,_calc!$E$435)))</f>
        <v/>
      </c>
    </row>
    <row r="434">
      <c r="A434" s="44">
        <f>IF(_calc!$E$436="","",IF(LEN(INDEX('Assets'!$D$4:$D$503,_calc!$E$436))=0,"",INDEX('Assets'!$D$4:$D$503,_calc!$E$436))&amp;" – "&amp;IF(LEN(INDEX('Assets'!$A$4:$A$503,_calc!$E$436))=0,"",INDEX('Assets'!$A$4:$A$503,_calc!$E$436)))</f>
        <v/>
      </c>
      <c r="B434" s="44">
        <f>IF(_calc!$E$436="","",IF(ISNUMBER(INDEX('Assets'!$G$4:$G$503,_calc!$E$436)),TEXT(INDEX('Assets'!$G$4:$G$503,_calc!$E$436),"yyyy-mm-dd"),""))</f>
        <v/>
      </c>
      <c r="C434" s="44">
        <f>IF(_calc!$E$436="","","Inspection")</f>
        <v/>
      </c>
      <c r="D434" s="44">
        <f>IF(_calc!$E$436="","",IF(ISNUMBER(INDEX('Assets'!$F$4:$F$503,_calc!$E$436)),TEXT(INDEX('Assets'!$F$4:$F$503,_calc!$E$436),"yyyy-mm-dd"),""))</f>
        <v/>
      </c>
      <c r="E434" s="44">
        <f>IF(_calc!$E$436="","",IF(LEN(INDEX('Assets'!$O$4:$O$503,_calc!$E$436))=0,"",INDEX('Assets'!$O$4:$O$503,_calc!$E$436)))</f>
        <v/>
      </c>
      <c r="F434" s="44">
        <f>IF(_calc!$E$436="","",TRIM(IF(LEN(IF(LEN(INDEX('Assets'!$B$4:$B$503,_calc!$E$436))=0,"",INDEX('Assets'!$B$4:$B$503,_calc!$E$436)))=0,"","Asset ID: "&amp;IF(LEN(INDEX('Assets'!$B$4:$B$503,_calc!$E$436))=0,"",INDEX('Assets'!$B$4:$B$503,_calc!$E$436))&amp;". ")&amp;IF(LEN(IF(LEN(INDEX('Assets'!$C$4:$C$503,_calc!$E$436))=0,"",INDEX('Assets'!$C$4:$C$503,_calc!$E$436)))=0,"","Location: "&amp;IF(LEN(INDEX('Assets'!$C$4:$C$503,_calc!$E$436))=0,"",INDEX('Assets'!$C$4:$C$503,_calc!$E$436))&amp;". ")&amp;IF(LEN(IF(LEN(INDEX('Assets'!$E$4:$E$503,_calc!$E$436))=0,"",INDEX('Assets'!$E$4:$E$503,_calc!$E$436)))=0,"","Every (months): "&amp;IF(LEN(INDEX('Assets'!$E$4:$E$503,_calc!$E$436))=0,"",INDEX('Assets'!$E$4:$E$503,_calc!$E$436))&amp;". ")&amp;IF(LEN(IF(LEN(INDEX('Assets'!$M$4:$M$503,_calc!$E$436))=0,"",INDEX('Assets'!$M$4:$M$503,_calc!$E$436)))=0,"","Last result: "&amp;IF(LEN(INDEX('Assets'!$M$4:$M$503,_calc!$E$436))=0,"",INDEX('Assets'!$M$4:$M$503,_calc!$E$436))&amp;". ")&amp;IF(LEN(IF(LEN(INDEX('Assets'!$Q$4:$Q$503,_calc!$E$436))=0,"",INDEX('Assets'!$Q$4:$Q$503,_calc!$E$436)))=0,"",IF(LEN(INDEX('Assets'!$Q$4:$Q$503,_calc!$E$436))=0,"",INDEX('Assets'!$Q$4:$Q$503,_calc!$E$436)))))</f>
        <v/>
      </c>
      <c r="G434" s="44">
        <f>IF(_calc!$E$436="","",IF(LEN(INDEX('Assets'!$P$4:$P$503,_calc!$E$436))=0,"",INDEX('Assets'!$P$4:$P$503,_calc!$E$436)))</f>
        <v/>
      </c>
      <c r="K434" s="44">
        <f>IF(_calc!$E$436="","",IF(LEN(INDEX('Assets'!$N$4:$N$503,_calc!$E$436))=0,"",INDEX('Assets'!$N$4:$N$503,_calc!$E$436)))</f>
        <v/>
      </c>
    </row>
    <row r="435">
      <c r="A435" s="44">
        <f>IF(_calc!$E$437="","",IF(LEN(INDEX('Assets'!$D$4:$D$503,_calc!$E$437))=0,"",INDEX('Assets'!$D$4:$D$503,_calc!$E$437))&amp;" – "&amp;IF(LEN(INDEX('Assets'!$A$4:$A$503,_calc!$E$437))=0,"",INDEX('Assets'!$A$4:$A$503,_calc!$E$437)))</f>
        <v/>
      </c>
      <c r="B435" s="44">
        <f>IF(_calc!$E$437="","",IF(ISNUMBER(INDEX('Assets'!$G$4:$G$503,_calc!$E$437)),TEXT(INDEX('Assets'!$G$4:$G$503,_calc!$E$437),"yyyy-mm-dd"),""))</f>
        <v/>
      </c>
      <c r="C435" s="44">
        <f>IF(_calc!$E$437="","","Inspection")</f>
        <v/>
      </c>
      <c r="D435" s="44">
        <f>IF(_calc!$E$437="","",IF(ISNUMBER(INDEX('Assets'!$F$4:$F$503,_calc!$E$437)),TEXT(INDEX('Assets'!$F$4:$F$503,_calc!$E$437),"yyyy-mm-dd"),""))</f>
        <v/>
      </c>
      <c r="E435" s="44">
        <f>IF(_calc!$E$437="","",IF(LEN(INDEX('Assets'!$O$4:$O$503,_calc!$E$437))=0,"",INDEX('Assets'!$O$4:$O$503,_calc!$E$437)))</f>
        <v/>
      </c>
      <c r="F435" s="44">
        <f>IF(_calc!$E$437="","",TRIM(IF(LEN(IF(LEN(INDEX('Assets'!$B$4:$B$503,_calc!$E$437))=0,"",INDEX('Assets'!$B$4:$B$503,_calc!$E$437)))=0,"","Asset ID: "&amp;IF(LEN(INDEX('Assets'!$B$4:$B$503,_calc!$E$437))=0,"",INDEX('Assets'!$B$4:$B$503,_calc!$E$437))&amp;". ")&amp;IF(LEN(IF(LEN(INDEX('Assets'!$C$4:$C$503,_calc!$E$437))=0,"",INDEX('Assets'!$C$4:$C$503,_calc!$E$437)))=0,"","Location: "&amp;IF(LEN(INDEX('Assets'!$C$4:$C$503,_calc!$E$437))=0,"",INDEX('Assets'!$C$4:$C$503,_calc!$E$437))&amp;". ")&amp;IF(LEN(IF(LEN(INDEX('Assets'!$E$4:$E$503,_calc!$E$437))=0,"",INDEX('Assets'!$E$4:$E$503,_calc!$E$437)))=0,"","Every (months): "&amp;IF(LEN(INDEX('Assets'!$E$4:$E$503,_calc!$E$437))=0,"",INDEX('Assets'!$E$4:$E$503,_calc!$E$437))&amp;". ")&amp;IF(LEN(IF(LEN(INDEX('Assets'!$M$4:$M$503,_calc!$E$437))=0,"",INDEX('Assets'!$M$4:$M$503,_calc!$E$437)))=0,"","Last result: "&amp;IF(LEN(INDEX('Assets'!$M$4:$M$503,_calc!$E$437))=0,"",INDEX('Assets'!$M$4:$M$503,_calc!$E$437))&amp;". ")&amp;IF(LEN(IF(LEN(INDEX('Assets'!$Q$4:$Q$503,_calc!$E$437))=0,"",INDEX('Assets'!$Q$4:$Q$503,_calc!$E$437)))=0,"",IF(LEN(INDEX('Assets'!$Q$4:$Q$503,_calc!$E$437))=0,"",INDEX('Assets'!$Q$4:$Q$503,_calc!$E$437)))))</f>
        <v/>
      </c>
      <c r="G435" s="44">
        <f>IF(_calc!$E$437="","",IF(LEN(INDEX('Assets'!$P$4:$P$503,_calc!$E$437))=0,"",INDEX('Assets'!$P$4:$P$503,_calc!$E$437)))</f>
        <v/>
      </c>
      <c r="K435" s="44">
        <f>IF(_calc!$E$437="","",IF(LEN(INDEX('Assets'!$N$4:$N$503,_calc!$E$437))=0,"",INDEX('Assets'!$N$4:$N$503,_calc!$E$437)))</f>
        <v/>
      </c>
    </row>
    <row r="436">
      <c r="A436" s="44">
        <f>IF(_calc!$E$438="","",IF(LEN(INDEX('Assets'!$D$4:$D$503,_calc!$E$438))=0,"",INDEX('Assets'!$D$4:$D$503,_calc!$E$438))&amp;" – "&amp;IF(LEN(INDEX('Assets'!$A$4:$A$503,_calc!$E$438))=0,"",INDEX('Assets'!$A$4:$A$503,_calc!$E$438)))</f>
        <v/>
      </c>
      <c r="B436" s="44">
        <f>IF(_calc!$E$438="","",IF(ISNUMBER(INDEX('Assets'!$G$4:$G$503,_calc!$E$438)),TEXT(INDEX('Assets'!$G$4:$G$503,_calc!$E$438),"yyyy-mm-dd"),""))</f>
        <v/>
      </c>
      <c r="C436" s="44">
        <f>IF(_calc!$E$438="","","Inspection")</f>
        <v/>
      </c>
      <c r="D436" s="44">
        <f>IF(_calc!$E$438="","",IF(ISNUMBER(INDEX('Assets'!$F$4:$F$503,_calc!$E$438)),TEXT(INDEX('Assets'!$F$4:$F$503,_calc!$E$438),"yyyy-mm-dd"),""))</f>
        <v/>
      </c>
      <c r="E436" s="44">
        <f>IF(_calc!$E$438="","",IF(LEN(INDEX('Assets'!$O$4:$O$503,_calc!$E$438))=0,"",INDEX('Assets'!$O$4:$O$503,_calc!$E$438)))</f>
        <v/>
      </c>
      <c r="F436" s="44">
        <f>IF(_calc!$E$438="","",TRIM(IF(LEN(IF(LEN(INDEX('Assets'!$B$4:$B$503,_calc!$E$438))=0,"",INDEX('Assets'!$B$4:$B$503,_calc!$E$438)))=0,"","Asset ID: "&amp;IF(LEN(INDEX('Assets'!$B$4:$B$503,_calc!$E$438))=0,"",INDEX('Assets'!$B$4:$B$503,_calc!$E$438))&amp;". ")&amp;IF(LEN(IF(LEN(INDEX('Assets'!$C$4:$C$503,_calc!$E$438))=0,"",INDEX('Assets'!$C$4:$C$503,_calc!$E$438)))=0,"","Location: "&amp;IF(LEN(INDEX('Assets'!$C$4:$C$503,_calc!$E$438))=0,"",INDEX('Assets'!$C$4:$C$503,_calc!$E$438))&amp;". ")&amp;IF(LEN(IF(LEN(INDEX('Assets'!$E$4:$E$503,_calc!$E$438))=0,"",INDEX('Assets'!$E$4:$E$503,_calc!$E$438)))=0,"","Every (months): "&amp;IF(LEN(INDEX('Assets'!$E$4:$E$503,_calc!$E$438))=0,"",INDEX('Assets'!$E$4:$E$503,_calc!$E$438))&amp;". ")&amp;IF(LEN(IF(LEN(INDEX('Assets'!$M$4:$M$503,_calc!$E$438))=0,"",INDEX('Assets'!$M$4:$M$503,_calc!$E$438)))=0,"","Last result: "&amp;IF(LEN(INDEX('Assets'!$M$4:$M$503,_calc!$E$438))=0,"",INDEX('Assets'!$M$4:$M$503,_calc!$E$438))&amp;". ")&amp;IF(LEN(IF(LEN(INDEX('Assets'!$Q$4:$Q$503,_calc!$E$438))=0,"",INDEX('Assets'!$Q$4:$Q$503,_calc!$E$438)))=0,"",IF(LEN(INDEX('Assets'!$Q$4:$Q$503,_calc!$E$438))=0,"",INDEX('Assets'!$Q$4:$Q$503,_calc!$E$438)))))</f>
        <v/>
      </c>
      <c r="G436" s="44">
        <f>IF(_calc!$E$438="","",IF(LEN(INDEX('Assets'!$P$4:$P$503,_calc!$E$438))=0,"",INDEX('Assets'!$P$4:$P$503,_calc!$E$438)))</f>
        <v/>
      </c>
      <c r="K436" s="44">
        <f>IF(_calc!$E$438="","",IF(LEN(INDEX('Assets'!$N$4:$N$503,_calc!$E$438))=0,"",INDEX('Assets'!$N$4:$N$503,_calc!$E$438)))</f>
        <v/>
      </c>
    </row>
    <row r="437">
      <c r="A437" s="44">
        <f>IF(_calc!$E$439="","",IF(LEN(INDEX('Assets'!$D$4:$D$503,_calc!$E$439))=0,"",INDEX('Assets'!$D$4:$D$503,_calc!$E$439))&amp;" – "&amp;IF(LEN(INDEX('Assets'!$A$4:$A$503,_calc!$E$439))=0,"",INDEX('Assets'!$A$4:$A$503,_calc!$E$439)))</f>
        <v/>
      </c>
      <c r="B437" s="44">
        <f>IF(_calc!$E$439="","",IF(ISNUMBER(INDEX('Assets'!$G$4:$G$503,_calc!$E$439)),TEXT(INDEX('Assets'!$G$4:$G$503,_calc!$E$439),"yyyy-mm-dd"),""))</f>
        <v/>
      </c>
      <c r="C437" s="44">
        <f>IF(_calc!$E$439="","","Inspection")</f>
        <v/>
      </c>
      <c r="D437" s="44">
        <f>IF(_calc!$E$439="","",IF(ISNUMBER(INDEX('Assets'!$F$4:$F$503,_calc!$E$439)),TEXT(INDEX('Assets'!$F$4:$F$503,_calc!$E$439),"yyyy-mm-dd"),""))</f>
        <v/>
      </c>
      <c r="E437" s="44">
        <f>IF(_calc!$E$439="","",IF(LEN(INDEX('Assets'!$O$4:$O$503,_calc!$E$439))=0,"",INDEX('Assets'!$O$4:$O$503,_calc!$E$439)))</f>
        <v/>
      </c>
      <c r="F437" s="44">
        <f>IF(_calc!$E$439="","",TRIM(IF(LEN(IF(LEN(INDEX('Assets'!$B$4:$B$503,_calc!$E$439))=0,"",INDEX('Assets'!$B$4:$B$503,_calc!$E$439)))=0,"","Asset ID: "&amp;IF(LEN(INDEX('Assets'!$B$4:$B$503,_calc!$E$439))=0,"",INDEX('Assets'!$B$4:$B$503,_calc!$E$439))&amp;". ")&amp;IF(LEN(IF(LEN(INDEX('Assets'!$C$4:$C$503,_calc!$E$439))=0,"",INDEX('Assets'!$C$4:$C$503,_calc!$E$439)))=0,"","Location: "&amp;IF(LEN(INDEX('Assets'!$C$4:$C$503,_calc!$E$439))=0,"",INDEX('Assets'!$C$4:$C$503,_calc!$E$439))&amp;". ")&amp;IF(LEN(IF(LEN(INDEX('Assets'!$E$4:$E$503,_calc!$E$439))=0,"",INDEX('Assets'!$E$4:$E$503,_calc!$E$439)))=0,"","Every (months): "&amp;IF(LEN(INDEX('Assets'!$E$4:$E$503,_calc!$E$439))=0,"",INDEX('Assets'!$E$4:$E$503,_calc!$E$439))&amp;". ")&amp;IF(LEN(IF(LEN(INDEX('Assets'!$M$4:$M$503,_calc!$E$439))=0,"",INDEX('Assets'!$M$4:$M$503,_calc!$E$439)))=0,"","Last result: "&amp;IF(LEN(INDEX('Assets'!$M$4:$M$503,_calc!$E$439))=0,"",INDEX('Assets'!$M$4:$M$503,_calc!$E$439))&amp;". ")&amp;IF(LEN(IF(LEN(INDEX('Assets'!$Q$4:$Q$503,_calc!$E$439))=0,"",INDEX('Assets'!$Q$4:$Q$503,_calc!$E$439)))=0,"",IF(LEN(INDEX('Assets'!$Q$4:$Q$503,_calc!$E$439))=0,"",INDEX('Assets'!$Q$4:$Q$503,_calc!$E$439)))))</f>
        <v/>
      </c>
      <c r="G437" s="44">
        <f>IF(_calc!$E$439="","",IF(LEN(INDEX('Assets'!$P$4:$P$503,_calc!$E$439))=0,"",INDEX('Assets'!$P$4:$P$503,_calc!$E$439)))</f>
        <v/>
      </c>
      <c r="K437" s="44">
        <f>IF(_calc!$E$439="","",IF(LEN(INDEX('Assets'!$N$4:$N$503,_calc!$E$439))=0,"",INDEX('Assets'!$N$4:$N$503,_calc!$E$439)))</f>
        <v/>
      </c>
    </row>
    <row r="438">
      <c r="A438" s="44">
        <f>IF(_calc!$E$440="","",IF(LEN(INDEX('Assets'!$D$4:$D$503,_calc!$E$440))=0,"",INDEX('Assets'!$D$4:$D$503,_calc!$E$440))&amp;" – "&amp;IF(LEN(INDEX('Assets'!$A$4:$A$503,_calc!$E$440))=0,"",INDEX('Assets'!$A$4:$A$503,_calc!$E$440)))</f>
        <v/>
      </c>
      <c r="B438" s="44">
        <f>IF(_calc!$E$440="","",IF(ISNUMBER(INDEX('Assets'!$G$4:$G$503,_calc!$E$440)),TEXT(INDEX('Assets'!$G$4:$G$503,_calc!$E$440),"yyyy-mm-dd"),""))</f>
        <v/>
      </c>
      <c r="C438" s="44">
        <f>IF(_calc!$E$440="","","Inspection")</f>
        <v/>
      </c>
      <c r="D438" s="44">
        <f>IF(_calc!$E$440="","",IF(ISNUMBER(INDEX('Assets'!$F$4:$F$503,_calc!$E$440)),TEXT(INDEX('Assets'!$F$4:$F$503,_calc!$E$440),"yyyy-mm-dd"),""))</f>
        <v/>
      </c>
      <c r="E438" s="44">
        <f>IF(_calc!$E$440="","",IF(LEN(INDEX('Assets'!$O$4:$O$503,_calc!$E$440))=0,"",INDEX('Assets'!$O$4:$O$503,_calc!$E$440)))</f>
        <v/>
      </c>
      <c r="F438" s="44">
        <f>IF(_calc!$E$440="","",TRIM(IF(LEN(IF(LEN(INDEX('Assets'!$B$4:$B$503,_calc!$E$440))=0,"",INDEX('Assets'!$B$4:$B$503,_calc!$E$440)))=0,"","Asset ID: "&amp;IF(LEN(INDEX('Assets'!$B$4:$B$503,_calc!$E$440))=0,"",INDEX('Assets'!$B$4:$B$503,_calc!$E$440))&amp;". ")&amp;IF(LEN(IF(LEN(INDEX('Assets'!$C$4:$C$503,_calc!$E$440))=0,"",INDEX('Assets'!$C$4:$C$503,_calc!$E$440)))=0,"","Location: "&amp;IF(LEN(INDEX('Assets'!$C$4:$C$503,_calc!$E$440))=0,"",INDEX('Assets'!$C$4:$C$503,_calc!$E$440))&amp;". ")&amp;IF(LEN(IF(LEN(INDEX('Assets'!$E$4:$E$503,_calc!$E$440))=0,"",INDEX('Assets'!$E$4:$E$503,_calc!$E$440)))=0,"","Every (months): "&amp;IF(LEN(INDEX('Assets'!$E$4:$E$503,_calc!$E$440))=0,"",INDEX('Assets'!$E$4:$E$503,_calc!$E$440))&amp;". ")&amp;IF(LEN(IF(LEN(INDEX('Assets'!$M$4:$M$503,_calc!$E$440))=0,"",INDEX('Assets'!$M$4:$M$503,_calc!$E$440)))=0,"","Last result: "&amp;IF(LEN(INDEX('Assets'!$M$4:$M$503,_calc!$E$440))=0,"",INDEX('Assets'!$M$4:$M$503,_calc!$E$440))&amp;". ")&amp;IF(LEN(IF(LEN(INDEX('Assets'!$Q$4:$Q$503,_calc!$E$440))=0,"",INDEX('Assets'!$Q$4:$Q$503,_calc!$E$440)))=0,"",IF(LEN(INDEX('Assets'!$Q$4:$Q$503,_calc!$E$440))=0,"",INDEX('Assets'!$Q$4:$Q$503,_calc!$E$440)))))</f>
        <v/>
      </c>
      <c r="G438" s="44">
        <f>IF(_calc!$E$440="","",IF(LEN(INDEX('Assets'!$P$4:$P$503,_calc!$E$440))=0,"",INDEX('Assets'!$P$4:$P$503,_calc!$E$440)))</f>
        <v/>
      </c>
      <c r="K438" s="44">
        <f>IF(_calc!$E$440="","",IF(LEN(INDEX('Assets'!$N$4:$N$503,_calc!$E$440))=0,"",INDEX('Assets'!$N$4:$N$503,_calc!$E$440)))</f>
        <v/>
      </c>
    </row>
    <row r="439">
      <c r="A439" s="44">
        <f>IF(_calc!$E$441="","",IF(LEN(INDEX('Assets'!$D$4:$D$503,_calc!$E$441))=0,"",INDEX('Assets'!$D$4:$D$503,_calc!$E$441))&amp;" – "&amp;IF(LEN(INDEX('Assets'!$A$4:$A$503,_calc!$E$441))=0,"",INDEX('Assets'!$A$4:$A$503,_calc!$E$441)))</f>
        <v/>
      </c>
      <c r="B439" s="44">
        <f>IF(_calc!$E$441="","",IF(ISNUMBER(INDEX('Assets'!$G$4:$G$503,_calc!$E$441)),TEXT(INDEX('Assets'!$G$4:$G$503,_calc!$E$441),"yyyy-mm-dd"),""))</f>
        <v/>
      </c>
      <c r="C439" s="44">
        <f>IF(_calc!$E$441="","","Inspection")</f>
        <v/>
      </c>
      <c r="D439" s="44">
        <f>IF(_calc!$E$441="","",IF(ISNUMBER(INDEX('Assets'!$F$4:$F$503,_calc!$E$441)),TEXT(INDEX('Assets'!$F$4:$F$503,_calc!$E$441),"yyyy-mm-dd"),""))</f>
        <v/>
      </c>
      <c r="E439" s="44">
        <f>IF(_calc!$E$441="","",IF(LEN(INDEX('Assets'!$O$4:$O$503,_calc!$E$441))=0,"",INDEX('Assets'!$O$4:$O$503,_calc!$E$441)))</f>
        <v/>
      </c>
      <c r="F439" s="44">
        <f>IF(_calc!$E$441="","",TRIM(IF(LEN(IF(LEN(INDEX('Assets'!$B$4:$B$503,_calc!$E$441))=0,"",INDEX('Assets'!$B$4:$B$503,_calc!$E$441)))=0,"","Asset ID: "&amp;IF(LEN(INDEX('Assets'!$B$4:$B$503,_calc!$E$441))=0,"",INDEX('Assets'!$B$4:$B$503,_calc!$E$441))&amp;". ")&amp;IF(LEN(IF(LEN(INDEX('Assets'!$C$4:$C$503,_calc!$E$441))=0,"",INDEX('Assets'!$C$4:$C$503,_calc!$E$441)))=0,"","Location: "&amp;IF(LEN(INDEX('Assets'!$C$4:$C$503,_calc!$E$441))=0,"",INDEX('Assets'!$C$4:$C$503,_calc!$E$441))&amp;". ")&amp;IF(LEN(IF(LEN(INDEX('Assets'!$E$4:$E$503,_calc!$E$441))=0,"",INDEX('Assets'!$E$4:$E$503,_calc!$E$441)))=0,"","Every (months): "&amp;IF(LEN(INDEX('Assets'!$E$4:$E$503,_calc!$E$441))=0,"",INDEX('Assets'!$E$4:$E$503,_calc!$E$441))&amp;". ")&amp;IF(LEN(IF(LEN(INDEX('Assets'!$M$4:$M$503,_calc!$E$441))=0,"",INDEX('Assets'!$M$4:$M$503,_calc!$E$441)))=0,"","Last result: "&amp;IF(LEN(INDEX('Assets'!$M$4:$M$503,_calc!$E$441))=0,"",INDEX('Assets'!$M$4:$M$503,_calc!$E$441))&amp;". ")&amp;IF(LEN(IF(LEN(INDEX('Assets'!$Q$4:$Q$503,_calc!$E$441))=0,"",INDEX('Assets'!$Q$4:$Q$503,_calc!$E$441)))=0,"",IF(LEN(INDEX('Assets'!$Q$4:$Q$503,_calc!$E$441))=0,"",INDEX('Assets'!$Q$4:$Q$503,_calc!$E$441)))))</f>
        <v/>
      </c>
      <c r="G439" s="44">
        <f>IF(_calc!$E$441="","",IF(LEN(INDEX('Assets'!$P$4:$P$503,_calc!$E$441))=0,"",INDEX('Assets'!$P$4:$P$503,_calc!$E$441)))</f>
        <v/>
      </c>
      <c r="K439" s="44">
        <f>IF(_calc!$E$441="","",IF(LEN(INDEX('Assets'!$N$4:$N$503,_calc!$E$441))=0,"",INDEX('Assets'!$N$4:$N$503,_calc!$E$441)))</f>
        <v/>
      </c>
    </row>
    <row r="440">
      <c r="A440" s="44">
        <f>IF(_calc!$E$442="","",IF(LEN(INDEX('Assets'!$D$4:$D$503,_calc!$E$442))=0,"",INDEX('Assets'!$D$4:$D$503,_calc!$E$442))&amp;" – "&amp;IF(LEN(INDEX('Assets'!$A$4:$A$503,_calc!$E$442))=0,"",INDEX('Assets'!$A$4:$A$503,_calc!$E$442)))</f>
        <v/>
      </c>
      <c r="B440" s="44">
        <f>IF(_calc!$E$442="","",IF(ISNUMBER(INDEX('Assets'!$G$4:$G$503,_calc!$E$442)),TEXT(INDEX('Assets'!$G$4:$G$503,_calc!$E$442),"yyyy-mm-dd"),""))</f>
        <v/>
      </c>
      <c r="C440" s="44">
        <f>IF(_calc!$E$442="","","Inspection")</f>
        <v/>
      </c>
      <c r="D440" s="44">
        <f>IF(_calc!$E$442="","",IF(ISNUMBER(INDEX('Assets'!$F$4:$F$503,_calc!$E$442)),TEXT(INDEX('Assets'!$F$4:$F$503,_calc!$E$442),"yyyy-mm-dd"),""))</f>
        <v/>
      </c>
      <c r="E440" s="44">
        <f>IF(_calc!$E$442="","",IF(LEN(INDEX('Assets'!$O$4:$O$503,_calc!$E$442))=0,"",INDEX('Assets'!$O$4:$O$503,_calc!$E$442)))</f>
        <v/>
      </c>
      <c r="F440" s="44">
        <f>IF(_calc!$E$442="","",TRIM(IF(LEN(IF(LEN(INDEX('Assets'!$B$4:$B$503,_calc!$E$442))=0,"",INDEX('Assets'!$B$4:$B$503,_calc!$E$442)))=0,"","Asset ID: "&amp;IF(LEN(INDEX('Assets'!$B$4:$B$503,_calc!$E$442))=0,"",INDEX('Assets'!$B$4:$B$503,_calc!$E$442))&amp;". ")&amp;IF(LEN(IF(LEN(INDEX('Assets'!$C$4:$C$503,_calc!$E$442))=0,"",INDEX('Assets'!$C$4:$C$503,_calc!$E$442)))=0,"","Location: "&amp;IF(LEN(INDEX('Assets'!$C$4:$C$503,_calc!$E$442))=0,"",INDEX('Assets'!$C$4:$C$503,_calc!$E$442))&amp;". ")&amp;IF(LEN(IF(LEN(INDEX('Assets'!$E$4:$E$503,_calc!$E$442))=0,"",INDEX('Assets'!$E$4:$E$503,_calc!$E$442)))=0,"","Every (months): "&amp;IF(LEN(INDEX('Assets'!$E$4:$E$503,_calc!$E$442))=0,"",INDEX('Assets'!$E$4:$E$503,_calc!$E$442))&amp;". ")&amp;IF(LEN(IF(LEN(INDEX('Assets'!$M$4:$M$503,_calc!$E$442))=0,"",INDEX('Assets'!$M$4:$M$503,_calc!$E$442)))=0,"","Last result: "&amp;IF(LEN(INDEX('Assets'!$M$4:$M$503,_calc!$E$442))=0,"",INDEX('Assets'!$M$4:$M$503,_calc!$E$442))&amp;". ")&amp;IF(LEN(IF(LEN(INDEX('Assets'!$Q$4:$Q$503,_calc!$E$442))=0,"",INDEX('Assets'!$Q$4:$Q$503,_calc!$E$442)))=0,"",IF(LEN(INDEX('Assets'!$Q$4:$Q$503,_calc!$E$442))=0,"",INDEX('Assets'!$Q$4:$Q$503,_calc!$E$442)))))</f>
        <v/>
      </c>
      <c r="G440" s="44">
        <f>IF(_calc!$E$442="","",IF(LEN(INDEX('Assets'!$P$4:$P$503,_calc!$E$442))=0,"",INDEX('Assets'!$P$4:$P$503,_calc!$E$442)))</f>
        <v/>
      </c>
      <c r="K440" s="44">
        <f>IF(_calc!$E$442="","",IF(LEN(INDEX('Assets'!$N$4:$N$503,_calc!$E$442))=0,"",INDEX('Assets'!$N$4:$N$503,_calc!$E$442)))</f>
        <v/>
      </c>
    </row>
    <row r="441">
      <c r="A441" s="44">
        <f>IF(_calc!$E$443="","",IF(LEN(INDEX('Assets'!$D$4:$D$503,_calc!$E$443))=0,"",INDEX('Assets'!$D$4:$D$503,_calc!$E$443))&amp;" – "&amp;IF(LEN(INDEX('Assets'!$A$4:$A$503,_calc!$E$443))=0,"",INDEX('Assets'!$A$4:$A$503,_calc!$E$443)))</f>
        <v/>
      </c>
      <c r="B441" s="44">
        <f>IF(_calc!$E$443="","",IF(ISNUMBER(INDEX('Assets'!$G$4:$G$503,_calc!$E$443)),TEXT(INDEX('Assets'!$G$4:$G$503,_calc!$E$443),"yyyy-mm-dd"),""))</f>
        <v/>
      </c>
      <c r="C441" s="44">
        <f>IF(_calc!$E$443="","","Inspection")</f>
        <v/>
      </c>
      <c r="D441" s="44">
        <f>IF(_calc!$E$443="","",IF(ISNUMBER(INDEX('Assets'!$F$4:$F$503,_calc!$E$443)),TEXT(INDEX('Assets'!$F$4:$F$503,_calc!$E$443),"yyyy-mm-dd"),""))</f>
        <v/>
      </c>
      <c r="E441" s="44">
        <f>IF(_calc!$E$443="","",IF(LEN(INDEX('Assets'!$O$4:$O$503,_calc!$E$443))=0,"",INDEX('Assets'!$O$4:$O$503,_calc!$E$443)))</f>
        <v/>
      </c>
      <c r="F441" s="44">
        <f>IF(_calc!$E$443="","",TRIM(IF(LEN(IF(LEN(INDEX('Assets'!$B$4:$B$503,_calc!$E$443))=0,"",INDEX('Assets'!$B$4:$B$503,_calc!$E$443)))=0,"","Asset ID: "&amp;IF(LEN(INDEX('Assets'!$B$4:$B$503,_calc!$E$443))=0,"",INDEX('Assets'!$B$4:$B$503,_calc!$E$443))&amp;". ")&amp;IF(LEN(IF(LEN(INDEX('Assets'!$C$4:$C$503,_calc!$E$443))=0,"",INDEX('Assets'!$C$4:$C$503,_calc!$E$443)))=0,"","Location: "&amp;IF(LEN(INDEX('Assets'!$C$4:$C$503,_calc!$E$443))=0,"",INDEX('Assets'!$C$4:$C$503,_calc!$E$443))&amp;". ")&amp;IF(LEN(IF(LEN(INDEX('Assets'!$E$4:$E$503,_calc!$E$443))=0,"",INDEX('Assets'!$E$4:$E$503,_calc!$E$443)))=0,"","Every (months): "&amp;IF(LEN(INDEX('Assets'!$E$4:$E$503,_calc!$E$443))=0,"",INDEX('Assets'!$E$4:$E$503,_calc!$E$443))&amp;". ")&amp;IF(LEN(IF(LEN(INDEX('Assets'!$M$4:$M$503,_calc!$E$443))=0,"",INDEX('Assets'!$M$4:$M$503,_calc!$E$443)))=0,"","Last result: "&amp;IF(LEN(INDEX('Assets'!$M$4:$M$503,_calc!$E$443))=0,"",INDEX('Assets'!$M$4:$M$503,_calc!$E$443))&amp;". ")&amp;IF(LEN(IF(LEN(INDEX('Assets'!$Q$4:$Q$503,_calc!$E$443))=0,"",INDEX('Assets'!$Q$4:$Q$503,_calc!$E$443)))=0,"",IF(LEN(INDEX('Assets'!$Q$4:$Q$503,_calc!$E$443))=0,"",INDEX('Assets'!$Q$4:$Q$503,_calc!$E$443)))))</f>
        <v/>
      </c>
      <c r="G441" s="44">
        <f>IF(_calc!$E$443="","",IF(LEN(INDEX('Assets'!$P$4:$P$503,_calc!$E$443))=0,"",INDEX('Assets'!$P$4:$P$503,_calc!$E$443)))</f>
        <v/>
      </c>
      <c r="K441" s="44">
        <f>IF(_calc!$E$443="","",IF(LEN(INDEX('Assets'!$N$4:$N$503,_calc!$E$443))=0,"",INDEX('Assets'!$N$4:$N$503,_calc!$E$443)))</f>
        <v/>
      </c>
    </row>
    <row r="442">
      <c r="A442" s="44">
        <f>IF(_calc!$E$444="","",IF(LEN(INDEX('Assets'!$D$4:$D$503,_calc!$E$444))=0,"",INDEX('Assets'!$D$4:$D$503,_calc!$E$444))&amp;" – "&amp;IF(LEN(INDEX('Assets'!$A$4:$A$503,_calc!$E$444))=0,"",INDEX('Assets'!$A$4:$A$503,_calc!$E$444)))</f>
        <v/>
      </c>
      <c r="B442" s="44">
        <f>IF(_calc!$E$444="","",IF(ISNUMBER(INDEX('Assets'!$G$4:$G$503,_calc!$E$444)),TEXT(INDEX('Assets'!$G$4:$G$503,_calc!$E$444),"yyyy-mm-dd"),""))</f>
        <v/>
      </c>
      <c r="C442" s="44">
        <f>IF(_calc!$E$444="","","Inspection")</f>
        <v/>
      </c>
      <c r="D442" s="44">
        <f>IF(_calc!$E$444="","",IF(ISNUMBER(INDEX('Assets'!$F$4:$F$503,_calc!$E$444)),TEXT(INDEX('Assets'!$F$4:$F$503,_calc!$E$444),"yyyy-mm-dd"),""))</f>
        <v/>
      </c>
      <c r="E442" s="44">
        <f>IF(_calc!$E$444="","",IF(LEN(INDEX('Assets'!$O$4:$O$503,_calc!$E$444))=0,"",INDEX('Assets'!$O$4:$O$503,_calc!$E$444)))</f>
        <v/>
      </c>
      <c r="F442" s="44">
        <f>IF(_calc!$E$444="","",TRIM(IF(LEN(IF(LEN(INDEX('Assets'!$B$4:$B$503,_calc!$E$444))=0,"",INDEX('Assets'!$B$4:$B$503,_calc!$E$444)))=0,"","Asset ID: "&amp;IF(LEN(INDEX('Assets'!$B$4:$B$503,_calc!$E$444))=0,"",INDEX('Assets'!$B$4:$B$503,_calc!$E$444))&amp;". ")&amp;IF(LEN(IF(LEN(INDEX('Assets'!$C$4:$C$503,_calc!$E$444))=0,"",INDEX('Assets'!$C$4:$C$503,_calc!$E$444)))=0,"","Location: "&amp;IF(LEN(INDEX('Assets'!$C$4:$C$503,_calc!$E$444))=0,"",INDEX('Assets'!$C$4:$C$503,_calc!$E$444))&amp;". ")&amp;IF(LEN(IF(LEN(INDEX('Assets'!$E$4:$E$503,_calc!$E$444))=0,"",INDEX('Assets'!$E$4:$E$503,_calc!$E$444)))=0,"","Every (months): "&amp;IF(LEN(INDEX('Assets'!$E$4:$E$503,_calc!$E$444))=0,"",INDEX('Assets'!$E$4:$E$503,_calc!$E$444))&amp;". ")&amp;IF(LEN(IF(LEN(INDEX('Assets'!$M$4:$M$503,_calc!$E$444))=0,"",INDEX('Assets'!$M$4:$M$503,_calc!$E$444)))=0,"","Last result: "&amp;IF(LEN(INDEX('Assets'!$M$4:$M$503,_calc!$E$444))=0,"",INDEX('Assets'!$M$4:$M$503,_calc!$E$444))&amp;". ")&amp;IF(LEN(IF(LEN(INDEX('Assets'!$Q$4:$Q$503,_calc!$E$444))=0,"",INDEX('Assets'!$Q$4:$Q$503,_calc!$E$444)))=0,"",IF(LEN(INDEX('Assets'!$Q$4:$Q$503,_calc!$E$444))=0,"",INDEX('Assets'!$Q$4:$Q$503,_calc!$E$444)))))</f>
        <v/>
      </c>
      <c r="G442" s="44">
        <f>IF(_calc!$E$444="","",IF(LEN(INDEX('Assets'!$P$4:$P$503,_calc!$E$444))=0,"",INDEX('Assets'!$P$4:$P$503,_calc!$E$444)))</f>
        <v/>
      </c>
      <c r="K442" s="44">
        <f>IF(_calc!$E$444="","",IF(LEN(INDEX('Assets'!$N$4:$N$503,_calc!$E$444))=0,"",INDEX('Assets'!$N$4:$N$503,_calc!$E$444)))</f>
        <v/>
      </c>
    </row>
    <row r="443">
      <c r="A443" s="44">
        <f>IF(_calc!$E$445="","",IF(LEN(INDEX('Assets'!$D$4:$D$503,_calc!$E$445))=0,"",INDEX('Assets'!$D$4:$D$503,_calc!$E$445))&amp;" – "&amp;IF(LEN(INDEX('Assets'!$A$4:$A$503,_calc!$E$445))=0,"",INDEX('Assets'!$A$4:$A$503,_calc!$E$445)))</f>
        <v/>
      </c>
      <c r="B443" s="44">
        <f>IF(_calc!$E$445="","",IF(ISNUMBER(INDEX('Assets'!$G$4:$G$503,_calc!$E$445)),TEXT(INDEX('Assets'!$G$4:$G$503,_calc!$E$445),"yyyy-mm-dd"),""))</f>
        <v/>
      </c>
      <c r="C443" s="44">
        <f>IF(_calc!$E$445="","","Inspection")</f>
        <v/>
      </c>
      <c r="D443" s="44">
        <f>IF(_calc!$E$445="","",IF(ISNUMBER(INDEX('Assets'!$F$4:$F$503,_calc!$E$445)),TEXT(INDEX('Assets'!$F$4:$F$503,_calc!$E$445),"yyyy-mm-dd"),""))</f>
        <v/>
      </c>
      <c r="E443" s="44">
        <f>IF(_calc!$E$445="","",IF(LEN(INDEX('Assets'!$O$4:$O$503,_calc!$E$445))=0,"",INDEX('Assets'!$O$4:$O$503,_calc!$E$445)))</f>
        <v/>
      </c>
      <c r="F443" s="44">
        <f>IF(_calc!$E$445="","",TRIM(IF(LEN(IF(LEN(INDEX('Assets'!$B$4:$B$503,_calc!$E$445))=0,"",INDEX('Assets'!$B$4:$B$503,_calc!$E$445)))=0,"","Asset ID: "&amp;IF(LEN(INDEX('Assets'!$B$4:$B$503,_calc!$E$445))=0,"",INDEX('Assets'!$B$4:$B$503,_calc!$E$445))&amp;". ")&amp;IF(LEN(IF(LEN(INDEX('Assets'!$C$4:$C$503,_calc!$E$445))=0,"",INDEX('Assets'!$C$4:$C$503,_calc!$E$445)))=0,"","Location: "&amp;IF(LEN(INDEX('Assets'!$C$4:$C$503,_calc!$E$445))=0,"",INDEX('Assets'!$C$4:$C$503,_calc!$E$445))&amp;". ")&amp;IF(LEN(IF(LEN(INDEX('Assets'!$E$4:$E$503,_calc!$E$445))=0,"",INDEX('Assets'!$E$4:$E$503,_calc!$E$445)))=0,"","Every (months): "&amp;IF(LEN(INDEX('Assets'!$E$4:$E$503,_calc!$E$445))=0,"",INDEX('Assets'!$E$4:$E$503,_calc!$E$445))&amp;". ")&amp;IF(LEN(IF(LEN(INDEX('Assets'!$M$4:$M$503,_calc!$E$445))=0,"",INDEX('Assets'!$M$4:$M$503,_calc!$E$445)))=0,"","Last result: "&amp;IF(LEN(INDEX('Assets'!$M$4:$M$503,_calc!$E$445))=0,"",INDEX('Assets'!$M$4:$M$503,_calc!$E$445))&amp;". ")&amp;IF(LEN(IF(LEN(INDEX('Assets'!$Q$4:$Q$503,_calc!$E$445))=0,"",INDEX('Assets'!$Q$4:$Q$503,_calc!$E$445)))=0,"",IF(LEN(INDEX('Assets'!$Q$4:$Q$503,_calc!$E$445))=0,"",INDEX('Assets'!$Q$4:$Q$503,_calc!$E$445)))))</f>
        <v/>
      </c>
      <c r="G443" s="44">
        <f>IF(_calc!$E$445="","",IF(LEN(INDEX('Assets'!$P$4:$P$503,_calc!$E$445))=0,"",INDEX('Assets'!$P$4:$P$503,_calc!$E$445)))</f>
        <v/>
      </c>
      <c r="K443" s="44">
        <f>IF(_calc!$E$445="","",IF(LEN(INDEX('Assets'!$N$4:$N$503,_calc!$E$445))=0,"",INDEX('Assets'!$N$4:$N$503,_calc!$E$445)))</f>
        <v/>
      </c>
    </row>
    <row r="444">
      <c r="A444" s="44">
        <f>IF(_calc!$E$446="","",IF(LEN(INDEX('Assets'!$D$4:$D$503,_calc!$E$446))=0,"",INDEX('Assets'!$D$4:$D$503,_calc!$E$446))&amp;" – "&amp;IF(LEN(INDEX('Assets'!$A$4:$A$503,_calc!$E$446))=0,"",INDEX('Assets'!$A$4:$A$503,_calc!$E$446)))</f>
        <v/>
      </c>
      <c r="B444" s="44">
        <f>IF(_calc!$E$446="","",IF(ISNUMBER(INDEX('Assets'!$G$4:$G$503,_calc!$E$446)),TEXT(INDEX('Assets'!$G$4:$G$503,_calc!$E$446),"yyyy-mm-dd"),""))</f>
        <v/>
      </c>
      <c r="C444" s="44">
        <f>IF(_calc!$E$446="","","Inspection")</f>
        <v/>
      </c>
      <c r="D444" s="44">
        <f>IF(_calc!$E$446="","",IF(ISNUMBER(INDEX('Assets'!$F$4:$F$503,_calc!$E$446)),TEXT(INDEX('Assets'!$F$4:$F$503,_calc!$E$446),"yyyy-mm-dd"),""))</f>
        <v/>
      </c>
      <c r="E444" s="44">
        <f>IF(_calc!$E$446="","",IF(LEN(INDEX('Assets'!$O$4:$O$503,_calc!$E$446))=0,"",INDEX('Assets'!$O$4:$O$503,_calc!$E$446)))</f>
        <v/>
      </c>
      <c r="F444" s="44">
        <f>IF(_calc!$E$446="","",TRIM(IF(LEN(IF(LEN(INDEX('Assets'!$B$4:$B$503,_calc!$E$446))=0,"",INDEX('Assets'!$B$4:$B$503,_calc!$E$446)))=0,"","Asset ID: "&amp;IF(LEN(INDEX('Assets'!$B$4:$B$503,_calc!$E$446))=0,"",INDEX('Assets'!$B$4:$B$503,_calc!$E$446))&amp;". ")&amp;IF(LEN(IF(LEN(INDEX('Assets'!$C$4:$C$503,_calc!$E$446))=0,"",INDEX('Assets'!$C$4:$C$503,_calc!$E$446)))=0,"","Location: "&amp;IF(LEN(INDEX('Assets'!$C$4:$C$503,_calc!$E$446))=0,"",INDEX('Assets'!$C$4:$C$503,_calc!$E$446))&amp;". ")&amp;IF(LEN(IF(LEN(INDEX('Assets'!$E$4:$E$503,_calc!$E$446))=0,"",INDEX('Assets'!$E$4:$E$503,_calc!$E$446)))=0,"","Every (months): "&amp;IF(LEN(INDEX('Assets'!$E$4:$E$503,_calc!$E$446))=0,"",INDEX('Assets'!$E$4:$E$503,_calc!$E$446))&amp;". ")&amp;IF(LEN(IF(LEN(INDEX('Assets'!$M$4:$M$503,_calc!$E$446))=0,"",INDEX('Assets'!$M$4:$M$503,_calc!$E$446)))=0,"","Last result: "&amp;IF(LEN(INDEX('Assets'!$M$4:$M$503,_calc!$E$446))=0,"",INDEX('Assets'!$M$4:$M$503,_calc!$E$446))&amp;". ")&amp;IF(LEN(IF(LEN(INDEX('Assets'!$Q$4:$Q$503,_calc!$E$446))=0,"",INDEX('Assets'!$Q$4:$Q$503,_calc!$E$446)))=0,"",IF(LEN(INDEX('Assets'!$Q$4:$Q$503,_calc!$E$446))=0,"",INDEX('Assets'!$Q$4:$Q$503,_calc!$E$446)))))</f>
        <v/>
      </c>
      <c r="G444" s="44">
        <f>IF(_calc!$E$446="","",IF(LEN(INDEX('Assets'!$P$4:$P$503,_calc!$E$446))=0,"",INDEX('Assets'!$P$4:$P$503,_calc!$E$446)))</f>
        <v/>
      </c>
      <c r="K444" s="44">
        <f>IF(_calc!$E$446="","",IF(LEN(INDEX('Assets'!$N$4:$N$503,_calc!$E$446))=0,"",INDEX('Assets'!$N$4:$N$503,_calc!$E$446)))</f>
        <v/>
      </c>
    </row>
    <row r="445">
      <c r="A445" s="44">
        <f>IF(_calc!$E$447="","",IF(LEN(INDEX('Assets'!$D$4:$D$503,_calc!$E$447))=0,"",INDEX('Assets'!$D$4:$D$503,_calc!$E$447))&amp;" – "&amp;IF(LEN(INDEX('Assets'!$A$4:$A$503,_calc!$E$447))=0,"",INDEX('Assets'!$A$4:$A$503,_calc!$E$447)))</f>
        <v/>
      </c>
      <c r="B445" s="44">
        <f>IF(_calc!$E$447="","",IF(ISNUMBER(INDEX('Assets'!$G$4:$G$503,_calc!$E$447)),TEXT(INDEX('Assets'!$G$4:$G$503,_calc!$E$447),"yyyy-mm-dd"),""))</f>
        <v/>
      </c>
      <c r="C445" s="44">
        <f>IF(_calc!$E$447="","","Inspection")</f>
        <v/>
      </c>
      <c r="D445" s="44">
        <f>IF(_calc!$E$447="","",IF(ISNUMBER(INDEX('Assets'!$F$4:$F$503,_calc!$E$447)),TEXT(INDEX('Assets'!$F$4:$F$503,_calc!$E$447),"yyyy-mm-dd"),""))</f>
        <v/>
      </c>
      <c r="E445" s="44">
        <f>IF(_calc!$E$447="","",IF(LEN(INDEX('Assets'!$O$4:$O$503,_calc!$E$447))=0,"",INDEX('Assets'!$O$4:$O$503,_calc!$E$447)))</f>
        <v/>
      </c>
      <c r="F445" s="44">
        <f>IF(_calc!$E$447="","",TRIM(IF(LEN(IF(LEN(INDEX('Assets'!$B$4:$B$503,_calc!$E$447))=0,"",INDEX('Assets'!$B$4:$B$503,_calc!$E$447)))=0,"","Asset ID: "&amp;IF(LEN(INDEX('Assets'!$B$4:$B$503,_calc!$E$447))=0,"",INDEX('Assets'!$B$4:$B$503,_calc!$E$447))&amp;". ")&amp;IF(LEN(IF(LEN(INDEX('Assets'!$C$4:$C$503,_calc!$E$447))=0,"",INDEX('Assets'!$C$4:$C$503,_calc!$E$447)))=0,"","Location: "&amp;IF(LEN(INDEX('Assets'!$C$4:$C$503,_calc!$E$447))=0,"",INDEX('Assets'!$C$4:$C$503,_calc!$E$447))&amp;". ")&amp;IF(LEN(IF(LEN(INDEX('Assets'!$E$4:$E$503,_calc!$E$447))=0,"",INDEX('Assets'!$E$4:$E$503,_calc!$E$447)))=0,"","Every (months): "&amp;IF(LEN(INDEX('Assets'!$E$4:$E$503,_calc!$E$447))=0,"",INDEX('Assets'!$E$4:$E$503,_calc!$E$447))&amp;". ")&amp;IF(LEN(IF(LEN(INDEX('Assets'!$M$4:$M$503,_calc!$E$447))=0,"",INDEX('Assets'!$M$4:$M$503,_calc!$E$447)))=0,"","Last result: "&amp;IF(LEN(INDEX('Assets'!$M$4:$M$503,_calc!$E$447))=0,"",INDEX('Assets'!$M$4:$M$503,_calc!$E$447))&amp;". ")&amp;IF(LEN(IF(LEN(INDEX('Assets'!$Q$4:$Q$503,_calc!$E$447))=0,"",INDEX('Assets'!$Q$4:$Q$503,_calc!$E$447)))=0,"",IF(LEN(INDEX('Assets'!$Q$4:$Q$503,_calc!$E$447))=0,"",INDEX('Assets'!$Q$4:$Q$503,_calc!$E$447)))))</f>
        <v/>
      </c>
      <c r="G445" s="44">
        <f>IF(_calc!$E$447="","",IF(LEN(INDEX('Assets'!$P$4:$P$503,_calc!$E$447))=0,"",INDEX('Assets'!$P$4:$P$503,_calc!$E$447)))</f>
        <v/>
      </c>
      <c r="K445" s="44">
        <f>IF(_calc!$E$447="","",IF(LEN(INDEX('Assets'!$N$4:$N$503,_calc!$E$447))=0,"",INDEX('Assets'!$N$4:$N$503,_calc!$E$447)))</f>
        <v/>
      </c>
    </row>
    <row r="446">
      <c r="A446" s="44">
        <f>IF(_calc!$E$448="","",IF(LEN(INDEX('Assets'!$D$4:$D$503,_calc!$E$448))=0,"",INDEX('Assets'!$D$4:$D$503,_calc!$E$448))&amp;" – "&amp;IF(LEN(INDEX('Assets'!$A$4:$A$503,_calc!$E$448))=0,"",INDEX('Assets'!$A$4:$A$503,_calc!$E$448)))</f>
        <v/>
      </c>
      <c r="B446" s="44">
        <f>IF(_calc!$E$448="","",IF(ISNUMBER(INDEX('Assets'!$G$4:$G$503,_calc!$E$448)),TEXT(INDEX('Assets'!$G$4:$G$503,_calc!$E$448),"yyyy-mm-dd"),""))</f>
        <v/>
      </c>
      <c r="C446" s="44">
        <f>IF(_calc!$E$448="","","Inspection")</f>
        <v/>
      </c>
      <c r="D446" s="44">
        <f>IF(_calc!$E$448="","",IF(ISNUMBER(INDEX('Assets'!$F$4:$F$503,_calc!$E$448)),TEXT(INDEX('Assets'!$F$4:$F$503,_calc!$E$448),"yyyy-mm-dd"),""))</f>
        <v/>
      </c>
      <c r="E446" s="44">
        <f>IF(_calc!$E$448="","",IF(LEN(INDEX('Assets'!$O$4:$O$503,_calc!$E$448))=0,"",INDEX('Assets'!$O$4:$O$503,_calc!$E$448)))</f>
        <v/>
      </c>
      <c r="F446" s="44">
        <f>IF(_calc!$E$448="","",TRIM(IF(LEN(IF(LEN(INDEX('Assets'!$B$4:$B$503,_calc!$E$448))=0,"",INDEX('Assets'!$B$4:$B$503,_calc!$E$448)))=0,"","Asset ID: "&amp;IF(LEN(INDEX('Assets'!$B$4:$B$503,_calc!$E$448))=0,"",INDEX('Assets'!$B$4:$B$503,_calc!$E$448))&amp;". ")&amp;IF(LEN(IF(LEN(INDEX('Assets'!$C$4:$C$503,_calc!$E$448))=0,"",INDEX('Assets'!$C$4:$C$503,_calc!$E$448)))=0,"","Location: "&amp;IF(LEN(INDEX('Assets'!$C$4:$C$503,_calc!$E$448))=0,"",INDEX('Assets'!$C$4:$C$503,_calc!$E$448))&amp;". ")&amp;IF(LEN(IF(LEN(INDEX('Assets'!$E$4:$E$503,_calc!$E$448))=0,"",INDEX('Assets'!$E$4:$E$503,_calc!$E$448)))=0,"","Every (months): "&amp;IF(LEN(INDEX('Assets'!$E$4:$E$503,_calc!$E$448))=0,"",INDEX('Assets'!$E$4:$E$503,_calc!$E$448))&amp;". ")&amp;IF(LEN(IF(LEN(INDEX('Assets'!$M$4:$M$503,_calc!$E$448))=0,"",INDEX('Assets'!$M$4:$M$503,_calc!$E$448)))=0,"","Last result: "&amp;IF(LEN(INDEX('Assets'!$M$4:$M$503,_calc!$E$448))=0,"",INDEX('Assets'!$M$4:$M$503,_calc!$E$448))&amp;". ")&amp;IF(LEN(IF(LEN(INDEX('Assets'!$Q$4:$Q$503,_calc!$E$448))=0,"",INDEX('Assets'!$Q$4:$Q$503,_calc!$E$448)))=0,"",IF(LEN(INDEX('Assets'!$Q$4:$Q$503,_calc!$E$448))=0,"",INDEX('Assets'!$Q$4:$Q$503,_calc!$E$448)))))</f>
        <v/>
      </c>
      <c r="G446" s="44">
        <f>IF(_calc!$E$448="","",IF(LEN(INDEX('Assets'!$P$4:$P$503,_calc!$E$448))=0,"",INDEX('Assets'!$P$4:$P$503,_calc!$E$448)))</f>
        <v/>
      </c>
      <c r="K446" s="44">
        <f>IF(_calc!$E$448="","",IF(LEN(INDEX('Assets'!$N$4:$N$503,_calc!$E$448))=0,"",INDEX('Assets'!$N$4:$N$503,_calc!$E$448)))</f>
        <v/>
      </c>
    </row>
    <row r="447">
      <c r="A447" s="44">
        <f>IF(_calc!$E$449="","",IF(LEN(INDEX('Assets'!$D$4:$D$503,_calc!$E$449))=0,"",INDEX('Assets'!$D$4:$D$503,_calc!$E$449))&amp;" – "&amp;IF(LEN(INDEX('Assets'!$A$4:$A$503,_calc!$E$449))=0,"",INDEX('Assets'!$A$4:$A$503,_calc!$E$449)))</f>
        <v/>
      </c>
      <c r="B447" s="44">
        <f>IF(_calc!$E$449="","",IF(ISNUMBER(INDEX('Assets'!$G$4:$G$503,_calc!$E$449)),TEXT(INDEX('Assets'!$G$4:$G$503,_calc!$E$449),"yyyy-mm-dd"),""))</f>
        <v/>
      </c>
      <c r="C447" s="44">
        <f>IF(_calc!$E$449="","","Inspection")</f>
        <v/>
      </c>
      <c r="D447" s="44">
        <f>IF(_calc!$E$449="","",IF(ISNUMBER(INDEX('Assets'!$F$4:$F$503,_calc!$E$449)),TEXT(INDEX('Assets'!$F$4:$F$503,_calc!$E$449),"yyyy-mm-dd"),""))</f>
        <v/>
      </c>
      <c r="E447" s="44">
        <f>IF(_calc!$E$449="","",IF(LEN(INDEX('Assets'!$O$4:$O$503,_calc!$E$449))=0,"",INDEX('Assets'!$O$4:$O$503,_calc!$E$449)))</f>
        <v/>
      </c>
      <c r="F447" s="44">
        <f>IF(_calc!$E$449="","",TRIM(IF(LEN(IF(LEN(INDEX('Assets'!$B$4:$B$503,_calc!$E$449))=0,"",INDEX('Assets'!$B$4:$B$503,_calc!$E$449)))=0,"","Asset ID: "&amp;IF(LEN(INDEX('Assets'!$B$4:$B$503,_calc!$E$449))=0,"",INDEX('Assets'!$B$4:$B$503,_calc!$E$449))&amp;". ")&amp;IF(LEN(IF(LEN(INDEX('Assets'!$C$4:$C$503,_calc!$E$449))=0,"",INDEX('Assets'!$C$4:$C$503,_calc!$E$449)))=0,"","Location: "&amp;IF(LEN(INDEX('Assets'!$C$4:$C$503,_calc!$E$449))=0,"",INDEX('Assets'!$C$4:$C$503,_calc!$E$449))&amp;". ")&amp;IF(LEN(IF(LEN(INDEX('Assets'!$E$4:$E$503,_calc!$E$449))=0,"",INDEX('Assets'!$E$4:$E$503,_calc!$E$449)))=0,"","Every (months): "&amp;IF(LEN(INDEX('Assets'!$E$4:$E$503,_calc!$E$449))=0,"",INDEX('Assets'!$E$4:$E$503,_calc!$E$449))&amp;". ")&amp;IF(LEN(IF(LEN(INDEX('Assets'!$M$4:$M$503,_calc!$E$449))=0,"",INDEX('Assets'!$M$4:$M$503,_calc!$E$449)))=0,"","Last result: "&amp;IF(LEN(INDEX('Assets'!$M$4:$M$503,_calc!$E$449))=0,"",INDEX('Assets'!$M$4:$M$503,_calc!$E$449))&amp;". ")&amp;IF(LEN(IF(LEN(INDEX('Assets'!$Q$4:$Q$503,_calc!$E$449))=0,"",INDEX('Assets'!$Q$4:$Q$503,_calc!$E$449)))=0,"",IF(LEN(INDEX('Assets'!$Q$4:$Q$503,_calc!$E$449))=0,"",INDEX('Assets'!$Q$4:$Q$503,_calc!$E$449)))))</f>
        <v/>
      </c>
      <c r="G447" s="44">
        <f>IF(_calc!$E$449="","",IF(LEN(INDEX('Assets'!$P$4:$P$503,_calc!$E$449))=0,"",INDEX('Assets'!$P$4:$P$503,_calc!$E$449)))</f>
        <v/>
      </c>
      <c r="K447" s="44">
        <f>IF(_calc!$E$449="","",IF(LEN(INDEX('Assets'!$N$4:$N$503,_calc!$E$449))=0,"",INDEX('Assets'!$N$4:$N$503,_calc!$E$449)))</f>
        <v/>
      </c>
    </row>
    <row r="448">
      <c r="A448" s="44">
        <f>IF(_calc!$E$450="","",IF(LEN(INDEX('Assets'!$D$4:$D$503,_calc!$E$450))=0,"",INDEX('Assets'!$D$4:$D$503,_calc!$E$450))&amp;" – "&amp;IF(LEN(INDEX('Assets'!$A$4:$A$503,_calc!$E$450))=0,"",INDEX('Assets'!$A$4:$A$503,_calc!$E$450)))</f>
        <v/>
      </c>
      <c r="B448" s="44">
        <f>IF(_calc!$E$450="","",IF(ISNUMBER(INDEX('Assets'!$G$4:$G$503,_calc!$E$450)),TEXT(INDEX('Assets'!$G$4:$G$503,_calc!$E$450),"yyyy-mm-dd"),""))</f>
        <v/>
      </c>
      <c r="C448" s="44">
        <f>IF(_calc!$E$450="","","Inspection")</f>
        <v/>
      </c>
      <c r="D448" s="44">
        <f>IF(_calc!$E$450="","",IF(ISNUMBER(INDEX('Assets'!$F$4:$F$503,_calc!$E$450)),TEXT(INDEX('Assets'!$F$4:$F$503,_calc!$E$450),"yyyy-mm-dd"),""))</f>
        <v/>
      </c>
      <c r="E448" s="44">
        <f>IF(_calc!$E$450="","",IF(LEN(INDEX('Assets'!$O$4:$O$503,_calc!$E$450))=0,"",INDEX('Assets'!$O$4:$O$503,_calc!$E$450)))</f>
        <v/>
      </c>
      <c r="F448" s="44">
        <f>IF(_calc!$E$450="","",TRIM(IF(LEN(IF(LEN(INDEX('Assets'!$B$4:$B$503,_calc!$E$450))=0,"",INDEX('Assets'!$B$4:$B$503,_calc!$E$450)))=0,"","Asset ID: "&amp;IF(LEN(INDEX('Assets'!$B$4:$B$503,_calc!$E$450))=0,"",INDEX('Assets'!$B$4:$B$503,_calc!$E$450))&amp;". ")&amp;IF(LEN(IF(LEN(INDEX('Assets'!$C$4:$C$503,_calc!$E$450))=0,"",INDEX('Assets'!$C$4:$C$503,_calc!$E$450)))=0,"","Location: "&amp;IF(LEN(INDEX('Assets'!$C$4:$C$503,_calc!$E$450))=0,"",INDEX('Assets'!$C$4:$C$503,_calc!$E$450))&amp;". ")&amp;IF(LEN(IF(LEN(INDEX('Assets'!$E$4:$E$503,_calc!$E$450))=0,"",INDEX('Assets'!$E$4:$E$503,_calc!$E$450)))=0,"","Every (months): "&amp;IF(LEN(INDEX('Assets'!$E$4:$E$503,_calc!$E$450))=0,"",INDEX('Assets'!$E$4:$E$503,_calc!$E$450))&amp;". ")&amp;IF(LEN(IF(LEN(INDEX('Assets'!$M$4:$M$503,_calc!$E$450))=0,"",INDEX('Assets'!$M$4:$M$503,_calc!$E$450)))=0,"","Last result: "&amp;IF(LEN(INDEX('Assets'!$M$4:$M$503,_calc!$E$450))=0,"",INDEX('Assets'!$M$4:$M$503,_calc!$E$450))&amp;". ")&amp;IF(LEN(IF(LEN(INDEX('Assets'!$Q$4:$Q$503,_calc!$E$450))=0,"",INDEX('Assets'!$Q$4:$Q$503,_calc!$E$450)))=0,"",IF(LEN(INDEX('Assets'!$Q$4:$Q$503,_calc!$E$450))=0,"",INDEX('Assets'!$Q$4:$Q$503,_calc!$E$450)))))</f>
        <v/>
      </c>
      <c r="G448" s="44">
        <f>IF(_calc!$E$450="","",IF(LEN(INDEX('Assets'!$P$4:$P$503,_calc!$E$450))=0,"",INDEX('Assets'!$P$4:$P$503,_calc!$E$450)))</f>
        <v/>
      </c>
      <c r="K448" s="44">
        <f>IF(_calc!$E$450="","",IF(LEN(INDEX('Assets'!$N$4:$N$503,_calc!$E$450))=0,"",INDEX('Assets'!$N$4:$N$503,_calc!$E$450)))</f>
        <v/>
      </c>
    </row>
    <row r="449">
      <c r="A449" s="44">
        <f>IF(_calc!$E$451="","",IF(LEN(INDEX('Assets'!$D$4:$D$503,_calc!$E$451))=0,"",INDEX('Assets'!$D$4:$D$503,_calc!$E$451))&amp;" – "&amp;IF(LEN(INDEX('Assets'!$A$4:$A$503,_calc!$E$451))=0,"",INDEX('Assets'!$A$4:$A$503,_calc!$E$451)))</f>
        <v/>
      </c>
      <c r="B449" s="44">
        <f>IF(_calc!$E$451="","",IF(ISNUMBER(INDEX('Assets'!$G$4:$G$503,_calc!$E$451)),TEXT(INDEX('Assets'!$G$4:$G$503,_calc!$E$451),"yyyy-mm-dd"),""))</f>
        <v/>
      </c>
      <c r="C449" s="44">
        <f>IF(_calc!$E$451="","","Inspection")</f>
        <v/>
      </c>
      <c r="D449" s="44">
        <f>IF(_calc!$E$451="","",IF(ISNUMBER(INDEX('Assets'!$F$4:$F$503,_calc!$E$451)),TEXT(INDEX('Assets'!$F$4:$F$503,_calc!$E$451),"yyyy-mm-dd"),""))</f>
        <v/>
      </c>
      <c r="E449" s="44">
        <f>IF(_calc!$E$451="","",IF(LEN(INDEX('Assets'!$O$4:$O$503,_calc!$E$451))=0,"",INDEX('Assets'!$O$4:$O$503,_calc!$E$451)))</f>
        <v/>
      </c>
      <c r="F449" s="44">
        <f>IF(_calc!$E$451="","",TRIM(IF(LEN(IF(LEN(INDEX('Assets'!$B$4:$B$503,_calc!$E$451))=0,"",INDEX('Assets'!$B$4:$B$503,_calc!$E$451)))=0,"","Asset ID: "&amp;IF(LEN(INDEX('Assets'!$B$4:$B$503,_calc!$E$451))=0,"",INDEX('Assets'!$B$4:$B$503,_calc!$E$451))&amp;". ")&amp;IF(LEN(IF(LEN(INDEX('Assets'!$C$4:$C$503,_calc!$E$451))=0,"",INDEX('Assets'!$C$4:$C$503,_calc!$E$451)))=0,"","Location: "&amp;IF(LEN(INDEX('Assets'!$C$4:$C$503,_calc!$E$451))=0,"",INDEX('Assets'!$C$4:$C$503,_calc!$E$451))&amp;". ")&amp;IF(LEN(IF(LEN(INDEX('Assets'!$E$4:$E$503,_calc!$E$451))=0,"",INDEX('Assets'!$E$4:$E$503,_calc!$E$451)))=0,"","Every (months): "&amp;IF(LEN(INDEX('Assets'!$E$4:$E$503,_calc!$E$451))=0,"",INDEX('Assets'!$E$4:$E$503,_calc!$E$451))&amp;". ")&amp;IF(LEN(IF(LEN(INDEX('Assets'!$M$4:$M$503,_calc!$E$451))=0,"",INDEX('Assets'!$M$4:$M$503,_calc!$E$451)))=0,"","Last result: "&amp;IF(LEN(INDEX('Assets'!$M$4:$M$503,_calc!$E$451))=0,"",INDEX('Assets'!$M$4:$M$503,_calc!$E$451))&amp;". ")&amp;IF(LEN(IF(LEN(INDEX('Assets'!$Q$4:$Q$503,_calc!$E$451))=0,"",INDEX('Assets'!$Q$4:$Q$503,_calc!$E$451)))=0,"",IF(LEN(INDEX('Assets'!$Q$4:$Q$503,_calc!$E$451))=0,"",INDEX('Assets'!$Q$4:$Q$503,_calc!$E$451)))))</f>
        <v/>
      </c>
      <c r="G449" s="44">
        <f>IF(_calc!$E$451="","",IF(LEN(INDEX('Assets'!$P$4:$P$503,_calc!$E$451))=0,"",INDEX('Assets'!$P$4:$P$503,_calc!$E$451)))</f>
        <v/>
      </c>
      <c r="K449" s="44">
        <f>IF(_calc!$E$451="","",IF(LEN(INDEX('Assets'!$N$4:$N$503,_calc!$E$451))=0,"",INDEX('Assets'!$N$4:$N$503,_calc!$E$451)))</f>
        <v/>
      </c>
    </row>
    <row r="450">
      <c r="A450" s="44">
        <f>IF(_calc!$E$452="","",IF(LEN(INDEX('Assets'!$D$4:$D$503,_calc!$E$452))=0,"",INDEX('Assets'!$D$4:$D$503,_calc!$E$452))&amp;" – "&amp;IF(LEN(INDEX('Assets'!$A$4:$A$503,_calc!$E$452))=0,"",INDEX('Assets'!$A$4:$A$503,_calc!$E$452)))</f>
        <v/>
      </c>
      <c r="B450" s="44">
        <f>IF(_calc!$E$452="","",IF(ISNUMBER(INDEX('Assets'!$G$4:$G$503,_calc!$E$452)),TEXT(INDEX('Assets'!$G$4:$G$503,_calc!$E$452),"yyyy-mm-dd"),""))</f>
        <v/>
      </c>
      <c r="C450" s="44">
        <f>IF(_calc!$E$452="","","Inspection")</f>
        <v/>
      </c>
      <c r="D450" s="44">
        <f>IF(_calc!$E$452="","",IF(ISNUMBER(INDEX('Assets'!$F$4:$F$503,_calc!$E$452)),TEXT(INDEX('Assets'!$F$4:$F$503,_calc!$E$452),"yyyy-mm-dd"),""))</f>
        <v/>
      </c>
      <c r="E450" s="44">
        <f>IF(_calc!$E$452="","",IF(LEN(INDEX('Assets'!$O$4:$O$503,_calc!$E$452))=0,"",INDEX('Assets'!$O$4:$O$503,_calc!$E$452)))</f>
        <v/>
      </c>
      <c r="F450" s="44">
        <f>IF(_calc!$E$452="","",TRIM(IF(LEN(IF(LEN(INDEX('Assets'!$B$4:$B$503,_calc!$E$452))=0,"",INDEX('Assets'!$B$4:$B$503,_calc!$E$452)))=0,"","Asset ID: "&amp;IF(LEN(INDEX('Assets'!$B$4:$B$503,_calc!$E$452))=0,"",INDEX('Assets'!$B$4:$B$503,_calc!$E$452))&amp;". ")&amp;IF(LEN(IF(LEN(INDEX('Assets'!$C$4:$C$503,_calc!$E$452))=0,"",INDEX('Assets'!$C$4:$C$503,_calc!$E$452)))=0,"","Location: "&amp;IF(LEN(INDEX('Assets'!$C$4:$C$503,_calc!$E$452))=0,"",INDEX('Assets'!$C$4:$C$503,_calc!$E$452))&amp;". ")&amp;IF(LEN(IF(LEN(INDEX('Assets'!$E$4:$E$503,_calc!$E$452))=0,"",INDEX('Assets'!$E$4:$E$503,_calc!$E$452)))=0,"","Every (months): "&amp;IF(LEN(INDEX('Assets'!$E$4:$E$503,_calc!$E$452))=0,"",INDEX('Assets'!$E$4:$E$503,_calc!$E$452))&amp;". ")&amp;IF(LEN(IF(LEN(INDEX('Assets'!$M$4:$M$503,_calc!$E$452))=0,"",INDEX('Assets'!$M$4:$M$503,_calc!$E$452)))=0,"","Last result: "&amp;IF(LEN(INDEX('Assets'!$M$4:$M$503,_calc!$E$452))=0,"",INDEX('Assets'!$M$4:$M$503,_calc!$E$452))&amp;". ")&amp;IF(LEN(IF(LEN(INDEX('Assets'!$Q$4:$Q$503,_calc!$E$452))=0,"",INDEX('Assets'!$Q$4:$Q$503,_calc!$E$452)))=0,"",IF(LEN(INDEX('Assets'!$Q$4:$Q$503,_calc!$E$452))=0,"",INDEX('Assets'!$Q$4:$Q$503,_calc!$E$452)))))</f>
        <v/>
      </c>
      <c r="G450" s="44">
        <f>IF(_calc!$E$452="","",IF(LEN(INDEX('Assets'!$P$4:$P$503,_calc!$E$452))=0,"",INDEX('Assets'!$P$4:$P$503,_calc!$E$452)))</f>
        <v/>
      </c>
      <c r="K450" s="44">
        <f>IF(_calc!$E$452="","",IF(LEN(INDEX('Assets'!$N$4:$N$503,_calc!$E$452))=0,"",INDEX('Assets'!$N$4:$N$503,_calc!$E$452)))</f>
        <v/>
      </c>
    </row>
    <row r="451">
      <c r="A451" s="44">
        <f>IF(_calc!$E$453="","",IF(LEN(INDEX('Assets'!$D$4:$D$503,_calc!$E$453))=0,"",INDEX('Assets'!$D$4:$D$503,_calc!$E$453))&amp;" – "&amp;IF(LEN(INDEX('Assets'!$A$4:$A$503,_calc!$E$453))=0,"",INDEX('Assets'!$A$4:$A$503,_calc!$E$453)))</f>
        <v/>
      </c>
      <c r="B451" s="44">
        <f>IF(_calc!$E$453="","",IF(ISNUMBER(INDEX('Assets'!$G$4:$G$503,_calc!$E$453)),TEXT(INDEX('Assets'!$G$4:$G$503,_calc!$E$453),"yyyy-mm-dd"),""))</f>
        <v/>
      </c>
      <c r="C451" s="44">
        <f>IF(_calc!$E$453="","","Inspection")</f>
        <v/>
      </c>
      <c r="D451" s="44">
        <f>IF(_calc!$E$453="","",IF(ISNUMBER(INDEX('Assets'!$F$4:$F$503,_calc!$E$453)),TEXT(INDEX('Assets'!$F$4:$F$503,_calc!$E$453),"yyyy-mm-dd"),""))</f>
        <v/>
      </c>
      <c r="E451" s="44">
        <f>IF(_calc!$E$453="","",IF(LEN(INDEX('Assets'!$O$4:$O$503,_calc!$E$453))=0,"",INDEX('Assets'!$O$4:$O$503,_calc!$E$453)))</f>
        <v/>
      </c>
      <c r="F451" s="44">
        <f>IF(_calc!$E$453="","",TRIM(IF(LEN(IF(LEN(INDEX('Assets'!$B$4:$B$503,_calc!$E$453))=0,"",INDEX('Assets'!$B$4:$B$503,_calc!$E$453)))=0,"","Asset ID: "&amp;IF(LEN(INDEX('Assets'!$B$4:$B$503,_calc!$E$453))=0,"",INDEX('Assets'!$B$4:$B$503,_calc!$E$453))&amp;". ")&amp;IF(LEN(IF(LEN(INDEX('Assets'!$C$4:$C$503,_calc!$E$453))=0,"",INDEX('Assets'!$C$4:$C$503,_calc!$E$453)))=0,"","Location: "&amp;IF(LEN(INDEX('Assets'!$C$4:$C$503,_calc!$E$453))=0,"",INDEX('Assets'!$C$4:$C$503,_calc!$E$453))&amp;". ")&amp;IF(LEN(IF(LEN(INDEX('Assets'!$E$4:$E$503,_calc!$E$453))=0,"",INDEX('Assets'!$E$4:$E$503,_calc!$E$453)))=0,"","Every (months): "&amp;IF(LEN(INDEX('Assets'!$E$4:$E$503,_calc!$E$453))=0,"",INDEX('Assets'!$E$4:$E$503,_calc!$E$453))&amp;". ")&amp;IF(LEN(IF(LEN(INDEX('Assets'!$M$4:$M$503,_calc!$E$453))=0,"",INDEX('Assets'!$M$4:$M$503,_calc!$E$453)))=0,"","Last result: "&amp;IF(LEN(INDEX('Assets'!$M$4:$M$503,_calc!$E$453))=0,"",INDEX('Assets'!$M$4:$M$503,_calc!$E$453))&amp;". ")&amp;IF(LEN(IF(LEN(INDEX('Assets'!$Q$4:$Q$503,_calc!$E$453))=0,"",INDEX('Assets'!$Q$4:$Q$503,_calc!$E$453)))=0,"",IF(LEN(INDEX('Assets'!$Q$4:$Q$503,_calc!$E$453))=0,"",INDEX('Assets'!$Q$4:$Q$503,_calc!$E$453)))))</f>
        <v/>
      </c>
      <c r="G451" s="44">
        <f>IF(_calc!$E$453="","",IF(LEN(INDEX('Assets'!$P$4:$P$503,_calc!$E$453))=0,"",INDEX('Assets'!$P$4:$P$503,_calc!$E$453)))</f>
        <v/>
      </c>
      <c r="K451" s="44">
        <f>IF(_calc!$E$453="","",IF(LEN(INDEX('Assets'!$N$4:$N$503,_calc!$E$453))=0,"",INDEX('Assets'!$N$4:$N$503,_calc!$E$453)))</f>
        <v/>
      </c>
    </row>
    <row r="452">
      <c r="A452" s="44">
        <f>IF(_calc!$E$454="","",IF(LEN(INDEX('Assets'!$D$4:$D$503,_calc!$E$454))=0,"",INDEX('Assets'!$D$4:$D$503,_calc!$E$454))&amp;" – "&amp;IF(LEN(INDEX('Assets'!$A$4:$A$503,_calc!$E$454))=0,"",INDEX('Assets'!$A$4:$A$503,_calc!$E$454)))</f>
        <v/>
      </c>
      <c r="B452" s="44">
        <f>IF(_calc!$E$454="","",IF(ISNUMBER(INDEX('Assets'!$G$4:$G$503,_calc!$E$454)),TEXT(INDEX('Assets'!$G$4:$G$503,_calc!$E$454),"yyyy-mm-dd"),""))</f>
        <v/>
      </c>
      <c r="C452" s="44">
        <f>IF(_calc!$E$454="","","Inspection")</f>
        <v/>
      </c>
      <c r="D452" s="44">
        <f>IF(_calc!$E$454="","",IF(ISNUMBER(INDEX('Assets'!$F$4:$F$503,_calc!$E$454)),TEXT(INDEX('Assets'!$F$4:$F$503,_calc!$E$454),"yyyy-mm-dd"),""))</f>
        <v/>
      </c>
      <c r="E452" s="44">
        <f>IF(_calc!$E$454="","",IF(LEN(INDEX('Assets'!$O$4:$O$503,_calc!$E$454))=0,"",INDEX('Assets'!$O$4:$O$503,_calc!$E$454)))</f>
        <v/>
      </c>
      <c r="F452" s="44">
        <f>IF(_calc!$E$454="","",TRIM(IF(LEN(IF(LEN(INDEX('Assets'!$B$4:$B$503,_calc!$E$454))=0,"",INDEX('Assets'!$B$4:$B$503,_calc!$E$454)))=0,"","Asset ID: "&amp;IF(LEN(INDEX('Assets'!$B$4:$B$503,_calc!$E$454))=0,"",INDEX('Assets'!$B$4:$B$503,_calc!$E$454))&amp;". ")&amp;IF(LEN(IF(LEN(INDEX('Assets'!$C$4:$C$503,_calc!$E$454))=0,"",INDEX('Assets'!$C$4:$C$503,_calc!$E$454)))=0,"","Location: "&amp;IF(LEN(INDEX('Assets'!$C$4:$C$503,_calc!$E$454))=0,"",INDEX('Assets'!$C$4:$C$503,_calc!$E$454))&amp;". ")&amp;IF(LEN(IF(LEN(INDEX('Assets'!$E$4:$E$503,_calc!$E$454))=0,"",INDEX('Assets'!$E$4:$E$503,_calc!$E$454)))=0,"","Every (months): "&amp;IF(LEN(INDEX('Assets'!$E$4:$E$503,_calc!$E$454))=0,"",INDEX('Assets'!$E$4:$E$503,_calc!$E$454))&amp;". ")&amp;IF(LEN(IF(LEN(INDEX('Assets'!$M$4:$M$503,_calc!$E$454))=0,"",INDEX('Assets'!$M$4:$M$503,_calc!$E$454)))=0,"","Last result: "&amp;IF(LEN(INDEX('Assets'!$M$4:$M$503,_calc!$E$454))=0,"",INDEX('Assets'!$M$4:$M$503,_calc!$E$454))&amp;". ")&amp;IF(LEN(IF(LEN(INDEX('Assets'!$Q$4:$Q$503,_calc!$E$454))=0,"",INDEX('Assets'!$Q$4:$Q$503,_calc!$E$454)))=0,"",IF(LEN(INDEX('Assets'!$Q$4:$Q$503,_calc!$E$454))=0,"",INDEX('Assets'!$Q$4:$Q$503,_calc!$E$454)))))</f>
        <v/>
      </c>
      <c r="G452" s="44">
        <f>IF(_calc!$E$454="","",IF(LEN(INDEX('Assets'!$P$4:$P$503,_calc!$E$454))=0,"",INDEX('Assets'!$P$4:$P$503,_calc!$E$454)))</f>
        <v/>
      </c>
      <c r="K452" s="44">
        <f>IF(_calc!$E$454="","",IF(LEN(INDEX('Assets'!$N$4:$N$503,_calc!$E$454))=0,"",INDEX('Assets'!$N$4:$N$503,_calc!$E$454)))</f>
        <v/>
      </c>
    </row>
    <row r="453">
      <c r="A453" s="44">
        <f>IF(_calc!$E$455="","",IF(LEN(INDEX('Assets'!$D$4:$D$503,_calc!$E$455))=0,"",INDEX('Assets'!$D$4:$D$503,_calc!$E$455))&amp;" – "&amp;IF(LEN(INDEX('Assets'!$A$4:$A$503,_calc!$E$455))=0,"",INDEX('Assets'!$A$4:$A$503,_calc!$E$455)))</f>
        <v/>
      </c>
      <c r="B453" s="44">
        <f>IF(_calc!$E$455="","",IF(ISNUMBER(INDEX('Assets'!$G$4:$G$503,_calc!$E$455)),TEXT(INDEX('Assets'!$G$4:$G$503,_calc!$E$455),"yyyy-mm-dd"),""))</f>
        <v/>
      </c>
      <c r="C453" s="44">
        <f>IF(_calc!$E$455="","","Inspection")</f>
        <v/>
      </c>
      <c r="D453" s="44">
        <f>IF(_calc!$E$455="","",IF(ISNUMBER(INDEX('Assets'!$F$4:$F$503,_calc!$E$455)),TEXT(INDEX('Assets'!$F$4:$F$503,_calc!$E$455),"yyyy-mm-dd"),""))</f>
        <v/>
      </c>
      <c r="E453" s="44">
        <f>IF(_calc!$E$455="","",IF(LEN(INDEX('Assets'!$O$4:$O$503,_calc!$E$455))=0,"",INDEX('Assets'!$O$4:$O$503,_calc!$E$455)))</f>
        <v/>
      </c>
      <c r="F453" s="44">
        <f>IF(_calc!$E$455="","",TRIM(IF(LEN(IF(LEN(INDEX('Assets'!$B$4:$B$503,_calc!$E$455))=0,"",INDEX('Assets'!$B$4:$B$503,_calc!$E$455)))=0,"","Asset ID: "&amp;IF(LEN(INDEX('Assets'!$B$4:$B$503,_calc!$E$455))=0,"",INDEX('Assets'!$B$4:$B$503,_calc!$E$455))&amp;". ")&amp;IF(LEN(IF(LEN(INDEX('Assets'!$C$4:$C$503,_calc!$E$455))=0,"",INDEX('Assets'!$C$4:$C$503,_calc!$E$455)))=0,"","Location: "&amp;IF(LEN(INDEX('Assets'!$C$4:$C$503,_calc!$E$455))=0,"",INDEX('Assets'!$C$4:$C$503,_calc!$E$455))&amp;". ")&amp;IF(LEN(IF(LEN(INDEX('Assets'!$E$4:$E$503,_calc!$E$455))=0,"",INDEX('Assets'!$E$4:$E$503,_calc!$E$455)))=0,"","Every (months): "&amp;IF(LEN(INDEX('Assets'!$E$4:$E$503,_calc!$E$455))=0,"",INDEX('Assets'!$E$4:$E$503,_calc!$E$455))&amp;". ")&amp;IF(LEN(IF(LEN(INDEX('Assets'!$M$4:$M$503,_calc!$E$455))=0,"",INDEX('Assets'!$M$4:$M$503,_calc!$E$455)))=0,"","Last result: "&amp;IF(LEN(INDEX('Assets'!$M$4:$M$503,_calc!$E$455))=0,"",INDEX('Assets'!$M$4:$M$503,_calc!$E$455))&amp;". ")&amp;IF(LEN(IF(LEN(INDEX('Assets'!$Q$4:$Q$503,_calc!$E$455))=0,"",INDEX('Assets'!$Q$4:$Q$503,_calc!$E$455)))=0,"",IF(LEN(INDEX('Assets'!$Q$4:$Q$503,_calc!$E$455))=0,"",INDEX('Assets'!$Q$4:$Q$503,_calc!$E$455)))))</f>
        <v/>
      </c>
      <c r="G453" s="44">
        <f>IF(_calc!$E$455="","",IF(LEN(INDEX('Assets'!$P$4:$P$503,_calc!$E$455))=0,"",INDEX('Assets'!$P$4:$P$503,_calc!$E$455)))</f>
        <v/>
      </c>
      <c r="K453" s="44">
        <f>IF(_calc!$E$455="","",IF(LEN(INDEX('Assets'!$N$4:$N$503,_calc!$E$455))=0,"",INDEX('Assets'!$N$4:$N$503,_calc!$E$455)))</f>
        <v/>
      </c>
    </row>
    <row r="454">
      <c r="A454" s="44">
        <f>IF(_calc!$E$456="","",IF(LEN(INDEX('Assets'!$D$4:$D$503,_calc!$E$456))=0,"",INDEX('Assets'!$D$4:$D$503,_calc!$E$456))&amp;" – "&amp;IF(LEN(INDEX('Assets'!$A$4:$A$503,_calc!$E$456))=0,"",INDEX('Assets'!$A$4:$A$503,_calc!$E$456)))</f>
        <v/>
      </c>
      <c r="B454" s="44">
        <f>IF(_calc!$E$456="","",IF(ISNUMBER(INDEX('Assets'!$G$4:$G$503,_calc!$E$456)),TEXT(INDEX('Assets'!$G$4:$G$503,_calc!$E$456),"yyyy-mm-dd"),""))</f>
        <v/>
      </c>
      <c r="C454" s="44">
        <f>IF(_calc!$E$456="","","Inspection")</f>
        <v/>
      </c>
      <c r="D454" s="44">
        <f>IF(_calc!$E$456="","",IF(ISNUMBER(INDEX('Assets'!$F$4:$F$503,_calc!$E$456)),TEXT(INDEX('Assets'!$F$4:$F$503,_calc!$E$456),"yyyy-mm-dd"),""))</f>
        <v/>
      </c>
      <c r="E454" s="44">
        <f>IF(_calc!$E$456="","",IF(LEN(INDEX('Assets'!$O$4:$O$503,_calc!$E$456))=0,"",INDEX('Assets'!$O$4:$O$503,_calc!$E$456)))</f>
        <v/>
      </c>
      <c r="F454" s="44">
        <f>IF(_calc!$E$456="","",TRIM(IF(LEN(IF(LEN(INDEX('Assets'!$B$4:$B$503,_calc!$E$456))=0,"",INDEX('Assets'!$B$4:$B$503,_calc!$E$456)))=0,"","Asset ID: "&amp;IF(LEN(INDEX('Assets'!$B$4:$B$503,_calc!$E$456))=0,"",INDEX('Assets'!$B$4:$B$503,_calc!$E$456))&amp;". ")&amp;IF(LEN(IF(LEN(INDEX('Assets'!$C$4:$C$503,_calc!$E$456))=0,"",INDEX('Assets'!$C$4:$C$503,_calc!$E$456)))=0,"","Location: "&amp;IF(LEN(INDEX('Assets'!$C$4:$C$503,_calc!$E$456))=0,"",INDEX('Assets'!$C$4:$C$503,_calc!$E$456))&amp;". ")&amp;IF(LEN(IF(LEN(INDEX('Assets'!$E$4:$E$503,_calc!$E$456))=0,"",INDEX('Assets'!$E$4:$E$503,_calc!$E$456)))=0,"","Every (months): "&amp;IF(LEN(INDEX('Assets'!$E$4:$E$503,_calc!$E$456))=0,"",INDEX('Assets'!$E$4:$E$503,_calc!$E$456))&amp;". ")&amp;IF(LEN(IF(LEN(INDEX('Assets'!$M$4:$M$503,_calc!$E$456))=0,"",INDEX('Assets'!$M$4:$M$503,_calc!$E$456)))=0,"","Last result: "&amp;IF(LEN(INDEX('Assets'!$M$4:$M$503,_calc!$E$456))=0,"",INDEX('Assets'!$M$4:$M$503,_calc!$E$456))&amp;". ")&amp;IF(LEN(IF(LEN(INDEX('Assets'!$Q$4:$Q$503,_calc!$E$456))=0,"",INDEX('Assets'!$Q$4:$Q$503,_calc!$E$456)))=0,"",IF(LEN(INDEX('Assets'!$Q$4:$Q$503,_calc!$E$456))=0,"",INDEX('Assets'!$Q$4:$Q$503,_calc!$E$456)))))</f>
        <v/>
      </c>
      <c r="G454" s="44">
        <f>IF(_calc!$E$456="","",IF(LEN(INDEX('Assets'!$P$4:$P$503,_calc!$E$456))=0,"",INDEX('Assets'!$P$4:$P$503,_calc!$E$456)))</f>
        <v/>
      </c>
      <c r="K454" s="44">
        <f>IF(_calc!$E$456="","",IF(LEN(INDEX('Assets'!$N$4:$N$503,_calc!$E$456))=0,"",INDEX('Assets'!$N$4:$N$503,_calc!$E$456)))</f>
        <v/>
      </c>
    </row>
    <row r="455">
      <c r="A455" s="44">
        <f>IF(_calc!$E$457="","",IF(LEN(INDEX('Assets'!$D$4:$D$503,_calc!$E$457))=0,"",INDEX('Assets'!$D$4:$D$503,_calc!$E$457))&amp;" – "&amp;IF(LEN(INDEX('Assets'!$A$4:$A$503,_calc!$E$457))=0,"",INDEX('Assets'!$A$4:$A$503,_calc!$E$457)))</f>
        <v/>
      </c>
      <c r="B455" s="44">
        <f>IF(_calc!$E$457="","",IF(ISNUMBER(INDEX('Assets'!$G$4:$G$503,_calc!$E$457)),TEXT(INDEX('Assets'!$G$4:$G$503,_calc!$E$457),"yyyy-mm-dd"),""))</f>
        <v/>
      </c>
      <c r="C455" s="44">
        <f>IF(_calc!$E$457="","","Inspection")</f>
        <v/>
      </c>
      <c r="D455" s="44">
        <f>IF(_calc!$E$457="","",IF(ISNUMBER(INDEX('Assets'!$F$4:$F$503,_calc!$E$457)),TEXT(INDEX('Assets'!$F$4:$F$503,_calc!$E$457),"yyyy-mm-dd"),""))</f>
        <v/>
      </c>
      <c r="E455" s="44">
        <f>IF(_calc!$E$457="","",IF(LEN(INDEX('Assets'!$O$4:$O$503,_calc!$E$457))=0,"",INDEX('Assets'!$O$4:$O$503,_calc!$E$457)))</f>
        <v/>
      </c>
      <c r="F455" s="44">
        <f>IF(_calc!$E$457="","",TRIM(IF(LEN(IF(LEN(INDEX('Assets'!$B$4:$B$503,_calc!$E$457))=0,"",INDEX('Assets'!$B$4:$B$503,_calc!$E$457)))=0,"","Asset ID: "&amp;IF(LEN(INDEX('Assets'!$B$4:$B$503,_calc!$E$457))=0,"",INDEX('Assets'!$B$4:$B$503,_calc!$E$457))&amp;". ")&amp;IF(LEN(IF(LEN(INDEX('Assets'!$C$4:$C$503,_calc!$E$457))=0,"",INDEX('Assets'!$C$4:$C$503,_calc!$E$457)))=0,"","Location: "&amp;IF(LEN(INDEX('Assets'!$C$4:$C$503,_calc!$E$457))=0,"",INDEX('Assets'!$C$4:$C$503,_calc!$E$457))&amp;". ")&amp;IF(LEN(IF(LEN(INDEX('Assets'!$E$4:$E$503,_calc!$E$457))=0,"",INDEX('Assets'!$E$4:$E$503,_calc!$E$457)))=0,"","Every (months): "&amp;IF(LEN(INDEX('Assets'!$E$4:$E$503,_calc!$E$457))=0,"",INDEX('Assets'!$E$4:$E$503,_calc!$E$457))&amp;". ")&amp;IF(LEN(IF(LEN(INDEX('Assets'!$M$4:$M$503,_calc!$E$457))=0,"",INDEX('Assets'!$M$4:$M$503,_calc!$E$457)))=0,"","Last result: "&amp;IF(LEN(INDEX('Assets'!$M$4:$M$503,_calc!$E$457))=0,"",INDEX('Assets'!$M$4:$M$503,_calc!$E$457))&amp;". ")&amp;IF(LEN(IF(LEN(INDEX('Assets'!$Q$4:$Q$503,_calc!$E$457))=0,"",INDEX('Assets'!$Q$4:$Q$503,_calc!$E$457)))=0,"",IF(LEN(INDEX('Assets'!$Q$4:$Q$503,_calc!$E$457))=0,"",INDEX('Assets'!$Q$4:$Q$503,_calc!$E$457)))))</f>
        <v/>
      </c>
      <c r="G455" s="44">
        <f>IF(_calc!$E$457="","",IF(LEN(INDEX('Assets'!$P$4:$P$503,_calc!$E$457))=0,"",INDEX('Assets'!$P$4:$P$503,_calc!$E$457)))</f>
        <v/>
      </c>
      <c r="K455" s="44">
        <f>IF(_calc!$E$457="","",IF(LEN(INDEX('Assets'!$N$4:$N$503,_calc!$E$457))=0,"",INDEX('Assets'!$N$4:$N$503,_calc!$E$457)))</f>
        <v/>
      </c>
    </row>
    <row r="456">
      <c r="A456" s="44">
        <f>IF(_calc!$E$458="","",IF(LEN(INDEX('Assets'!$D$4:$D$503,_calc!$E$458))=0,"",INDEX('Assets'!$D$4:$D$503,_calc!$E$458))&amp;" – "&amp;IF(LEN(INDEX('Assets'!$A$4:$A$503,_calc!$E$458))=0,"",INDEX('Assets'!$A$4:$A$503,_calc!$E$458)))</f>
        <v/>
      </c>
      <c r="B456" s="44">
        <f>IF(_calc!$E$458="","",IF(ISNUMBER(INDEX('Assets'!$G$4:$G$503,_calc!$E$458)),TEXT(INDEX('Assets'!$G$4:$G$503,_calc!$E$458),"yyyy-mm-dd"),""))</f>
        <v/>
      </c>
      <c r="C456" s="44">
        <f>IF(_calc!$E$458="","","Inspection")</f>
        <v/>
      </c>
      <c r="D456" s="44">
        <f>IF(_calc!$E$458="","",IF(ISNUMBER(INDEX('Assets'!$F$4:$F$503,_calc!$E$458)),TEXT(INDEX('Assets'!$F$4:$F$503,_calc!$E$458),"yyyy-mm-dd"),""))</f>
        <v/>
      </c>
      <c r="E456" s="44">
        <f>IF(_calc!$E$458="","",IF(LEN(INDEX('Assets'!$O$4:$O$503,_calc!$E$458))=0,"",INDEX('Assets'!$O$4:$O$503,_calc!$E$458)))</f>
        <v/>
      </c>
      <c r="F456" s="44">
        <f>IF(_calc!$E$458="","",TRIM(IF(LEN(IF(LEN(INDEX('Assets'!$B$4:$B$503,_calc!$E$458))=0,"",INDEX('Assets'!$B$4:$B$503,_calc!$E$458)))=0,"","Asset ID: "&amp;IF(LEN(INDEX('Assets'!$B$4:$B$503,_calc!$E$458))=0,"",INDEX('Assets'!$B$4:$B$503,_calc!$E$458))&amp;". ")&amp;IF(LEN(IF(LEN(INDEX('Assets'!$C$4:$C$503,_calc!$E$458))=0,"",INDEX('Assets'!$C$4:$C$503,_calc!$E$458)))=0,"","Location: "&amp;IF(LEN(INDEX('Assets'!$C$4:$C$503,_calc!$E$458))=0,"",INDEX('Assets'!$C$4:$C$503,_calc!$E$458))&amp;". ")&amp;IF(LEN(IF(LEN(INDEX('Assets'!$E$4:$E$503,_calc!$E$458))=0,"",INDEX('Assets'!$E$4:$E$503,_calc!$E$458)))=0,"","Every (months): "&amp;IF(LEN(INDEX('Assets'!$E$4:$E$503,_calc!$E$458))=0,"",INDEX('Assets'!$E$4:$E$503,_calc!$E$458))&amp;". ")&amp;IF(LEN(IF(LEN(INDEX('Assets'!$M$4:$M$503,_calc!$E$458))=0,"",INDEX('Assets'!$M$4:$M$503,_calc!$E$458)))=0,"","Last result: "&amp;IF(LEN(INDEX('Assets'!$M$4:$M$503,_calc!$E$458))=0,"",INDEX('Assets'!$M$4:$M$503,_calc!$E$458))&amp;". ")&amp;IF(LEN(IF(LEN(INDEX('Assets'!$Q$4:$Q$503,_calc!$E$458))=0,"",INDEX('Assets'!$Q$4:$Q$503,_calc!$E$458)))=0,"",IF(LEN(INDEX('Assets'!$Q$4:$Q$503,_calc!$E$458))=0,"",INDEX('Assets'!$Q$4:$Q$503,_calc!$E$458)))))</f>
        <v/>
      </c>
      <c r="G456" s="44">
        <f>IF(_calc!$E$458="","",IF(LEN(INDEX('Assets'!$P$4:$P$503,_calc!$E$458))=0,"",INDEX('Assets'!$P$4:$P$503,_calc!$E$458)))</f>
        <v/>
      </c>
      <c r="K456" s="44">
        <f>IF(_calc!$E$458="","",IF(LEN(INDEX('Assets'!$N$4:$N$503,_calc!$E$458))=0,"",INDEX('Assets'!$N$4:$N$503,_calc!$E$458)))</f>
        <v/>
      </c>
    </row>
    <row r="457">
      <c r="A457" s="44">
        <f>IF(_calc!$E$459="","",IF(LEN(INDEX('Assets'!$D$4:$D$503,_calc!$E$459))=0,"",INDEX('Assets'!$D$4:$D$503,_calc!$E$459))&amp;" – "&amp;IF(LEN(INDEX('Assets'!$A$4:$A$503,_calc!$E$459))=0,"",INDEX('Assets'!$A$4:$A$503,_calc!$E$459)))</f>
        <v/>
      </c>
      <c r="B457" s="44">
        <f>IF(_calc!$E$459="","",IF(ISNUMBER(INDEX('Assets'!$G$4:$G$503,_calc!$E$459)),TEXT(INDEX('Assets'!$G$4:$G$503,_calc!$E$459),"yyyy-mm-dd"),""))</f>
        <v/>
      </c>
      <c r="C457" s="44">
        <f>IF(_calc!$E$459="","","Inspection")</f>
        <v/>
      </c>
      <c r="D457" s="44">
        <f>IF(_calc!$E$459="","",IF(ISNUMBER(INDEX('Assets'!$F$4:$F$503,_calc!$E$459)),TEXT(INDEX('Assets'!$F$4:$F$503,_calc!$E$459),"yyyy-mm-dd"),""))</f>
        <v/>
      </c>
      <c r="E457" s="44">
        <f>IF(_calc!$E$459="","",IF(LEN(INDEX('Assets'!$O$4:$O$503,_calc!$E$459))=0,"",INDEX('Assets'!$O$4:$O$503,_calc!$E$459)))</f>
        <v/>
      </c>
      <c r="F457" s="44">
        <f>IF(_calc!$E$459="","",TRIM(IF(LEN(IF(LEN(INDEX('Assets'!$B$4:$B$503,_calc!$E$459))=0,"",INDEX('Assets'!$B$4:$B$503,_calc!$E$459)))=0,"","Asset ID: "&amp;IF(LEN(INDEX('Assets'!$B$4:$B$503,_calc!$E$459))=0,"",INDEX('Assets'!$B$4:$B$503,_calc!$E$459))&amp;". ")&amp;IF(LEN(IF(LEN(INDEX('Assets'!$C$4:$C$503,_calc!$E$459))=0,"",INDEX('Assets'!$C$4:$C$503,_calc!$E$459)))=0,"","Location: "&amp;IF(LEN(INDEX('Assets'!$C$4:$C$503,_calc!$E$459))=0,"",INDEX('Assets'!$C$4:$C$503,_calc!$E$459))&amp;". ")&amp;IF(LEN(IF(LEN(INDEX('Assets'!$E$4:$E$503,_calc!$E$459))=0,"",INDEX('Assets'!$E$4:$E$503,_calc!$E$459)))=0,"","Every (months): "&amp;IF(LEN(INDEX('Assets'!$E$4:$E$503,_calc!$E$459))=0,"",INDEX('Assets'!$E$4:$E$503,_calc!$E$459))&amp;". ")&amp;IF(LEN(IF(LEN(INDEX('Assets'!$M$4:$M$503,_calc!$E$459))=0,"",INDEX('Assets'!$M$4:$M$503,_calc!$E$459)))=0,"","Last result: "&amp;IF(LEN(INDEX('Assets'!$M$4:$M$503,_calc!$E$459))=0,"",INDEX('Assets'!$M$4:$M$503,_calc!$E$459))&amp;". ")&amp;IF(LEN(IF(LEN(INDEX('Assets'!$Q$4:$Q$503,_calc!$E$459))=0,"",INDEX('Assets'!$Q$4:$Q$503,_calc!$E$459)))=0,"",IF(LEN(INDEX('Assets'!$Q$4:$Q$503,_calc!$E$459))=0,"",INDEX('Assets'!$Q$4:$Q$503,_calc!$E$459)))))</f>
        <v/>
      </c>
      <c r="G457" s="44">
        <f>IF(_calc!$E$459="","",IF(LEN(INDEX('Assets'!$P$4:$P$503,_calc!$E$459))=0,"",INDEX('Assets'!$P$4:$P$503,_calc!$E$459)))</f>
        <v/>
      </c>
      <c r="K457" s="44">
        <f>IF(_calc!$E$459="","",IF(LEN(INDEX('Assets'!$N$4:$N$503,_calc!$E$459))=0,"",INDEX('Assets'!$N$4:$N$503,_calc!$E$459)))</f>
        <v/>
      </c>
    </row>
    <row r="458">
      <c r="A458" s="44">
        <f>IF(_calc!$E$460="","",IF(LEN(INDEX('Assets'!$D$4:$D$503,_calc!$E$460))=0,"",INDEX('Assets'!$D$4:$D$503,_calc!$E$460))&amp;" – "&amp;IF(LEN(INDEX('Assets'!$A$4:$A$503,_calc!$E$460))=0,"",INDEX('Assets'!$A$4:$A$503,_calc!$E$460)))</f>
        <v/>
      </c>
      <c r="B458" s="44">
        <f>IF(_calc!$E$460="","",IF(ISNUMBER(INDEX('Assets'!$G$4:$G$503,_calc!$E$460)),TEXT(INDEX('Assets'!$G$4:$G$503,_calc!$E$460),"yyyy-mm-dd"),""))</f>
        <v/>
      </c>
      <c r="C458" s="44">
        <f>IF(_calc!$E$460="","","Inspection")</f>
        <v/>
      </c>
      <c r="D458" s="44">
        <f>IF(_calc!$E$460="","",IF(ISNUMBER(INDEX('Assets'!$F$4:$F$503,_calc!$E$460)),TEXT(INDEX('Assets'!$F$4:$F$503,_calc!$E$460),"yyyy-mm-dd"),""))</f>
        <v/>
      </c>
      <c r="E458" s="44">
        <f>IF(_calc!$E$460="","",IF(LEN(INDEX('Assets'!$O$4:$O$503,_calc!$E$460))=0,"",INDEX('Assets'!$O$4:$O$503,_calc!$E$460)))</f>
        <v/>
      </c>
      <c r="F458" s="44">
        <f>IF(_calc!$E$460="","",TRIM(IF(LEN(IF(LEN(INDEX('Assets'!$B$4:$B$503,_calc!$E$460))=0,"",INDEX('Assets'!$B$4:$B$503,_calc!$E$460)))=0,"","Asset ID: "&amp;IF(LEN(INDEX('Assets'!$B$4:$B$503,_calc!$E$460))=0,"",INDEX('Assets'!$B$4:$B$503,_calc!$E$460))&amp;". ")&amp;IF(LEN(IF(LEN(INDEX('Assets'!$C$4:$C$503,_calc!$E$460))=0,"",INDEX('Assets'!$C$4:$C$503,_calc!$E$460)))=0,"","Location: "&amp;IF(LEN(INDEX('Assets'!$C$4:$C$503,_calc!$E$460))=0,"",INDEX('Assets'!$C$4:$C$503,_calc!$E$460))&amp;". ")&amp;IF(LEN(IF(LEN(INDEX('Assets'!$E$4:$E$503,_calc!$E$460))=0,"",INDEX('Assets'!$E$4:$E$503,_calc!$E$460)))=0,"","Every (months): "&amp;IF(LEN(INDEX('Assets'!$E$4:$E$503,_calc!$E$460))=0,"",INDEX('Assets'!$E$4:$E$503,_calc!$E$460))&amp;". ")&amp;IF(LEN(IF(LEN(INDEX('Assets'!$M$4:$M$503,_calc!$E$460))=0,"",INDEX('Assets'!$M$4:$M$503,_calc!$E$460)))=0,"","Last result: "&amp;IF(LEN(INDEX('Assets'!$M$4:$M$503,_calc!$E$460))=0,"",INDEX('Assets'!$M$4:$M$503,_calc!$E$460))&amp;". ")&amp;IF(LEN(IF(LEN(INDEX('Assets'!$Q$4:$Q$503,_calc!$E$460))=0,"",INDEX('Assets'!$Q$4:$Q$503,_calc!$E$460)))=0,"",IF(LEN(INDEX('Assets'!$Q$4:$Q$503,_calc!$E$460))=0,"",INDEX('Assets'!$Q$4:$Q$503,_calc!$E$460)))))</f>
        <v/>
      </c>
      <c r="G458" s="44">
        <f>IF(_calc!$E$460="","",IF(LEN(INDEX('Assets'!$P$4:$P$503,_calc!$E$460))=0,"",INDEX('Assets'!$P$4:$P$503,_calc!$E$460)))</f>
        <v/>
      </c>
      <c r="K458" s="44">
        <f>IF(_calc!$E$460="","",IF(LEN(INDEX('Assets'!$N$4:$N$503,_calc!$E$460))=0,"",INDEX('Assets'!$N$4:$N$503,_calc!$E$460)))</f>
        <v/>
      </c>
    </row>
    <row r="459">
      <c r="A459" s="44">
        <f>IF(_calc!$E$461="","",IF(LEN(INDEX('Assets'!$D$4:$D$503,_calc!$E$461))=0,"",INDEX('Assets'!$D$4:$D$503,_calc!$E$461))&amp;" – "&amp;IF(LEN(INDEX('Assets'!$A$4:$A$503,_calc!$E$461))=0,"",INDEX('Assets'!$A$4:$A$503,_calc!$E$461)))</f>
        <v/>
      </c>
      <c r="B459" s="44">
        <f>IF(_calc!$E$461="","",IF(ISNUMBER(INDEX('Assets'!$G$4:$G$503,_calc!$E$461)),TEXT(INDEX('Assets'!$G$4:$G$503,_calc!$E$461),"yyyy-mm-dd"),""))</f>
        <v/>
      </c>
      <c r="C459" s="44">
        <f>IF(_calc!$E$461="","","Inspection")</f>
        <v/>
      </c>
      <c r="D459" s="44">
        <f>IF(_calc!$E$461="","",IF(ISNUMBER(INDEX('Assets'!$F$4:$F$503,_calc!$E$461)),TEXT(INDEX('Assets'!$F$4:$F$503,_calc!$E$461),"yyyy-mm-dd"),""))</f>
        <v/>
      </c>
      <c r="E459" s="44">
        <f>IF(_calc!$E$461="","",IF(LEN(INDEX('Assets'!$O$4:$O$503,_calc!$E$461))=0,"",INDEX('Assets'!$O$4:$O$503,_calc!$E$461)))</f>
        <v/>
      </c>
      <c r="F459" s="44">
        <f>IF(_calc!$E$461="","",TRIM(IF(LEN(IF(LEN(INDEX('Assets'!$B$4:$B$503,_calc!$E$461))=0,"",INDEX('Assets'!$B$4:$B$503,_calc!$E$461)))=0,"","Asset ID: "&amp;IF(LEN(INDEX('Assets'!$B$4:$B$503,_calc!$E$461))=0,"",INDEX('Assets'!$B$4:$B$503,_calc!$E$461))&amp;". ")&amp;IF(LEN(IF(LEN(INDEX('Assets'!$C$4:$C$503,_calc!$E$461))=0,"",INDEX('Assets'!$C$4:$C$503,_calc!$E$461)))=0,"","Location: "&amp;IF(LEN(INDEX('Assets'!$C$4:$C$503,_calc!$E$461))=0,"",INDEX('Assets'!$C$4:$C$503,_calc!$E$461))&amp;". ")&amp;IF(LEN(IF(LEN(INDEX('Assets'!$E$4:$E$503,_calc!$E$461))=0,"",INDEX('Assets'!$E$4:$E$503,_calc!$E$461)))=0,"","Every (months): "&amp;IF(LEN(INDEX('Assets'!$E$4:$E$503,_calc!$E$461))=0,"",INDEX('Assets'!$E$4:$E$503,_calc!$E$461))&amp;". ")&amp;IF(LEN(IF(LEN(INDEX('Assets'!$M$4:$M$503,_calc!$E$461))=0,"",INDEX('Assets'!$M$4:$M$503,_calc!$E$461)))=0,"","Last result: "&amp;IF(LEN(INDEX('Assets'!$M$4:$M$503,_calc!$E$461))=0,"",INDEX('Assets'!$M$4:$M$503,_calc!$E$461))&amp;". ")&amp;IF(LEN(IF(LEN(INDEX('Assets'!$Q$4:$Q$503,_calc!$E$461))=0,"",INDEX('Assets'!$Q$4:$Q$503,_calc!$E$461)))=0,"",IF(LEN(INDEX('Assets'!$Q$4:$Q$503,_calc!$E$461))=0,"",INDEX('Assets'!$Q$4:$Q$503,_calc!$E$461)))))</f>
        <v/>
      </c>
      <c r="G459" s="44">
        <f>IF(_calc!$E$461="","",IF(LEN(INDEX('Assets'!$P$4:$P$503,_calc!$E$461))=0,"",INDEX('Assets'!$P$4:$P$503,_calc!$E$461)))</f>
        <v/>
      </c>
      <c r="K459" s="44">
        <f>IF(_calc!$E$461="","",IF(LEN(INDEX('Assets'!$N$4:$N$503,_calc!$E$461))=0,"",INDEX('Assets'!$N$4:$N$503,_calc!$E$461)))</f>
        <v/>
      </c>
    </row>
    <row r="460">
      <c r="A460" s="44">
        <f>IF(_calc!$E$462="","",IF(LEN(INDEX('Assets'!$D$4:$D$503,_calc!$E$462))=0,"",INDEX('Assets'!$D$4:$D$503,_calc!$E$462))&amp;" – "&amp;IF(LEN(INDEX('Assets'!$A$4:$A$503,_calc!$E$462))=0,"",INDEX('Assets'!$A$4:$A$503,_calc!$E$462)))</f>
        <v/>
      </c>
      <c r="B460" s="44">
        <f>IF(_calc!$E$462="","",IF(ISNUMBER(INDEX('Assets'!$G$4:$G$503,_calc!$E$462)),TEXT(INDEX('Assets'!$G$4:$G$503,_calc!$E$462),"yyyy-mm-dd"),""))</f>
        <v/>
      </c>
      <c r="C460" s="44">
        <f>IF(_calc!$E$462="","","Inspection")</f>
        <v/>
      </c>
      <c r="D460" s="44">
        <f>IF(_calc!$E$462="","",IF(ISNUMBER(INDEX('Assets'!$F$4:$F$503,_calc!$E$462)),TEXT(INDEX('Assets'!$F$4:$F$503,_calc!$E$462),"yyyy-mm-dd"),""))</f>
        <v/>
      </c>
      <c r="E460" s="44">
        <f>IF(_calc!$E$462="","",IF(LEN(INDEX('Assets'!$O$4:$O$503,_calc!$E$462))=0,"",INDEX('Assets'!$O$4:$O$503,_calc!$E$462)))</f>
        <v/>
      </c>
      <c r="F460" s="44">
        <f>IF(_calc!$E$462="","",TRIM(IF(LEN(IF(LEN(INDEX('Assets'!$B$4:$B$503,_calc!$E$462))=0,"",INDEX('Assets'!$B$4:$B$503,_calc!$E$462)))=0,"","Asset ID: "&amp;IF(LEN(INDEX('Assets'!$B$4:$B$503,_calc!$E$462))=0,"",INDEX('Assets'!$B$4:$B$503,_calc!$E$462))&amp;". ")&amp;IF(LEN(IF(LEN(INDEX('Assets'!$C$4:$C$503,_calc!$E$462))=0,"",INDEX('Assets'!$C$4:$C$503,_calc!$E$462)))=0,"","Location: "&amp;IF(LEN(INDEX('Assets'!$C$4:$C$503,_calc!$E$462))=0,"",INDEX('Assets'!$C$4:$C$503,_calc!$E$462))&amp;". ")&amp;IF(LEN(IF(LEN(INDEX('Assets'!$E$4:$E$503,_calc!$E$462))=0,"",INDEX('Assets'!$E$4:$E$503,_calc!$E$462)))=0,"","Every (months): "&amp;IF(LEN(INDEX('Assets'!$E$4:$E$503,_calc!$E$462))=0,"",INDEX('Assets'!$E$4:$E$503,_calc!$E$462))&amp;". ")&amp;IF(LEN(IF(LEN(INDEX('Assets'!$M$4:$M$503,_calc!$E$462))=0,"",INDEX('Assets'!$M$4:$M$503,_calc!$E$462)))=0,"","Last result: "&amp;IF(LEN(INDEX('Assets'!$M$4:$M$503,_calc!$E$462))=0,"",INDEX('Assets'!$M$4:$M$503,_calc!$E$462))&amp;". ")&amp;IF(LEN(IF(LEN(INDEX('Assets'!$Q$4:$Q$503,_calc!$E$462))=0,"",INDEX('Assets'!$Q$4:$Q$503,_calc!$E$462)))=0,"",IF(LEN(INDEX('Assets'!$Q$4:$Q$503,_calc!$E$462))=0,"",INDEX('Assets'!$Q$4:$Q$503,_calc!$E$462)))))</f>
        <v/>
      </c>
      <c r="G460" s="44">
        <f>IF(_calc!$E$462="","",IF(LEN(INDEX('Assets'!$P$4:$P$503,_calc!$E$462))=0,"",INDEX('Assets'!$P$4:$P$503,_calc!$E$462)))</f>
        <v/>
      </c>
      <c r="K460" s="44">
        <f>IF(_calc!$E$462="","",IF(LEN(INDEX('Assets'!$N$4:$N$503,_calc!$E$462))=0,"",INDEX('Assets'!$N$4:$N$503,_calc!$E$462)))</f>
        <v/>
      </c>
    </row>
    <row r="461">
      <c r="A461" s="44">
        <f>IF(_calc!$E$463="","",IF(LEN(INDEX('Assets'!$D$4:$D$503,_calc!$E$463))=0,"",INDEX('Assets'!$D$4:$D$503,_calc!$E$463))&amp;" – "&amp;IF(LEN(INDEX('Assets'!$A$4:$A$503,_calc!$E$463))=0,"",INDEX('Assets'!$A$4:$A$503,_calc!$E$463)))</f>
        <v/>
      </c>
      <c r="B461" s="44">
        <f>IF(_calc!$E$463="","",IF(ISNUMBER(INDEX('Assets'!$G$4:$G$503,_calc!$E$463)),TEXT(INDEX('Assets'!$G$4:$G$503,_calc!$E$463),"yyyy-mm-dd"),""))</f>
        <v/>
      </c>
      <c r="C461" s="44">
        <f>IF(_calc!$E$463="","","Inspection")</f>
        <v/>
      </c>
      <c r="D461" s="44">
        <f>IF(_calc!$E$463="","",IF(ISNUMBER(INDEX('Assets'!$F$4:$F$503,_calc!$E$463)),TEXT(INDEX('Assets'!$F$4:$F$503,_calc!$E$463),"yyyy-mm-dd"),""))</f>
        <v/>
      </c>
      <c r="E461" s="44">
        <f>IF(_calc!$E$463="","",IF(LEN(INDEX('Assets'!$O$4:$O$503,_calc!$E$463))=0,"",INDEX('Assets'!$O$4:$O$503,_calc!$E$463)))</f>
        <v/>
      </c>
      <c r="F461" s="44">
        <f>IF(_calc!$E$463="","",TRIM(IF(LEN(IF(LEN(INDEX('Assets'!$B$4:$B$503,_calc!$E$463))=0,"",INDEX('Assets'!$B$4:$B$503,_calc!$E$463)))=0,"","Asset ID: "&amp;IF(LEN(INDEX('Assets'!$B$4:$B$503,_calc!$E$463))=0,"",INDEX('Assets'!$B$4:$B$503,_calc!$E$463))&amp;". ")&amp;IF(LEN(IF(LEN(INDEX('Assets'!$C$4:$C$503,_calc!$E$463))=0,"",INDEX('Assets'!$C$4:$C$503,_calc!$E$463)))=0,"","Location: "&amp;IF(LEN(INDEX('Assets'!$C$4:$C$503,_calc!$E$463))=0,"",INDEX('Assets'!$C$4:$C$503,_calc!$E$463))&amp;". ")&amp;IF(LEN(IF(LEN(INDEX('Assets'!$E$4:$E$503,_calc!$E$463))=0,"",INDEX('Assets'!$E$4:$E$503,_calc!$E$463)))=0,"","Every (months): "&amp;IF(LEN(INDEX('Assets'!$E$4:$E$503,_calc!$E$463))=0,"",INDEX('Assets'!$E$4:$E$503,_calc!$E$463))&amp;". ")&amp;IF(LEN(IF(LEN(INDEX('Assets'!$M$4:$M$503,_calc!$E$463))=0,"",INDEX('Assets'!$M$4:$M$503,_calc!$E$463)))=0,"","Last result: "&amp;IF(LEN(INDEX('Assets'!$M$4:$M$503,_calc!$E$463))=0,"",INDEX('Assets'!$M$4:$M$503,_calc!$E$463))&amp;". ")&amp;IF(LEN(IF(LEN(INDEX('Assets'!$Q$4:$Q$503,_calc!$E$463))=0,"",INDEX('Assets'!$Q$4:$Q$503,_calc!$E$463)))=0,"",IF(LEN(INDEX('Assets'!$Q$4:$Q$503,_calc!$E$463))=0,"",INDEX('Assets'!$Q$4:$Q$503,_calc!$E$463)))))</f>
        <v/>
      </c>
      <c r="G461" s="44">
        <f>IF(_calc!$E$463="","",IF(LEN(INDEX('Assets'!$P$4:$P$503,_calc!$E$463))=0,"",INDEX('Assets'!$P$4:$P$503,_calc!$E$463)))</f>
        <v/>
      </c>
      <c r="K461" s="44">
        <f>IF(_calc!$E$463="","",IF(LEN(INDEX('Assets'!$N$4:$N$503,_calc!$E$463))=0,"",INDEX('Assets'!$N$4:$N$503,_calc!$E$463)))</f>
        <v/>
      </c>
    </row>
    <row r="462">
      <c r="A462" s="44">
        <f>IF(_calc!$E$464="","",IF(LEN(INDEX('Assets'!$D$4:$D$503,_calc!$E$464))=0,"",INDEX('Assets'!$D$4:$D$503,_calc!$E$464))&amp;" – "&amp;IF(LEN(INDEX('Assets'!$A$4:$A$503,_calc!$E$464))=0,"",INDEX('Assets'!$A$4:$A$503,_calc!$E$464)))</f>
        <v/>
      </c>
      <c r="B462" s="44">
        <f>IF(_calc!$E$464="","",IF(ISNUMBER(INDEX('Assets'!$G$4:$G$503,_calc!$E$464)),TEXT(INDEX('Assets'!$G$4:$G$503,_calc!$E$464),"yyyy-mm-dd"),""))</f>
        <v/>
      </c>
      <c r="C462" s="44">
        <f>IF(_calc!$E$464="","","Inspection")</f>
        <v/>
      </c>
      <c r="D462" s="44">
        <f>IF(_calc!$E$464="","",IF(ISNUMBER(INDEX('Assets'!$F$4:$F$503,_calc!$E$464)),TEXT(INDEX('Assets'!$F$4:$F$503,_calc!$E$464),"yyyy-mm-dd"),""))</f>
        <v/>
      </c>
      <c r="E462" s="44">
        <f>IF(_calc!$E$464="","",IF(LEN(INDEX('Assets'!$O$4:$O$503,_calc!$E$464))=0,"",INDEX('Assets'!$O$4:$O$503,_calc!$E$464)))</f>
        <v/>
      </c>
      <c r="F462" s="44">
        <f>IF(_calc!$E$464="","",TRIM(IF(LEN(IF(LEN(INDEX('Assets'!$B$4:$B$503,_calc!$E$464))=0,"",INDEX('Assets'!$B$4:$B$503,_calc!$E$464)))=0,"","Asset ID: "&amp;IF(LEN(INDEX('Assets'!$B$4:$B$503,_calc!$E$464))=0,"",INDEX('Assets'!$B$4:$B$503,_calc!$E$464))&amp;". ")&amp;IF(LEN(IF(LEN(INDEX('Assets'!$C$4:$C$503,_calc!$E$464))=0,"",INDEX('Assets'!$C$4:$C$503,_calc!$E$464)))=0,"","Location: "&amp;IF(LEN(INDEX('Assets'!$C$4:$C$503,_calc!$E$464))=0,"",INDEX('Assets'!$C$4:$C$503,_calc!$E$464))&amp;". ")&amp;IF(LEN(IF(LEN(INDEX('Assets'!$E$4:$E$503,_calc!$E$464))=0,"",INDEX('Assets'!$E$4:$E$503,_calc!$E$464)))=0,"","Every (months): "&amp;IF(LEN(INDEX('Assets'!$E$4:$E$503,_calc!$E$464))=0,"",INDEX('Assets'!$E$4:$E$503,_calc!$E$464))&amp;". ")&amp;IF(LEN(IF(LEN(INDEX('Assets'!$M$4:$M$503,_calc!$E$464))=0,"",INDEX('Assets'!$M$4:$M$503,_calc!$E$464)))=0,"","Last result: "&amp;IF(LEN(INDEX('Assets'!$M$4:$M$503,_calc!$E$464))=0,"",INDEX('Assets'!$M$4:$M$503,_calc!$E$464))&amp;". ")&amp;IF(LEN(IF(LEN(INDEX('Assets'!$Q$4:$Q$503,_calc!$E$464))=0,"",INDEX('Assets'!$Q$4:$Q$503,_calc!$E$464)))=0,"",IF(LEN(INDEX('Assets'!$Q$4:$Q$503,_calc!$E$464))=0,"",INDEX('Assets'!$Q$4:$Q$503,_calc!$E$464)))))</f>
        <v/>
      </c>
      <c r="G462" s="44">
        <f>IF(_calc!$E$464="","",IF(LEN(INDEX('Assets'!$P$4:$P$503,_calc!$E$464))=0,"",INDEX('Assets'!$P$4:$P$503,_calc!$E$464)))</f>
        <v/>
      </c>
      <c r="K462" s="44">
        <f>IF(_calc!$E$464="","",IF(LEN(INDEX('Assets'!$N$4:$N$503,_calc!$E$464))=0,"",INDEX('Assets'!$N$4:$N$503,_calc!$E$464)))</f>
        <v/>
      </c>
    </row>
    <row r="463">
      <c r="A463" s="44">
        <f>IF(_calc!$E$465="","",IF(LEN(INDEX('Assets'!$D$4:$D$503,_calc!$E$465))=0,"",INDEX('Assets'!$D$4:$D$503,_calc!$E$465))&amp;" – "&amp;IF(LEN(INDEX('Assets'!$A$4:$A$503,_calc!$E$465))=0,"",INDEX('Assets'!$A$4:$A$503,_calc!$E$465)))</f>
        <v/>
      </c>
      <c r="B463" s="44">
        <f>IF(_calc!$E$465="","",IF(ISNUMBER(INDEX('Assets'!$G$4:$G$503,_calc!$E$465)),TEXT(INDEX('Assets'!$G$4:$G$503,_calc!$E$465),"yyyy-mm-dd"),""))</f>
        <v/>
      </c>
      <c r="C463" s="44">
        <f>IF(_calc!$E$465="","","Inspection")</f>
        <v/>
      </c>
      <c r="D463" s="44">
        <f>IF(_calc!$E$465="","",IF(ISNUMBER(INDEX('Assets'!$F$4:$F$503,_calc!$E$465)),TEXT(INDEX('Assets'!$F$4:$F$503,_calc!$E$465),"yyyy-mm-dd"),""))</f>
        <v/>
      </c>
      <c r="E463" s="44">
        <f>IF(_calc!$E$465="","",IF(LEN(INDEX('Assets'!$O$4:$O$503,_calc!$E$465))=0,"",INDEX('Assets'!$O$4:$O$503,_calc!$E$465)))</f>
        <v/>
      </c>
      <c r="F463" s="44">
        <f>IF(_calc!$E$465="","",TRIM(IF(LEN(IF(LEN(INDEX('Assets'!$B$4:$B$503,_calc!$E$465))=0,"",INDEX('Assets'!$B$4:$B$503,_calc!$E$465)))=0,"","Asset ID: "&amp;IF(LEN(INDEX('Assets'!$B$4:$B$503,_calc!$E$465))=0,"",INDEX('Assets'!$B$4:$B$503,_calc!$E$465))&amp;". ")&amp;IF(LEN(IF(LEN(INDEX('Assets'!$C$4:$C$503,_calc!$E$465))=0,"",INDEX('Assets'!$C$4:$C$503,_calc!$E$465)))=0,"","Location: "&amp;IF(LEN(INDEX('Assets'!$C$4:$C$503,_calc!$E$465))=0,"",INDEX('Assets'!$C$4:$C$503,_calc!$E$465))&amp;". ")&amp;IF(LEN(IF(LEN(INDEX('Assets'!$E$4:$E$503,_calc!$E$465))=0,"",INDEX('Assets'!$E$4:$E$503,_calc!$E$465)))=0,"","Every (months): "&amp;IF(LEN(INDEX('Assets'!$E$4:$E$503,_calc!$E$465))=0,"",INDEX('Assets'!$E$4:$E$503,_calc!$E$465))&amp;". ")&amp;IF(LEN(IF(LEN(INDEX('Assets'!$M$4:$M$503,_calc!$E$465))=0,"",INDEX('Assets'!$M$4:$M$503,_calc!$E$465)))=0,"","Last result: "&amp;IF(LEN(INDEX('Assets'!$M$4:$M$503,_calc!$E$465))=0,"",INDEX('Assets'!$M$4:$M$503,_calc!$E$465))&amp;". ")&amp;IF(LEN(IF(LEN(INDEX('Assets'!$Q$4:$Q$503,_calc!$E$465))=0,"",INDEX('Assets'!$Q$4:$Q$503,_calc!$E$465)))=0,"",IF(LEN(INDEX('Assets'!$Q$4:$Q$503,_calc!$E$465))=0,"",INDEX('Assets'!$Q$4:$Q$503,_calc!$E$465)))))</f>
        <v/>
      </c>
      <c r="G463" s="44">
        <f>IF(_calc!$E$465="","",IF(LEN(INDEX('Assets'!$P$4:$P$503,_calc!$E$465))=0,"",INDEX('Assets'!$P$4:$P$503,_calc!$E$465)))</f>
        <v/>
      </c>
      <c r="K463" s="44">
        <f>IF(_calc!$E$465="","",IF(LEN(INDEX('Assets'!$N$4:$N$503,_calc!$E$465))=0,"",INDEX('Assets'!$N$4:$N$503,_calc!$E$465)))</f>
        <v/>
      </c>
    </row>
    <row r="464">
      <c r="A464" s="44">
        <f>IF(_calc!$E$466="","",IF(LEN(INDEX('Assets'!$D$4:$D$503,_calc!$E$466))=0,"",INDEX('Assets'!$D$4:$D$503,_calc!$E$466))&amp;" – "&amp;IF(LEN(INDEX('Assets'!$A$4:$A$503,_calc!$E$466))=0,"",INDEX('Assets'!$A$4:$A$503,_calc!$E$466)))</f>
        <v/>
      </c>
      <c r="B464" s="44">
        <f>IF(_calc!$E$466="","",IF(ISNUMBER(INDEX('Assets'!$G$4:$G$503,_calc!$E$466)),TEXT(INDEX('Assets'!$G$4:$G$503,_calc!$E$466),"yyyy-mm-dd"),""))</f>
        <v/>
      </c>
      <c r="C464" s="44">
        <f>IF(_calc!$E$466="","","Inspection")</f>
        <v/>
      </c>
      <c r="D464" s="44">
        <f>IF(_calc!$E$466="","",IF(ISNUMBER(INDEX('Assets'!$F$4:$F$503,_calc!$E$466)),TEXT(INDEX('Assets'!$F$4:$F$503,_calc!$E$466),"yyyy-mm-dd"),""))</f>
        <v/>
      </c>
      <c r="E464" s="44">
        <f>IF(_calc!$E$466="","",IF(LEN(INDEX('Assets'!$O$4:$O$503,_calc!$E$466))=0,"",INDEX('Assets'!$O$4:$O$503,_calc!$E$466)))</f>
        <v/>
      </c>
      <c r="F464" s="44">
        <f>IF(_calc!$E$466="","",TRIM(IF(LEN(IF(LEN(INDEX('Assets'!$B$4:$B$503,_calc!$E$466))=0,"",INDEX('Assets'!$B$4:$B$503,_calc!$E$466)))=0,"","Asset ID: "&amp;IF(LEN(INDEX('Assets'!$B$4:$B$503,_calc!$E$466))=0,"",INDEX('Assets'!$B$4:$B$503,_calc!$E$466))&amp;". ")&amp;IF(LEN(IF(LEN(INDEX('Assets'!$C$4:$C$503,_calc!$E$466))=0,"",INDEX('Assets'!$C$4:$C$503,_calc!$E$466)))=0,"","Location: "&amp;IF(LEN(INDEX('Assets'!$C$4:$C$503,_calc!$E$466))=0,"",INDEX('Assets'!$C$4:$C$503,_calc!$E$466))&amp;". ")&amp;IF(LEN(IF(LEN(INDEX('Assets'!$E$4:$E$503,_calc!$E$466))=0,"",INDEX('Assets'!$E$4:$E$503,_calc!$E$466)))=0,"","Every (months): "&amp;IF(LEN(INDEX('Assets'!$E$4:$E$503,_calc!$E$466))=0,"",INDEX('Assets'!$E$4:$E$503,_calc!$E$466))&amp;". ")&amp;IF(LEN(IF(LEN(INDEX('Assets'!$M$4:$M$503,_calc!$E$466))=0,"",INDEX('Assets'!$M$4:$M$503,_calc!$E$466)))=0,"","Last result: "&amp;IF(LEN(INDEX('Assets'!$M$4:$M$503,_calc!$E$466))=0,"",INDEX('Assets'!$M$4:$M$503,_calc!$E$466))&amp;". ")&amp;IF(LEN(IF(LEN(INDEX('Assets'!$Q$4:$Q$503,_calc!$E$466))=0,"",INDEX('Assets'!$Q$4:$Q$503,_calc!$E$466)))=0,"",IF(LEN(INDEX('Assets'!$Q$4:$Q$503,_calc!$E$466))=0,"",INDEX('Assets'!$Q$4:$Q$503,_calc!$E$466)))))</f>
        <v/>
      </c>
      <c r="G464" s="44">
        <f>IF(_calc!$E$466="","",IF(LEN(INDEX('Assets'!$P$4:$P$503,_calc!$E$466))=0,"",INDEX('Assets'!$P$4:$P$503,_calc!$E$466)))</f>
        <v/>
      </c>
      <c r="K464" s="44">
        <f>IF(_calc!$E$466="","",IF(LEN(INDEX('Assets'!$N$4:$N$503,_calc!$E$466))=0,"",INDEX('Assets'!$N$4:$N$503,_calc!$E$466)))</f>
        <v/>
      </c>
    </row>
    <row r="465">
      <c r="A465" s="44">
        <f>IF(_calc!$E$467="","",IF(LEN(INDEX('Assets'!$D$4:$D$503,_calc!$E$467))=0,"",INDEX('Assets'!$D$4:$D$503,_calc!$E$467))&amp;" – "&amp;IF(LEN(INDEX('Assets'!$A$4:$A$503,_calc!$E$467))=0,"",INDEX('Assets'!$A$4:$A$503,_calc!$E$467)))</f>
        <v/>
      </c>
      <c r="B465" s="44">
        <f>IF(_calc!$E$467="","",IF(ISNUMBER(INDEX('Assets'!$G$4:$G$503,_calc!$E$467)),TEXT(INDEX('Assets'!$G$4:$G$503,_calc!$E$467),"yyyy-mm-dd"),""))</f>
        <v/>
      </c>
      <c r="C465" s="44">
        <f>IF(_calc!$E$467="","","Inspection")</f>
        <v/>
      </c>
      <c r="D465" s="44">
        <f>IF(_calc!$E$467="","",IF(ISNUMBER(INDEX('Assets'!$F$4:$F$503,_calc!$E$467)),TEXT(INDEX('Assets'!$F$4:$F$503,_calc!$E$467),"yyyy-mm-dd"),""))</f>
        <v/>
      </c>
      <c r="E465" s="44">
        <f>IF(_calc!$E$467="","",IF(LEN(INDEX('Assets'!$O$4:$O$503,_calc!$E$467))=0,"",INDEX('Assets'!$O$4:$O$503,_calc!$E$467)))</f>
        <v/>
      </c>
      <c r="F465" s="44">
        <f>IF(_calc!$E$467="","",TRIM(IF(LEN(IF(LEN(INDEX('Assets'!$B$4:$B$503,_calc!$E$467))=0,"",INDEX('Assets'!$B$4:$B$503,_calc!$E$467)))=0,"","Asset ID: "&amp;IF(LEN(INDEX('Assets'!$B$4:$B$503,_calc!$E$467))=0,"",INDEX('Assets'!$B$4:$B$503,_calc!$E$467))&amp;". ")&amp;IF(LEN(IF(LEN(INDEX('Assets'!$C$4:$C$503,_calc!$E$467))=0,"",INDEX('Assets'!$C$4:$C$503,_calc!$E$467)))=0,"","Location: "&amp;IF(LEN(INDEX('Assets'!$C$4:$C$503,_calc!$E$467))=0,"",INDEX('Assets'!$C$4:$C$503,_calc!$E$467))&amp;". ")&amp;IF(LEN(IF(LEN(INDEX('Assets'!$E$4:$E$503,_calc!$E$467))=0,"",INDEX('Assets'!$E$4:$E$503,_calc!$E$467)))=0,"","Every (months): "&amp;IF(LEN(INDEX('Assets'!$E$4:$E$503,_calc!$E$467))=0,"",INDEX('Assets'!$E$4:$E$503,_calc!$E$467))&amp;". ")&amp;IF(LEN(IF(LEN(INDEX('Assets'!$M$4:$M$503,_calc!$E$467))=0,"",INDEX('Assets'!$M$4:$M$503,_calc!$E$467)))=0,"","Last result: "&amp;IF(LEN(INDEX('Assets'!$M$4:$M$503,_calc!$E$467))=0,"",INDEX('Assets'!$M$4:$M$503,_calc!$E$467))&amp;". ")&amp;IF(LEN(IF(LEN(INDEX('Assets'!$Q$4:$Q$503,_calc!$E$467))=0,"",INDEX('Assets'!$Q$4:$Q$503,_calc!$E$467)))=0,"",IF(LEN(INDEX('Assets'!$Q$4:$Q$503,_calc!$E$467))=0,"",INDEX('Assets'!$Q$4:$Q$503,_calc!$E$467)))))</f>
        <v/>
      </c>
      <c r="G465" s="44">
        <f>IF(_calc!$E$467="","",IF(LEN(INDEX('Assets'!$P$4:$P$503,_calc!$E$467))=0,"",INDEX('Assets'!$P$4:$P$503,_calc!$E$467)))</f>
        <v/>
      </c>
      <c r="K465" s="44">
        <f>IF(_calc!$E$467="","",IF(LEN(INDEX('Assets'!$N$4:$N$503,_calc!$E$467))=0,"",INDEX('Assets'!$N$4:$N$503,_calc!$E$467)))</f>
        <v/>
      </c>
    </row>
    <row r="466">
      <c r="A466" s="44">
        <f>IF(_calc!$E$468="","",IF(LEN(INDEX('Assets'!$D$4:$D$503,_calc!$E$468))=0,"",INDEX('Assets'!$D$4:$D$503,_calc!$E$468))&amp;" – "&amp;IF(LEN(INDEX('Assets'!$A$4:$A$503,_calc!$E$468))=0,"",INDEX('Assets'!$A$4:$A$503,_calc!$E$468)))</f>
        <v/>
      </c>
      <c r="B466" s="44">
        <f>IF(_calc!$E$468="","",IF(ISNUMBER(INDEX('Assets'!$G$4:$G$503,_calc!$E$468)),TEXT(INDEX('Assets'!$G$4:$G$503,_calc!$E$468),"yyyy-mm-dd"),""))</f>
        <v/>
      </c>
      <c r="C466" s="44">
        <f>IF(_calc!$E$468="","","Inspection")</f>
        <v/>
      </c>
      <c r="D466" s="44">
        <f>IF(_calc!$E$468="","",IF(ISNUMBER(INDEX('Assets'!$F$4:$F$503,_calc!$E$468)),TEXT(INDEX('Assets'!$F$4:$F$503,_calc!$E$468),"yyyy-mm-dd"),""))</f>
        <v/>
      </c>
      <c r="E466" s="44">
        <f>IF(_calc!$E$468="","",IF(LEN(INDEX('Assets'!$O$4:$O$503,_calc!$E$468))=0,"",INDEX('Assets'!$O$4:$O$503,_calc!$E$468)))</f>
        <v/>
      </c>
      <c r="F466" s="44">
        <f>IF(_calc!$E$468="","",TRIM(IF(LEN(IF(LEN(INDEX('Assets'!$B$4:$B$503,_calc!$E$468))=0,"",INDEX('Assets'!$B$4:$B$503,_calc!$E$468)))=0,"","Asset ID: "&amp;IF(LEN(INDEX('Assets'!$B$4:$B$503,_calc!$E$468))=0,"",INDEX('Assets'!$B$4:$B$503,_calc!$E$468))&amp;". ")&amp;IF(LEN(IF(LEN(INDEX('Assets'!$C$4:$C$503,_calc!$E$468))=0,"",INDEX('Assets'!$C$4:$C$503,_calc!$E$468)))=0,"","Location: "&amp;IF(LEN(INDEX('Assets'!$C$4:$C$503,_calc!$E$468))=0,"",INDEX('Assets'!$C$4:$C$503,_calc!$E$468))&amp;". ")&amp;IF(LEN(IF(LEN(INDEX('Assets'!$E$4:$E$503,_calc!$E$468))=0,"",INDEX('Assets'!$E$4:$E$503,_calc!$E$468)))=0,"","Every (months): "&amp;IF(LEN(INDEX('Assets'!$E$4:$E$503,_calc!$E$468))=0,"",INDEX('Assets'!$E$4:$E$503,_calc!$E$468))&amp;". ")&amp;IF(LEN(IF(LEN(INDEX('Assets'!$M$4:$M$503,_calc!$E$468))=0,"",INDEX('Assets'!$M$4:$M$503,_calc!$E$468)))=0,"","Last result: "&amp;IF(LEN(INDEX('Assets'!$M$4:$M$503,_calc!$E$468))=0,"",INDEX('Assets'!$M$4:$M$503,_calc!$E$468))&amp;". ")&amp;IF(LEN(IF(LEN(INDEX('Assets'!$Q$4:$Q$503,_calc!$E$468))=0,"",INDEX('Assets'!$Q$4:$Q$503,_calc!$E$468)))=0,"",IF(LEN(INDEX('Assets'!$Q$4:$Q$503,_calc!$E$468))=0,"",INDEX('Assets'!$Q$4:$Q$503,_calc!$E$468)))))</f>
        <v/>
      </c>
      <c r="G466" s="44">
        <f>IF(_calc!$E$468="","",IF(LEN(INDEX('Assets'!$P$4:$P$503,_calc!$E$468))=0,"",INDEX('Assets'!$P$4:$P$503,_calc!$E$468)))</f>
        <v/>
      </c>
      <c r="K466" s="44">
        <f>IF(_calc!$E$468="","",IF(LEN(INDEX('Assets'!$N$4:$N$503,_calc!$E$468))=0,"",INDEX('Assets'!$N$4:$N$503,_calc!$E$468)))</f>
        <v/>
      </c>
    </row>
    <row r="467">
      <c r="A467" s="44">
        <f>IF(_calc!$E$469="","",IF(LEN(INDEX('Assets'!$D$4:$D$503,_calc!$E$469))=0,"",INDEX('Assets'!$D$4:$D$503,_calc!$E$469))&amp;" – "&amp;IF(LEN(INDEX('Assets'!$A$4:$A$503,_calc!$E$469))=0,"",INDEX('Assets'!$A$4:$A$503,_calc!$E$469)))</f>
        <v/>
      </c>
      <c r="B467" s="44">
        <f>IF(_calc!$E$469="","",IF(ISNUMBER(INDEX('Assets'!$G$4:$G$503,_calc!$E$469)),TEXT(INDEX('Assets'!$G$4:$G$503,_calc!$E$469),"yyyy-mm-dd"),""))</f>
        <v/>
      </c>
      <c r="C467" s="44">
        <f>IF(_calc!$E$469="","","Inspection")</f>
        <v/>
      </c>
      <c r="D467" s="44">
        <f>IF(_calc!$E$469="","",IF(ISNUMBER(INDEX('Assets'!$F$4:$F$503,_calc!$E$469)),TEXT(INDEX('Assets'!$F$4:$F$503,_calc!$E$469),"yyyy-mm-dd"),""))</f>
        <v/>
      </c>
      <c r="E467" s="44">
        <f>IF(_calc!$E$469="","",IF(LEN(INDEX('Assets'!$O$4:$O$503,_calc!$E$469))=0,"",INDEX('Assets'!$O$4:$O$503,_calc!$E$469)))</f>
        <v/>
      </c>
      <c r="F467" s="44">
        <f>IF(_calc!$E$469="","",TRIM(IF(LEN(IF(LEN(INDEX('Assets'!$B$4:$B$503,_calc!$E$469))=0,"",INDEX('Assets'!$B$4:$B$503,_calc!$E$469)))=0,"","Asset ID: "&amp;IF(LEN(INDEX('Assets'!$B$4:$B$503,_calc!$E$469))=0,"",INDEX('Assets'!$B$4:$B$503,_calc!$E$469))&amp;". ")&amp;IF(LEN(IF(LEN(INDEX('Assets'!$C$4:$C$503,_calc!$E$469))=0,"",INDEX('Assets'!$C$4:$C$503,_calc!$E$469)))=0,"","Location: "&amp;IF(LEN(INDEX('Assets'!$C$4:$C$503,_calc!$E$469))=0,"",INDEX('Assets'!$C$4:$C$503,_calc!$E$469))&amp;". ")&amp;IF(LEN(IF(LEN(INDEX('Assets'!$E$4:$E$503,_calc!$E$469))=0,"",INDEX('Assets'!$E$4:$E$503,_calc!$E$469)))=0,"","Every (months): "&amp;IF(LEN(INDEX('Assets'!$E$4:$E$503,_calc!$E$469))=0,"",INDEX('Assets'!$E$4:$E$503,_calc!$E$469))&amp;". ")&amp;IF(LEN(IF(LEN(INDEX('Assets'!$M$4:$M$503,_calc!$E$469))=0,"",INDEX('Assets'!$M$4:$M$503,_calc!$E$469)))=0,"","Last result: "&amp;IF(LEN(INDEX('Assets'!$M$4:$M$503,_calc!$E$469))=0,"",INDEX('Assets'!$M$4:$M$503,_calc!$E$469))&amp;". ")&amp;IF(LEN(IF(LEN(INDEX('Assets'!$Q$4:$Q$503,_calc!$E$469))=0,"",INDEX('Assets'!$Q$4:$Q$503,_calc!$E$469)))=0,"",IF(LEN(INDEX('Assets'!$Q$4:$Q$503,_calc!$E$469))=0,"",INDEX('Assets'!$Q$4:$Q$503,_calc!$E$469)))))</f>
        <v/>
      </c>
      <c r="G467" s="44">
        <f>IF(_calc!$E$469="","",IF(LEN(INDEX('Assets'!$P$4:$P$503,_calc!$E$469))=0,"",INDEX('Assets'!$P$4:$P$503,_calc!$E$469)))</f>
        <v/>
      </c>
      <c r="K467" s="44">
        <f>IF(_calc!$E$469="","",IF(LEN(INDEX('Assets'!$N$4:$N$503,_calc!$E$469))=0,"",INDEX('Assets'!$N$4:$N$503,_calc!$E$469)))</f>
        <v/>
      </c>
    </row>
    <row r="468">
      <c r="A468" s="44">
        <f>IF(_calc!$E$470="","",IF(LEN(INDEX('Assets'!$D$4:$D$503,_calc!$E$470))=0,"",INDEX('Assets'!$D$4:$D$503,_calc!$E$470))&amp;" – "&amp;IF(LEN(INDEX('Assets'!$A$4:$A$503,_calc!$E$470))=0,"",INDEX('Assets'!$A$4:$A$503,_calc!$E$470)))</f>
        <v/>
      </c>
      <c r="B468" s="44">
        <f>IF(_calc!$E$470="","",IF(ISNUMBER(INDEX('Assets'!$G$4:$G$503,_calc!$E$470)),TEXT(INDEX('Assets'!$G$4:$G$503,_calc!$E$470),"yyyy-mm-dd"),""))</f>
        <v/>
      </c>
      <c r="C468" s="44">
        <f>IF(_calc!$E$470="","","Inspection")</f>
        <v/>
      </c>
      <c r="D468" s="44">
        <f>IF(_calc!$E$470="","",IF(ISNUMBER(INDEX('Assets'!$F$4:$F$503,_calc!$E$470)),TEXT(INDEX('Assets'!$F$4:$F$503,_calc!$E$470),"yyyy-mm-dd"),""))</f>
        <v/>
      </c>
      <c r="E468" s="44">
        <f>IF(_calc!$E$470="","",IF(LEN(INDEX('Assets'!$O$4:$O$503,_calc!$E$470))=0,"",INDEX('Assets'!$O$4:$O$503,_calc!$E$470)))</f>
        <v/>
      </c>
      <c r="F468" s="44">
        <f>IF(_calc!$E$470="","",TRIM(IF(LEN(IF(LEN(INDEX('Assets'!$B$4:$B$503,_calc!$E$470))=0,"",INDEX('Assets'!$B$4:$B$503,_calc!$E$470)))=0,"","Asset ID: "&amp;IF(LEN(INDEX('Assets'!$B$4:$B$503,_calc!$E$470))=0,"",INDEX('Assets'!$B$4:$B$503,_calc!$E$470))&amp;". ")&amp;IF(LEN(IF(LEN(INDEX('Assets'!$C$4:$C$503,_calc!$E$470))=0,"",INDEX('Assets'!$C$4:$C$503,_calc!$E$470)))=0,"","Location: "&amp;IF(LEN(INDEX('Assets'!$C$4:$C$503,_calc!$E$470))=0,"",INDEX('Assets'!$C$4:$C$503,_calc!$E$470))&amp;". ")&amp;IF(LEN(IF(LEN(INDEX('Assets'!$E$4:$E$503,_calc!$E$470))=0,"",INDEX('Assets'!$E$4:$E$503,_calc!$E$470)))=0,"","Every (months): "&amp;IF(LEN(INDEX('Assets'!$E$4:$E$503,_calc!$E$470))=0,"",INDEX('Assets'!$E$4:$E$503,_calc!$E$470))&amp;". ")&amp;IF(LEN(IF(LEN(INDEX('Assets'!$M$4:$M$503,_calc!$E$470))=0,"",INDEX('Assets'!$M$4:$M$503,_calc!$E$470)))=0,"","Last result: "&amp;IF(LEN(INDEX('Assets'!$M$4:$M$503,_calc!$E$470))=0,"",INDEX('Assets'!$M$4:$M$503,_calc!$E$470))&amp;". ")&amp;IF(LEN(IF(LEN(INDEX('Assets'!$Q$4:$Q$503,_calc!$E$470))=0,"",INDEX('Assets'!$Q$4:$Q$503,_calc!$E$470)))=0,"",IF(LEN(INDEX('Assets'!$Q$4:$Q$503,_calc!$E$470))=0,"",INDEX('Assets'!$Q$4:$Q$503,_calc!$E$470)))))</f>
        <v/>
      </c>
      <c r="G468" s="44">
        <f>IF(_calc!$E$470="","",IF(LEN(INDEX('Assets'!$P$4:$P$503,_calc!$E$470))=0,"",INDEX('Assets'!$P$4:$P$503,_calc!$E$470)))</f>
        <v/>
      </c>
      <c r="K468" s="44">
        <f>IF(_calc!$E$470="","",IF(LEN(INDEX('Assets'!$N$4:$N$503,_calc!$E$470))=0,"",INDEX('Assets'!$N$4:$N$503,_calc!$E$470)))</f>
        <v/>
      </c>
    </row>
    <row r="469">
      <c r="A469" s="44">
        <f>IF(_calc!$E$471="","",IF(LEN(INDEX('Assets'!$D$4:$D$503,_calc!$E$471))=0,"",INDEX('Assets'!$D$4:$D$503,_calc!$E$471))&amp;" – "&amp;IF(LEN(INDEX('Assets'!$A$4:$A$503,_calc!$E$471))=0,"",INDEX('Assets'!$A$4:$A$503,_calc!$E$471)))</f>
        <v/>
      </c>
      <c r="B469" s="44">
        <f>IF(_calc!$E$471="","",IF(ISNUMBER(INDEX('Assets'!$G$4:$G$503,_calc!$E$471)),TEXT(INDEX('Assets'!$G$4:$G$503,_calc!$E$471),"yyyy-mm-dd"),""))</f>
        <v/>
      </c>
      <c r="C469" s="44">
        <f>IF(_calc!$E$471="","","Inspection")</f>
        <v/>
      </c>
      <c r="D469" s="44">
        <f>IF(_calc!$E$471="","",IF(ISNUMBER(INDEX('Assets'!$F$4:$F$503,_calc!$E$471)),TEXT(INDEX('Assets'!$F$4:$F$503,_calc!$E$471),"yyyy-mm-dd"),""))</f>
        <v/>
      </c>
      <c r="E469" s="44">
        <f>IF(_calc!$E$471="","",IF(LEN(INDEX('Assets'!$O$4:$O$503,_calc!$E$471))=0,"",INDEX('Assets'!$O$4:$O$503,_calc!$E$471)))</f>
        <v/>
      </c>
      <c r="F469" s="44">
        <f>IF(_calc!$E$471="","",TRIM(IF(LEN(IF(LEN(INDEX('Assets'!$B$4:$B$503,_calc!$E$471))=0,"",INDEX('Assets'!$B$4:$B$503,_calc!$E$471)))=0,"","Asset ID: "&amp;IF(LEN(INDEX('Assets'!$B$4:$B$503,_calc!$E$471))=0,"",INDEX('Assets'!$B$4:$B$503,_calc!$E$471))&amp;". ")&amp;IF(LEN(IF(LEN(INDEX('Assets'!$C$4:$C$503,_calc!$E$471))=0,"",INDEX('Assets'!$C$4:$C$503,_calc!$E$471)))=0,"","Location: "&amp;IF(LEN(INDEX('Assets'!$C$4:$C$503,_calc!$E$471))=0,"",INDEX('Assets'!$C$4:$C$503,_calc!$E$471))&amp;". ")&amp;IF(LEN(IF(LEN(INDEX('Assets'!$E$4:$E$503,_calc!$E$471))=0,"",INDEX('Assets'!$E$4:$E$503,_calc!$E$471)))=0,"","Every (months): "&amp;IF(LEN(INDEX('Assets'!$E$4:$E$503,_calc!$E$471))=0,"",INDEX('Assets'!$E$4:$E$503,_calc!$E$471))&amp;". ")&amp;IF(LEN(IF(LEN(INDEX('Assets'!$M$4:$M$503,_calc!$E$471))=0,"",INDEX('Assets'!$M$4:$M$503,_calc!$E$471)))=0,"","Last result: "&amp;IF(LEN(INDEX('Assets'!$M$4:$M$503,_calc!$E$471))=0,"",INDEX('Assets'!$M$4:$M$503,_calc!$E$471))&amp;". ")&amp;IF(LEN(IF(LEN(INDEX('Assets'!$Q$4:$Q$503,_calc!$E$471))=0,"",INDEX('Assets'!$Q$4:$Q$503,_calc!$E$471)))=0,"",IF(LEN(INDEX('Assets'!$Q$4:$Q$503,_calc!$E$471))=0,"",INDEX('Assets'!$Q$4:$Q$503,_calc!$E$471)))))</f>
        <v/>
      </c>
      <c r="G469" s="44">
        <f>IF(_calc!$E$471="","",IF(LEN(INDEX('Assets'!$P$4:$P$503,_calc!$E$471))=0,"",INDEX('Assets'!$P$4:$P$503,_calc!$E$471)))</f>
        <v/>
      </c>
      <c r="K469" s="44">
        <f>IF(_calc!$E$471="","",IF(LEN(INDEX('Assets'!$N$4:$N$503,_calc!$E$471))=0,"",INDEX('Assets'!$N$4:$N$503,_calc!$E$471)))</f>
        <v/>
      </c>
    </row>
    <row r="470">
      <c r="A470" s="44">
        <f>IF(_calc!$E$472="","",IF(LEN(INDEX('Assets'!$D$4:$D$503,_calc!$E$472))=0,"",INDEX('Assets'!$D$4:$D$503,_calc!$E$472))&amp;" – "&amp;IF(LEN(INDEX('Assets'!$A$4:$A$503,_calc!$E$472))=0,"",INDEX('Assets'!$A$4:$A$503,_calc!$E$472)))</f>
        <v/>
      </c>
      <c r="B470" s="44">
        <f>IF(_calc!$E$472="","",IF(ISNUMBER(INDEX('Assets'!$G$4:$G$503,_calc!$E$472)),TEXT(INDEX('Assets'!$G$4:$G$503,_calc!$E$472),"yyyy-mm-dd"),""))</f>
        <v/>
      </c>
      <c r="C470" s="44">
        <f>IF(_calc!$E$472="","","Inspection")</f>
        <v/>
      </c>
      <c r="D470" s="44">
        <f>IF(_calc!$E$472="","",IF(ISNUMBER(INDEX('Assets'!$F$4:$F$503,_calc!$E$472)),TEXT(INDEX('Assets'!$F$4:$F$503,_calc!$E$472),"yyyy-mm-dd"),""))</f>
        <v/>
      </c>
      <c r="E470" s="44">
        <f>IF(_calc!$E$472="","",IF(LEN(INDEX('Assets'!$O$4:$O$503,_calc!$E$472))=0,"",INDEX('Assets'!$O$4:$O$503,_calc!$E$472)))</f>
        <v/>
      </c>
      <c r="F470" s="44">
        <f>IF(_calc!$E$472="","",TRIM(IF(LEN(IF(LEN(INDEX('Assets'!$B$4:$B$503,_calc!$E$472))=0,"",INDEX('Assets'!$B$4:$B$503,_calc!$E$472)))=0,"","Asset ID: "&amp;IF(LEN(INDEX('Assets'!$B$4:$B$503,_calc!$E$472))=0,"",INDEX('Assets'!$B$4:$B$503,_calc!$E$472))&amp;". ")&amp;IF(LEN(IF(LEN(INDEX('Assets'!$C$4:$C$503,_calc!$E$472))=0,"",INDEX('Assets'!$C$4:$C$503,_calc!$E$472)))=0,"","Location: "&amp;IF(LEN(INDEX('Assets'!$C$4:$C$503,_calc!$E$472))=0,"",INDEX('Assets'!$C$4:$C$503,_calc!$E$472))&amp;". ")&amp;IF(LEN(IF(LEN(INDEX('Assets'!$E$4:$E$503,_calc!$E$472))=0,"",INDEX('Assets'!$E$4:$E$503,_calc!$E$472)))=0,"","Every (months): "&amp;IF(LEN(INDEX('Assets'!$E$4:$E$503,_calc!$E$472))=0,"",INDEX('Assets'!$E$4:$E$503,_calc!$E$472))&amp;". ")&amp;IF(LEN(IF(LEN(INDEX('Assets'!$M$4:$M$503,_calc!$E$472))=0,"",INDEX('Assets'!$M$4:$M$503,_calc!$E$472)))=0,"","Last result: "&amp;IF(LEN(INDEX('Assets'!$M$4:$M$503,_calc!$E$472))=0,"",INDEX('Assets'!$M$4:$M$503,_calc!$E$472))&amp;". ")&amp;IF(LEN(IF(LEN(INDEX('Assets'!$Q$4:$Q$503,_calc!$E$472))=0,"",INDEX('Assets'!$Q$4:$Q$503,_calc!$E$472)))=0,"",IF(LEN(INDEX('Assets'!$Q$4:$Q$503,_calc!$E$472))=0,"",INDEX('Assets'!$Q$4:$Q$503,_calc!$E$472)))))</f>
        <v/>
      </c>
      <c r="G470" s="44">
        <f>IF(_calc!$E$472="","",IF(LEN(INDEX('Assets'!$P$4:$P$503,_calc!$E$472))=0,"",INDEX('Assets'!$P$4:$P$503,_calc!$E$472)))</f>
        <v/>
      </c>
      <c r="K470" s="44">
        <f>IF(_calc!$E$472="","",IF(LEN(INDEX('Assets'!$N$4:$N$503,_calc!$E$472))=0,"",INDEX('Assets'!$N$4:$N$503,_calc!$E$472)))</f>
        <v/>
      </c>
    </row>
    <row r="471">
      <c r="A471" s="44">
        <f>IF(_calc!$E$473="","",IF(LEN(INDEX('Assets'!$D$4:$D$503,_calc!$E$473))=0,"",INDEX('Assets'!$D$4:$D$503,_calc!$E$473))&amp;" – "&amp;IF(LEN(INDEX('Assets'!$A$4:$A$503,_calc!$E$473))=0,"",INDEX('Assets'!$A$4:$A$503,_calc!$E$473)))</f>
        <v/>
      </c>
      <c r="B471" s="44">
        <f>IF(_calc!$E$473="","",IF(ISNUMBER(INDEX('Assets'!$G$4:$G$503,_calc!$E$473)),TEXT(INDEX('Assets'!$G$4:$G$503,_calc!$E$473),"yyyy-mm-dd"),""))</f>
        <v/>
      </c>
      <c r="C471" s="44">
        <f>IF(_calc!$E$473="","","Inspection")</f>
        <v/>
      </c>
      <c r="D471" s="44">
        <f>IF(_calc!$E$473="","",IF(ISNUMBER(INDEX('Assets'!$F$4:$F$503,_calc!$E$473)),TEXT(INDEX('Assets'!$F$4:$F$503,_calc!$E$473),"yyyy-mm-dd"),""))</f>
        <v/>
      </c>
      <c r="E471" s="44">
        <f>IF(_calc!$E$473="","",IF(LEN(INDEX('Assets'!$O$4:$O$503,_calc!$E$473))=0,"",INDEX('Assets'!$O$4:$O$503,_calc!$E$473)))</f>
        <v/>
      </c>
      <c r="F471" s="44">
        <f>IF(_calc!$E$473="","",TRIM(IF(LEN(IF(LEN(INDEX('Assets'!$B$4:$B$503,_calc!$E$473))=0,"",INDEX('Assets'!$B$4:$B$503,_calc!$E$473)))=0,"","Asset ID: "&amp;IF(LEN(INDEX('Assets'!$B$4:$B$503,_calc!$E$473))=0,"",INDEX('Assets'!$B$4:$B$503,_calc!$E$473))&amp;". ")&amp;IF(LEN(IF(LEN(INDEX('Assets'!$C$4:$C$503,_calc!$E$473))=0,"",INDEX('Assets'!$C$4:$C$503,_calc!$E$473)))=0,"","Location: "&amp;IF(LEN(INDEX('Assets'!$C$4:$C$503,_calc!$E$473))=0,"",INDEX('Assets'!$C$4:$C$503,_calc!$E$473))&amp;". ")&amp;IF(LEN(IF(LEN(INDEX('Assets'!$E$4:$E$503,_calc!$E$473))=0,"",INDEX('Assets'!$E$4:$E$503,_calc!$E$473)))=0,"","Every (months): "&amp;IF(LEN(INDEX('Assets'!$E$4:$E$503,_calc!$E$473))=0,"",INDEX('Assets'!$E$4:$E$503,_calc!$E$473))&amp;". ")&amp;IF(LEN(IF(LEN(INDEX('Assets'!$M$4:$M$503,_calc!$E$473))=0,"",INDEX('Assets'!$M$4:$M$503,_calc!$E$473)))=0,"","Last result: "&amp;IF(LEN(INDEX('Assets'!$M$4:$M$503,_calc!$E$473))=0,"",INDEX('Assets'!$M$4:$M$503,_calc!$E$473))&amp;". ")&amp;IF(LEN(IF(LEN(INDEX('Assets'!$Q$4:$Q$503,_calc!$E$473))=0,"",INDEX('Assets'!$Q$4:$Q$503,_calc!$E$473)))=0,"",IF(LEN(INDEX('Assets'!$Q$4:$Q$503,_calc!$E$473))=0,"",INDEX('Assets'!$Q$4:$Q$503,_calc!$E$473)))))</f>
        <v/>
      </c>
      <c r="G471" s="44">
        <f>IF(_calc!$E$473="","",IF(LEN(INDEX('Assets'!$P$4:$P$503,_calc!$E$473))=0,"",INDEX('Assets'!$P$4:$P$503,_calc!$E$473)))</f>
        <v/>
      </c>
      <c r="K471" s="44">
        <f>IF(_calc!$E$473="","",IF(LEN(INDEX('Assets'!$N$4:$N$503,_calc!$E$473))=0,"",INDEX('Assets'!$N$4:$N$503,_calc!$E$473)))</f>
        <v/>
      </c>
    </row>
    <row r="472">
      <c r="A472" s="44">
        <f>IF(_calc!$E$474="","",IF(LEN(INDEX('Assets'!$D$4:$D$503,_calc!$E$474))=0,"",INDEX('Assets'!$D$4:$D$503,_calc!$E$474))&amp;" – "&amp;IF(LEN(INDEX('Assets'!$A$4:$A$503,_calc!$E$474))=0,"",INDEX('Assets'!$A$4:$A$503,_calc!$E$474)))</f>
        <v/>
      </c>
      <c r="B472" s="44">
        <f>IF(_calc!$E$474="","",IF(ISNUMBER(INDEX('Assets'!$G$4:$G$503,_calc!$E$474)),TEXT(INDEX('Assets'!$G$4:$G$503,_calc!$E$474),"yyyy-mm-dd"),""))</f>
        <v/>
      </c>
      <c r="C472" s="44">
        <f>IF(_calc!$E$474="","","Inspection")</f>
        <v/>
      </c>
      <c r="D472" s="44">
        <f>IF(_calc!$E$474="","",IF(ISNUMBER(INDEX('Assets'!$F$4:$F$503,_calc!$E$474)),TEXT(INDEX('Assets'!$F$4:$F$503,_calc!$E$474),"yyyy-mm-dd"),""))</f>
        <v/>
      </c>
      <c r="E472" s="44">
        <f>IF(_calc!$E$474="","",IF(LEN(INDEX('Assets'!$O$4:$O$503,_calc!$E$474))=0,"",INDEX('Assets'!$O$4:$O$503,_calc!$E$474)))</f>
        <v/>
      </c>
      <c r="F472" s="44">
        <f>IF(_calc!$E$474="","",TRIM(IF(LEN(IF(LEN(INDEX('Assets'!$B$4:$B$503,_calc!$E$474))=0,"",INDEX('Assets'!$B$4:$B$503,_calc!$E$474)))=0,"","Asset ID: "&amp;IF(LEN(INDEX('Assets'!$B$4:$B$503,_calc!$E$474))=0,"",INDEX('Assets'!$B$4:$B$503,_calc!$E$474))&amp;". ")&amp;IF(LEN(IF(LEN(INDEX('Assets'!$C$4:$C$503,_calc!$E$474))=0,"",INDEX('Assets'!$C$4:$C$503,_calc!$E$474)))=0,"","Location: "&amp;IF(LEN(INDEX('Assets'!$C$4:$C$503,_calc!$E$474))=0,"",INDEX('Assets'!$C$4:$C$503,_calc!$E$474))&amp;". ")&amp;IF(LEN(IF(LEN(INDEX('Assets'!$E$4:$E$503,_calc!$E$474))=0,"",INDEX('Assets'!$E$4:$E$503,_calc!$E$474)))=0,"","Every (months): "&amp;IF(LEN(INDEX('Assets'!$E$4:$E$503,_calc!$E$474))=0,"",INDEX('Assets'!$E$4:$E$503,_calc!$E$474))&amp;". ")&amp;IF(LEN(IF(LEN(INDEX('Assets'!$M$4:$M$503,_calc!$E$474))=0,"",INDEX('Assets'!$M$4:$M$503,_calc!$E$474)))=0,"","Last result: "&amp;IF(LEN(INDEX('Assets'!$M$4:$M$503,_calc!$E$474))=0,"",INDEX('Assets'!$M$4:$M$503,_calc!$E$474))&amp;". ")&amp;IF(LEN(IF(LEN(INDEX('Assets'!$Q$4:$Q$503,_calc!$E$474))=0,"",INDEX('Assets'!$Q$4:$Q$503,_calc!$E$474)))=0,"",IF(LEN(INDEX('Assets'!$Q$4:$Q$503,_calc!$E$474))=0,"",INDEX('Assets'!$Q$4:$Q$503,_calc!$E$474)))))</f>
        <v/>
      </c>
      <c r="G472" s="44">
        <f>IF(_calc!$E$474="","",IF(LEN(INDEX('Assets'!$P$4:$P$503,_calc!$E$474))=0,"",INDEX('Assets'!$P$4:$P$503,_calc!$E$474)))</f>
        <v/>
      </c>
      <c r="K472" s="44">
        <f>IF(_calc!$E$474="","",IF(LEN(INDEX('Assets'!$N$4:$N$503,_calc!$E$474))=0,"",INDEX('Assets'!$N$4:$N$503,_calc!$E$474)))</f>
        <v/>
      </c>
    </row>
    <row r="473">
      <c r="A473" s="44">
        <f>IF(_calc!$E$475="","",IF(LEN(INDEX('Assets'!$D$4:$D$503,_calc!$E$475))=0,"",INDEX('Assets'!$D$4:$D$503,_calc!$E$475))&amp;" – "&amp;IF(LEN(INDEX('Assets'!$A$4:$A$503,_calc!$E$475))=0,"",INDEX('Assets'!$A$4:$A$503,_calc!$E$475)))</f>
        <v/>
      </c>
      <c r="B473" s="44">
        <f>IF(_calc!$E$475="","",IF(ISNUMBER(INDEX('Assets'!$G$4:$G$503,_calc!$E$475)),TEXT(INDEX('Assets'!$G$4:$G$503,_calc!$E$475),"yyyy-mm-dd"),""))</f>
        <v/>
      </c>
      <c r="C473" s="44">
        <f>IF(_calc!$E$475="","","Inspection")</f>
        <v/>
      </c>
      <c r="D473" s="44">
        <f>IF(_calc!$E$475="","",IF(ISNUMBER(INDEX('Assets'!$F$4:$F$503,_calc!$E$475)),TEXT(INDEX('Assets'!$F$4:$F$503,_calc!$E$475),"yyyy-mm-dd"),""))</f>
        <v/>
      </c>
      <c r="E473" s="44">
        <f>IF(_calc!$E$475="","",IF(LEN(INDEX('Assets'!$O$4:$O$503,_calc!$E$475))=0,"",INDEX('Assets'!$O$4:$O$503,_calc!$E$475)))</f>
        <v/>
      </c>
      <c r="F473" s="44">
        <f>IF(_calc!$E$475="","",TRIM(IF(LEN(IF(LEN(INDEX('Assets'!$B$4:$B$503,_calc!$E$475))=0,"",INDEX('Assets'!$B$4:$B$503,_calc!$E$475)))=0,"","Asset ID: "&amp;IF(LEN(INDEX('Assets'!$B$4:$B$503,_calc!$E$475))=0,"",INDEX('Assets'!$B$4:$B$503,_calc!$E$475))&amp;". ")&amp;IF(LEN(IF(LEN(INDEX('Assets'!$C$4:$C$503,_calc!$E$475))=0,"",INDEX('Assets'!$C$4:$C$503,_calc!$E$475)))=0,"","Location: "&amp;IF(LEN(INDEX('Assets'!$C$4:$C$503,_calc!$E$475))=0,"",INDEX('Assets'!$C$4:$C$503,_calc!$E$475))&amp;". ")&amp;IF(LEN(IF(LEN(INDEX('Assets'!$E$4:$E$503,_calc!$E$475))=0,"",INDEX('Assets'!$E$4:$E$503,_calc!$E$475)))=0,"","Every (months): "&amp;IF(LEN(INDEX('Assets'!$E$4:$E$503,_calc!$E$475))=0,"",INDEX('Assets'!$E$4:$E$503,_calc!$E$475))&amp;". ")&amp;IF(LEN(IF(LEN(INDEX('Assets'!$M$4:$M$503,_calc!$E$475))=0,"",INDEX('Assets'!$M$4:$M$503,_calc!$E$475)))=0,"","Last result: "&amp;IF(LEN(INDEX('Assets'!$M$4:$M$503,_calc!$E$475))=0,"",INDEX('Assets'!$M$4:$M$503,_calc!$E$475))&amp;". ")&amp;IF(LEN(IF(LEN(INDEX('Assets'!$Q$4:$Q$503,_calc!$E$475))=0,"",INDEX('Assets'!$Q$4:$Q$503,_calc!$E$475)))=0,"",IF(LEN(INDEX('Assets'!$Q$4:$Q$503,_calc!$E$475))=0,"",INDEX('Assets'!$Q$4:$Q$503,_calc!$E$475)))))</f>
        <v/>
      </c>
      <c r="G473" s="44">
        <f>IF(_calc!$E$475="","",IF(LEN(INDEX('Assets'!$P$4:$P$503,_calc!$E$475))=0,"",INDEX('Assets'!$P$4:$P$503,_calc!$E$475)))</f>
        <v/>
      </c>
      <c r="K473" s="44">
        <f>IF(_calc!$E$475="","",IF(LEN(INDEX('Assets'!$N$4:$N$503,_calc!$E$475))=0,"",INDEX('Assets'!$N$4:$N$503,_calc!$E$475)))</f>
        <v/>
      </c>
    </row>
    <row r="474">
      <c r="A474" s="44">
        <f>IF(_calc!$E$476="","",IF(LEN(INDEX('Assets'!$D$4:$D$503,_calc!$E$476))=0,"",INDEX('Assets'!$D$4:$D$503,_calc!$E$476))&amp;" – "&amp;IF(LEN(INDEX('Assets'!$A$4:$A$503,_calc!$E$476))=0,"",INDEX('Assets'!$A$4:$A$503,_calc!$E$476)))</f>
        <v/>
      </c>
      <c r="B474" s="44">
        <f>IF(_calc!$E$476="","",IF(ISNUMBER(INDEX('Assets'!$G$4:$G$503,_calc!$E$476)),TEXT(INDEX('Assets'!$G$4:$G$503,_calc!$E$476),"yyyy-mm-dd"),""))</f>
        <v/>
      </c>
      <c r="C474" s="44">
        <f>IF(_calc!$E$476="","","Inspection")</f>
        <v/>
      </c>
      <c r="D474" s="44">
        <f>IF(_calc!$E$476="","",IF(ISNUMBER(INDEX('Assets'!$F$4:$F$503,_calc!$E$476)),TEXT(INDEX('Assets'!$F$4:$F$503,_calc!$E$476),"yyyy-mm-dd"),""))</f>
        <v/>
      </c>
      <c r="E474" s="44">
        <f>IF(_calc!$E$476="","",IF(LEN(INDEX('Assets'!$O$4:$O$503,_calc!$E$476))=0,"",INDEX('Assets'!$O$4:$O$503,_calc!$E$476)))</f>
        <v/>
      </c>
      <c r="F474" s="44">
        <f>IF(_calc!$E$476="","",TRIM(IF(LEN(IF(LEN(INDEX('Assets'!$B$4:$B$503,_calc!$E$476))=0,"",INDEX('Assets'!$B$4:$B$503,_calc!$E$476)))=0,"","Asset ID: "&amp;IF(LEN(INDEX('Assets'!$B$4:$B$503,_calc!$E$476))=0,"",INDEX('Assets'!$B$4:$B$503,_calc!$E$476))&amp;". ")&amp;IF(LEN(IF(LEN(INDEX('Assets'!$C$4:$C$503,_calc!$E$476))=0,"",INDEX('Assets'!$C$4:$C$503,_calc!$E$476)))=0,"","Location: "&amp;IF(LEN(INDEX('Assets'!$C$4:$C$503,_calc!$E$476))=0,"",INDEX('Assets'!$C$4:$C$503,_calc!$E$476))&amp;". ")&amp;IF(LEN(IF(LEN(INDEX('Assets'!$E$4:$E$503,_calc!$E$476))=0,"",INDEX('Assets'!$E$4:$E$503,_calc!$E$476)))=0,"","Every (months): "&amp;IF(LEN(INDEX('Assets'!$E$4:$E$503,_calc!$E$476))=0,"",INDEX('Assets'!$E$4:$E$503,_calc!$E$476))&amp;". ")&amp;IF(LEN(IF(LEN(INDEX('Assets'!$M$4:$M$503,_calc!$E$476))=0,"",INDEX('Assets'!$M$4:$M$503,_calc!$E$476)))=0,"","Last result: "&amp;IF(LEN(INDEX('Assets'!$M$4:$M$503,_calc!$E$476))=0,"",INDEX('Assets'!$M$4:$M$503,_calc!$E$476))&amp;". ")&amp;IF(LEN(IF(LEN(INDEX('Assets'!$Q$4:$Q$503,_calc!$E$476))=0,"",INDEX('Assets'!$Q$4:$Q$503,_calc!$E$476)))=0,"",IF(LEN(INDEX('Assets'!$Q$4:$Q$503,_calc!$E$476))=0,"",INDEX('Assets'!$Q$4:$Q$503,_calc!$E$476)))))</f>
        <v/>
      </c>
      <c r="G474" s="44">
        <f>IF(_calc!$E$476="","",IF(LEN(INDEX('Assets'!$P$4:$P$503,_calc!$E$476))=0,"",INDEX('Assets'!$P$4:$P$503,_calc!$E$476)))</f>
        <v/>
      </c>
      <c r="K474" s="44">
        <f>IF(_calc!$E$476="","",IF(LEN(INDEX('Assets'!$N$4:$N$503,_calc!$E$476))=0,"",INDEX('Assets'!$N$4:$N$503,_calc!$E$476)))</f>
        <v/>
      </c>
    </row>
    <row r="475">
      <c r="A475" s="44">
        <f>IF(_calc!$E$477="","",IF(LEN(INDEX('Assets'!$D$4:$D$503,_calc!$E$477))=0,"",INDEX('Assets'!$D$4:$D$503,_calc!$E$477))&amp;" – "&amp;IF(LEN(INDEX('Assets'!$A$4:$A$503,_calc!$E$477))=0,"",INDEX('Assets'!$A$4:$A$503,_calc!$E$477)))</f>
        <v/>
      </c>
      <c r="B475" s="44">
        <f>IF(_calc!$E$477="","",IF(ISNUMBER(INDEX('Assets'!$G$4:$G$503,_calc!$E$477)),TEXT(INDEX('Assets'!$G$4:$G$503,_calc!$E$477),"yyyy-mm-dd"),""))</f>
        <v/>
      </c>
      <c r="C475" s="44">
        <f>IF(_calc!$E$477="","","Inspection")</f>
        <v/>
      </c>
      <c r="D475" s="44">
        <f>IF(_calc!$E$477="","",IF(ISNUMBER(INDEX('Assets'!$F$4:$F$503,_calc!$E$477)),TEXT(INDEX('Assets'!$F$4:$F$503,_calc!$E$477),"yyyy-mm-dd"),""))</f>
        <v/>
      </c>
      <c r="E475" s="44">
        <f>IF(_calc!$E$477="","",IF(LEN(INDEX('Assets'!$O$4:$O$503,_calc!$E$477))=0,"",INDEX('Assets'!$O$4:$O$503,_calc!$E$477)))</f>
        <v/>
      </c>
      <c r="F475" s="44">
        <f>IF(_calc!$E$477="","",TRIM(IF(LEN(IF(LEN(INDEX('Assets'!$B$4:$B$503,_calc!$E$477))=0,"",INDEX('Assets'!$B$4:$B$503,_calc!$E$477)))=0,"","Asset ID: "&amp;IF(LEN(INDEX('Assets'!$B$4:$B$503,_calc!$E$477))=0,"",INDEX('Assets'!$B$4:$B$503,_calc!$E$477))&amp;". ")&amp;IF(LEN(IF(LEN(INDEX('Assets'!$C$4:$C$503,_calc!$E$477))=0,"",INDEX('Assets'!$C$4:$C$503,_calc!$E$477)))=0,"","Location: "&amp;IF(LEN(INDEX('Assets'!$C$4:$C$503,_calc!$E$477))=0,"",INDEX('Assets'!$C$4:$C$503,_calc!$E$477))&amp;". ")&amp;IF(LEN(IF(LEN(INDEX('Assets'!$E$4:$E$503,_calc!$E$477))=0,"",INDEX('Assets'!$E$4:$E$503,_calc!$E$477)))=0,"","Every (months): "&amp;IF(LEN(INDEX('Assets'!$E$4:$E$503,_calc!$E$477))=0,"",INDEX('Assets'!$E$4:$E$503,_calc!$E$477))&amp;". ")&amp;IF(LEN(IF(LEN(INDEX('Assets'!$M$4:$M$503,_calc!$E$477))=0,"",INDEX('Assets'!$M$4:$M$503,_calc!$E$477)))=0,"","Last result: "&amp;IF(LEN(INDEX('Assets'!$M$4:$M$503,_calc!$E$477))=0,"",INDEX('Assets'!$M$4:$M$503,_calc!$E$477))&amp;". ")&amp;IF(LEN(IF(LEN(INDEX('Assets'!$Q$4:$Q$503,_calc!$E$477))=0,"",INDEX('Assets'!$Q$4:$Q$503,_calc!$E$477)))=0,"",IF(LEN(INDEX('Assets'!$Q$4:$Q$503,_calc!$E$477))=0,"",INDEX('Assets'!$Q$4:$Q$503,_calc!$E$477)))))</f>
        <v/>
      </c>
      <c r="G475" s="44">
        <f>IF(_calc!$E$477="","",IF(LEN(INDEX('Assets'!$P$4:$P$503,_calc!$E$477))=0,"",INDEX('Assets'!$P$4:$P$503,_calc!$E$477)))</f>
        <v/>
      </c>
      <c r="K475" s="44">
        <f>IF(_calc!$E$477="","",IF(LEN(INDEX('Assets'!$N$4:$N$503,_calc!$E$477))=0,"",INDEX('Assets'!$N$4:$N$503,_calc!$E$477)))</f>
        <v/>
      </c>
    </row>
    <row r="476">
      <c r="A476" s="44">
        <f>IF(_calc!$E$478="","",IF(LEN(INDEX('Assets'!$D$4:$D$503,_calc!$E$478))=0,"",INDEX('Assets'!$D$4:$D$503,_calc!$E$478))&amp;" – "&amp;IF(LEN(INDEX('Assets'!$A$4:$A$503,_calc!$E$478))=0,"",INDEX('Assets'!$A$4:$A$503,_calc!$E$478)))</f>
        <v/>
      </c>
      <c r="B476" s="44">
        <f>IF(_calc!$E$478="","",IF(ISNUMBER(INDEX('Assets'!$G$4:$G$503,_calc!$E$478)),TEXT(INDEX('Assets'!$G$4:$G$503,_calc!$E$478),"yyyy-mm-dd"),""))</f>
        <v/>
      </c>
      <c r="C476" s="44">
        <f>IF(_calc!$E$478="","","Inspection")</f>
        <v/>
      </c>
      <c r="D476" s="44">
        <f>IF(_calc!$E$478="","",IF(ISNUMBER(INDEX('Assets'!$F$4:$F$503,_calc!$E$478)),TEXT(INDEX('Assets'!$F$4:$F$503,_calc!$E$478),"yyyy-mm-dd"),""))</f>
        <v/>
      </c>
      <c r="E476" s="44">
        <f>IF(_calc!$E$478="","",IF(LEN(INDEX('Assets'!$O$4:$O$503,_calc!$E$478))=0,"",INDEX('Assets'!$O$4:$O$503,_calc!$E$478)))</f>
        <v/>
      </c>
      <c r="F476" s="44">
        <f>IF(_calc!$E$478="","",TRIM(IF(LEN(IF(LEN(INDEX('Assets'!$B$4:$B$503,_calc!$E$478))=0,"",INDEX('Assets'!$B$4:$B$503,_calc!$E$478)))=0,"","Asset ID: "&amp;IF(LEN(INDEX('Assets'!$B$4:$B$503,_calc!$E$478))=0,"",INDEX('Assets'!$B$4:$B$503,_calc!$E$478))&amp;". ")&amp;IF(LEN(IF(LEN(INDEX('Assets'!$C$4:$C$503,_calc!$E$478))=0,"",INDEX('Assets'!$C$4:$C$503,_calc!$E$478)))=0,"","Location: "&amp;IF(LEN(INDEX('Assets'!$C$4:$C$503,_calc!$E$478))=0,"",INDEX('Assets'!$C$4:$C$503,_calc!$E$478))&amp;". ")&amp;IF(LEN(IF(LEN(INDEX('Assets'!$E$4:$E$503,_calc!$E$478))=0,"",INDEX('Assets'!$E$4:$E$503,_calc!$E$478)))=0,"","Every (months): "&amp;IF(LEN(INDEX('Assets'!$E$4:$E$503,_calc!$E$478))=0,"",INDEX('Assets'!$E$4:$E$503,_calc!$E$478))&amp;". ")&amp;IF(LEN(IF(LEN(INDEX('Assets'!$M$4:$M$503,_calc!$E$478))=0,"",INDEX('Assets'!$M$4:$M$503,_calc!$E$478)))=0,"","Last result: "&amp;IF(LEN(INDEX('Assets'!$M$4:$M$503,_calc!$E$478))=0,"",INDEX('Assets'!$M$4:$M$503,_calc!$E$478))&amp;". ")&amp;IF(LEN(IF(LEN(INDEX('Assets'!$Q$4:$Q$503,_calc!$E$478))=0,"",INDEX('Assets'!$Q$4:$Q$503,_calc!$E$478)))=0,"",IF(LEN(INDEX('Assets'!$Q$4:$Q$503,_calc!$E$478))=0,"",INDEX('Assets'!$Q$4:$Q$503,_calc!$E$478)))))</f>
        <v/>
      </c>
      <c r="G476" s="44">
        <f>IF(_calc!$E$478="","",IF(LEN(INDEX('Assets'!$P$4:$P$503,_calc!$E$478))=0,"",INDEX('Assets'!$P$4:$P$503,_calc!$E$478)))</f>
        <v/>
      </c>
      <c r="K476" s="44">
        <f>IF(_calc!$E$478="","",IF(LEN(INDEX('Assets'!$N$4:$N$503,_calc!$E$478))=0,"",INDEX('Assets'!$N$4:$N$503,_calc!$E$478)))</f>
        <v/>
      </c>
    </row>
    <row r="477">
      <c r="A477" s="44">
        <f>IF(_calc!$E$479="","",IF(LEN(INDEX('Assets'!$D$4:$D$503,_calc!$E$479))=0,"",INDEX('Assets'!$D$4:$D$503,_calc!$E$479))&amp;" – "&amp;IF(LEN(INDEX('Assets'!$A$4:$A$503,_calc!$E$479))=0,"",INDEX('Assets'!$A$4:$A$503,_calc!$E$479)))</f>
        <v/>
      </c>
      <c r="B477" s="44">
        <f>IF(_calc!$E$479="","",IF(ISNUMBER(INDEX('Assets'!$G$4:$G$503,_calc!$E$479)),TEXT(INDEX('Assets'!$G$4:$G$503,_calc!$E$479),"yyyy-mm-dd"),""))</f>
        <v/>
      </c>
      <c r="C477" s="44">
        <f>IF(_calc!$E$479="","","Inspection")</f>
        <v/>
      </c>
      <c r="D477" s="44">
        <f>IF(_calc!$E$479="","",IF(ISNUMBER(INDEX('Assets'!$F$4:$F$503,_calc!$E$479)),TEXT(INDEX('Assets'!$F$4:$F$503,_calc!$E$479),"yyyy-mm-dd"),""))</f>
        <v/>
      </c>
      <c r="E477" s="44">
        <f>IF(_calc!$E$479="","",IF(LEN(INDEX('Assets'!$O$4:$O$503,_calc!$E$479))=0,"",INDEX('Assets'!$O$4:$O$503,_calc!$E$479)))</f>
        <v/>
      </c>
      <c r="F477" s="44">
        <f>IF(_calc!$E$479="","",TRIM(IF(LEN(IF(LEN(INDEX('Assets'!$B$4:$B$503,_calc!$E$479))=0,"",INDEX('Assets'!$B$4:$B$503,_calc!$E$479)))=0,"","Asset ID: "&amp;IF(LEN(INDEX('Assets'!$B$4:$B$503,_calc!$E$479))=0,"",INDEX('Assets'!$B$4:$B$503,_calc!$E$479))&amp;". ")&amp;IF(LEN(IF(LEN(INDEX('Assets'!$C$4:$C$503,_calc!$E$479))=0,"",INDEX('Assets'!$C$4:$C$503,_calc!$E$479)))=0,"","Location: "&amp;IF(LEN(INDEX('Assets'!$C$4:$C$503,_calc!$E$479))=0,"",INDEX('Assets'!$C$4:$C$503,_calc!$E$479))&amp;". ")&amp;IF(LEN(IF(LEN(INDEX('Assets'!$E$4:$E$503,_calc!$E$479))=0,"",INDEX('Assets'!$E$4:$E$503,_calc!$E$479)))=0,"","Every (months): "&amp;IF(LEN(INDEX('Assets'!$E$4:$E$503,_calc!$E$479))=0,"",INDEX('Assets'!$E$4:$E$503,_calc!$E$479))&amp;". ")&amp;IF(LEN(IF(LEN(INDEX('Assets'!$M$4:$M$503,_calc!$E$479))=0,"",INDEX('Assets'!$M$4:$M$503,_calc!$E$479)))=0,"","Last result: "&amp;IF(LEN(INDEX('Assets'!$M$4:$M$503,_calc!$E$479))=0,"",INDEX('Assets'!$M$4:$M$503,_calc!$E$479))&amp;". ")&amp;IF(LEN(IF(LEN(INDEX('Assets'!$Q$4:$Q$503,_calc!$E$479))=0,"",INDEX('Assets'!$Q$4:$Q$503,_calc!$E$479)))=0,"",IF(LEN(INDEX('Assets'!$Q$4:$Q$503,_calc!$E$479))=0,"",INDEX('Assets'!$Q$4:$Q$503,_calc!$E$479)))))</f>
        <v/>
      </c>
      <c r="G477" s="44">
        <f>IF(_calc!$E$479="","",IF(LEN(INDEX('Assets'!$P$4:$P$503,_calc!$E$479))=0,"",INDEX('Assets'!$P$4:$P$503,_calc!$E$479)))</f>
        <v/>
      </c>
      <c r="K477" s="44">
        <f>IF(_calc!$E$479="","",IF(LEN(INDEX('Assets'!$N$4:$N$503,_calc!$E$479))=0,"",INDEX('Assets'!$N$4:$N$503,_calc!$E$479)))</f>
        <v/>
      </c>
    </row>
    <row r="478">
      <c r="A478" s="44">
        <f>IF(_calc!$E$480="","",IF(LEN(INDEX('Assets'!$D$4:$D$503,_calc!$E$480))=0,"",INDEX('Assets'!$D$4:$D$503,_calc!$E$480))&amp;" – "&amp;IF(LEN(INDEX('Assets'!$A$4:$A$503,_calc!$E$480))=0,"",INDEX('Assets'!$A$4:$A$503,_calc!$E$480)))</f>
        <v/>
      </c>
      <c r="B478" s="44">
        <f>IF(_calc!$E$480="","",IF(ISNUMBER(INDEX('Assets'!$G$4:$G$503,_calc!$E$480)),TEXT(INDEX('Assets'!$G$4:$G$503,_calc!$E$480),"yyyy-mm-dd"),""))</f>
        <v/>
      </c>
      <c r="C478" s="44">
        <f>IF(_calc!$E$480="","","Inspection")</f>
        <v/>
      </c>
      <c r="D478" s="44">
        <f>IF(_calc!$E$480="","",IF(ISNUMBER(INDEX('Assets'!$F$4:$F$503,_calc!$E$480)),TEXT(INDEX('Assets'!$F$4:$F$503,_calc!$E$480),"yyyy-mm-dd"),""))</f>
        <v/>
      </c>
      <c r="E478" s="44">
        <f>IF(_calc!$E$480="","",IF(LEN(INDEX('Assets'!$O$4:$O$503,_calc!$E$480))=0,"",INDEX('Assets'!$O$4:$O$503,_calc!$E$480)))</f>
        <v/>
      </c>
      <c r="F478" s="44">
        <f>IF(_calc!$E$480="","",TRIM(IF(LEN(IF(LEN(INDEX('Assets'!$B$4:$B$503,_calc!$E$480))=0,"",INDEX('Assets'!$B$4:$B$503,_calc!$E$480)))=0,"","Asset ID: "&amp;IF(LEN(INDEX('Assets'!$B$4:$B$503,_calc!$E$480))=0,"",INDEX('Assets'!$B$4:$B$503,_calc!$E$480))&amp;". ")&amp;IF(LEN(IF(LEN(INDEX('Assets'!$C$4:$C$503,_calc!$E$480))=0,"",INDEX('Assets'!$C$4:$C$503,_calc!$E$480)))=0,"","Location: "&amp;IF(LEN(INDEX('Assets'!$C$4:$C$503,_calc!$E$480))=0,"",INDEX('Assets'!$C$4:$C$503,_calc!$E$480))&amp;". ")&amp;IF(LEN(IF(LEN(INDEX('Assets'!$E$4:$E$503,_calc!$E$480))=0,"",INDEX('Assets'!$E$4:$E$503,_calc!$E$480)))=0,"","Every (months): "&amp;IF(LEN(INDEX('Assets'!$E$4:$E$503,_calc!$E$480))=0,"",INDEX('Assets'!$E$4:$E$503,_calc!$E$480))&amp;". ")&amp;IF(LEN(IF(LEN(INDEX('Assets'!$M$4:$M$503,_calc!$E$480))=0,"",INDEX('Assets'!$M$4:$M$503,_calc!$E$480)))=0,"","Last result: "&amp;IF(LEN(INDEX('Assets'!$M$4:$M$503,_calc!$E$480))=0,"",INDEX('Assets'!$M$4:$M$503,_calc!$E$480))&amp;". ")&amp;IF(LEN(IF(LEN(INDEX('Assets'!$Q$4:$Q$503,_calc!$E$480))=0,"",INDEX('Assets'!$Q$4:$Q$503,_calc!$E$480)))=0,"",IF(LEN(INDEX('Assets'!$Q$4:$Q$503,_calc!$E$480))=0,"",INDEX('Assets'!$Q$4:$Q$503,_calc!$E$480)))))</f>
        <v/>
      </c>
      <c r="G478" s="44">
        <f>IF(_calc!$E$480="","",IF(LEN(INDEX('Assets'!$P$4:$P$503,_calc!$E$480))=0,"",INDEX('Assets'!$P$4:$P$503,_calc!$E$480)))</f>
        <v/>
      </c>
      <c r="K478" s="44">
        <f>IF(_calc!$E$480="","",IF(LEN(INDEX('Assets'!$N$4:$N$503,_calc!$E$480))=0,"",INDEX('Assets'!$N$4:$N$503,_calc!$E$480)))</f>
        <v/>
      </c>
    </row>
    <row r="479">
      <c r="A479" s="44">
        <f>IF(_calc!$E$481="","",IF(LEN(INDEX('Assets'!$D$4:$D$503,_calc!$E$481))=0,"",INDEX('Assets'!$D$4:$D$503,_calc!$E$481))&amp;" – "&amp;IF(LEN(INDEX('Assets'!$A$4:$A$503,_calc!$E$481))=0,"",INDEX('Assets'!$A$4:$A$503,_calc!$E$481)))</f>
        <v/>
      </c>
      <c r="B479" s="44">
        <f>IF(_calc!$E$481="","",IF(ISNUMBER(INDEX('Assets'!$G$4:$G$503,_calc!$E$481)),TEXT(INDEX('Assets'!$G$4:$G$503,_calc!$E$481),"yyyy-mm-dd"),""))</f>
        <v/>
      </c>
      <c r="C479" s="44">
        <f>IF(_calc!$E$481="","","Inspection")</f>
        <v/>
      </c>
      <c r="D479" s="44">
        <f>IF(_calc!$E$481="","",IF(ISNUMBER(INDEX('Assets'!$F$4:$F$503,_calc!$E$481)),TEXT(INDEX('Assets'!$F$4:$F$503,_calc!$E$481),"yyyy-mm-dd"),""))</f>
        <v/>
      </c>
      <c r="E479" s="44">
        <f>IF(_calc!$E$481="","",IF(LEN(INDEX('Assets'!$O$4:$O$503,_calc!$E$481))=0,"",INDEX('Assets'!$O$4:$O$503,_calc!$E$481)))</f>
        <v/>
      </c>
      <c r="F479" s="44">
        <f>IF(_calc!$E$481="","",TRIM(IF(LEN(IF(LEN(INDEX('Assets'!$B$4:$B$503,_calc!$E$481))=0,"",INDEX('Assets'!$B$4:$B$503,_calc!$E$481)))=0,"","Asset ID: "&amp;IF(LEN(INDEX('Assets'!$B$4:$B$503,_calc!$E$481))=0,"",INDEX('Assets'!$B$4:$B$503,_calc!$E$481))&amp;". ")&amp;IF(LEN(IF(LEN(INDEX('Assets'!$C$4:$C$503,_calc!$E$481))=0,"",INDEX('Assets'!$C$4:$C$503,_calc!$E$481)))=0,"","Location: "&amp;IF(LEN(INDEX('Assets'!$C$4:$C$503,_calc!$E$481))=0,"",INDEX('Assets'!$C$4:$C$503,_calc!$E$481))&amp;". ")&amp;IF(LEN(IF(LEN(INDEX('Assets'!$E$4:$E$503,_calc!$E$481))=0,"",INDEX('Assets'!$E$4:$E$503,_calc!$E$481)))=0,"","Every (months): "&amp;IF(LEN(INDEX('Assets'!$E$4:$E$503,_calc!$E$481))=0,"",INDEX('Assets'!$E$4:$E$503,_calc!$E$481))&amp;". ")&amp;IF(LEN(IF(LEN(INDEX('Assets'!$M$4:$M$503,_calc!$E$481))=0,"",INDEX('Assets'!$M$4:$M$503,_calc!$E$481)))=0,"","Last result: "&amp;IF(LEN(INDEX('Assets'!$M$4:$M$503,_calc!$E$481))=0,"",INDEX('Assets'!$M$4:$M$503,_calc!$E$481))&amp;". ")&amp;IF(LEN(IF(LEN(INDEX('Assets'!$Q$4:$Q$503,_calc!$E$481))=0,"",INDEX('Assets'!$Q$4:$Q$503,_calc!$E$481)))=0,"",IF(LEN(INDEX('Assets'!$Q$4:$Q$503,_calc!$E$481))=0,"",INDEX('Assets'!$Q$4:$Q$503,_calc!$E$481)))))</f>
        <v/>
      </c>
      <c r="G479" s="44">
        <f>IF(_calc!$E$481="","",IF(LEN(INDEX('Assets'!$P$4:$P$503,_calc!$E$481))=0,"",INDEX('Assets'!$P$4:$P$503,_calc!$E$481)))</f>
        <v/>
      </c>
      <c r="K479" s="44">
        <f>IF(_calc!$E$481="","",IF(LEN(INDEX('Assets'!$N$4:$N$503,_calc!$E$481))=0,"",INDEX('Assets'!$N$4:$N$503,_calc!$E$481)))</f>
        <v/>
      </c>
    </row>
    <row r="480">
      <c r="A480" s="44">
        <f>IF(_calc!$E$482="","",IF(LEN(INDEX('Assets'!$D$4:$D$503,_calc!$E$482))=0,"",INDEX('Assets'!$D$4:$D$503,_calc!$E$482))&amp;" – "&amp;IF(LEN(INDEX('Assets'!$A$4:$A$503,_calc!$E$482))=0,"",INDEX('Assets'!$A$4:$A$503,_calc!$E$482)))</f>
        <v/>
      </c>
      <c r="B480" s="44">
        <f>IF(_calc!$E$482="","",IF(ISNUMBER(INDEX('Assets'!$G$4:$G$503,_calc!$E$482)),TEXT(INDEX('Assets'!$G$4:$G$503,_calc!$E$482),"yyyy-mm-dd"),""))</f>
        <v/>
      </c>
      <c r="C480" s="44">
        <f>IF(_calc!$E$482="","","Inspection")</f>
        <v/>
      </c>
      <c r="D480" s="44">
        <f>IF(_calc!$E$482="","",IF(ISNUMBER(INDEX('Assets'!$F$4:$F$503,_calc!$E$482)),TEXT(INDEX('Assets'!$F$4:$F$503,_calc!$E$482),"yyyy-mm-dd"),""))</f>
        <v/>
      </c>
      <c r="E480" s="44">
        <f>IF(_calc!$E$482="","",IF(LEN(INDEX('Assets'!$O$4:$O$503,_calc!$E$482))=0,"",INDEX('Assets'!$O$4:$O$503,_calc!$E$482)))</f>
        <v/>
      </c>
      <c r="F480" s="44">
        <f>IF(_calc!$E$482="","",TRIM(IF(LEN(IF(LEN(INDEX('Assets'!$B$4:$B$503,_calc!$E$482))=0,"",INDEX('Assets'!$B$4:$B$503,_calc!$E$482)))=0,"","Asset ID: "&amp;IF(LEN(INDEX('Assets'!$B$4:$B$503,_calc!$E$482))=0,"",INDEX('Assets'!$B$4:$B$503,_calc!$E$482))&amp;". ")&amp;IF(LEN(IF(LEN(INDEX('Assets'!$C$4:$C$503,_calc!$E$482))=0,"",INDEX('Assets'!$C$4:$C$503,_calc!$E$482)))=0,"","Location: "&amp;IF(LEN(INDEX('Assets'!$C$4:$C$503,_calc!$E$482))=0,"",INDEX('Assets'!$C$4:$C$503,_calc!$E$482))&amp;". ")&amp;IF(LEN(IF(LEN(INDEX('Assets'!$E$4:$E$503,_calc!$E$482))=0,"",INDEX('Assets'!$E$4:$E$503,_calc!$E$482)))=0,"","Every (months): "&amp;IF(LEN(INDEX('Assets'!$E$4:$E$503,_calc!$E$482))=0,"",INDEX('Assets'!$E$4:$E$503,_calc!$E$482))&amp;". ")&amp;IF(LEN(IF(LEN(INDEX('Assets'!$M$4:$M$503,_calc!$E$482))=0,"",INDEX('Assets'!$M$4:$M$503,_calc!$E$482)))=0,"","Last result: "&amp;IF(LEN(INDEX('Assets'!$M$4:$M$503,_calc!$E$482))=0,"",INDEX('Assets'!$M$4:$M$503,_calc!$E$482))&amp;". ")&amp;IF(LEN(IF(LEN(INDEX('Assets'!$Q$4:$Q$503,_calc!$E$482))=0,"",INDEX('Assets'!$Q$4:$Q$503,_calc!$E$482)))=0,"",IF(LEN(INDEX('Assets'!$Q$4:$Q$503,_calc!$E$482))=0,"",INDEX('Assets'!$Q$4:$Q$503,_calc!$E$482)))))</f>
        <v/>
      </c>
      <c r="G480" s="44">
        <f>IF(_calc!$E$482="","",IF(LEN(INDEX('Assets'!$P$4:$P$503,_calc!$E$482))=0,"",INDEX('Assets'!$P$4:$P$503,_calc!$E$482)))</f>
        <v/>
      </c>
      <c r="K480" s="44">
        <f>IF(_calc!$E$482="","",IF(LEN(INDEX('Assets'!$N$4:$N$503,_calc!$E$482))=0,"",INDEX('Assets'!$N$4:$N$503,_calc!$E$482)))</f>
        <v/>
      </c>
    </row>
    <row r="481">
      <c r="A481" s="44">
        <f>IF(_calc!$E$483="","",IF(LEN(INDEX('Assets'!$D$4:$D$503,_calc!$E$483))=0,"",INDEX('Assets'!$D$4:$D$503,_calc!$E$483))&amp;" – "&amp;IF(LEN(INDEX('Assets'!$A$4:$A$503,_calc!$E$483))=0,"",INDEX('Assets'!$A$4:$A$503,_calc!$E$483)))</f>
        <v/>
      </c>
      <c r="B481" s="44">
        <f>IF(_calc!$E$483="","",IF(ISNUMBER(INDEX('Assets'!$G$4:$G$503,_calc!$E$483)),TEXT(INDEX('Assets'!$G$4:$G$503,_calc!$E$483),"yyyy-mm-dd"),""))</f>
        <v/>
      </c>
      <c r="C481" s="44">
        <f>IF(_calc!$E$483="","","Inspection")</f>
        <v/>
      </c>
      <c r="D481" s="44">
        <f>IF(_calc!$E$483="","",IF(ISNUMBER(INDEX('Assets'!$F$4:$F$503,_calc!$E$483)),TEXT(INDEX('Assets'!$F$4:$F$503,_calc!$E$483),"yyyy-mm-dd"),""))</f>
        <v/>
      </c>
      <c r="E481" s="44">
        <f>IF(_calc!$E$483="","",IF(LEN(INDEX('Assets'!$O$4:$O$503,_calc!$E$483))=0,"",INDEX('Assets'!$O$4:$O$503,_calc!$E$483)))</f>
        <v/>
      </c>
      <c r="F481" s="44">
        <f>IF(_calc!$E$483="","",TRIM(IF(LEN(IF(LEN(INDEX('Assets'!$B$4:$B$503,_calc!$E$483))=0,"",INDEX('Assets'!$B$4:$B$503,_calc!$E$483)))=0,"","Asset ID: "&amp;IF(LEN(INDEX('Assets'!$B$4:$B$503,_calc!$E$483))=0,"",INDEX('Assets'!$B$4:$B$503,_calc!$E$483))&amp;". ")&amp;IF(LEN(IF(LEN(INDEX('Assets'!$C$4:$C$503,_calc!$E$483))=0,"",INDEX('Assets'!$C$4:$C$503,_calc!$E$483)))=0,"","Location: "&amp;IF(LEN(INDEX('Assets'!$C$4:$C$503,_calc!$E$483))=0,"",INDEX('Assets'!$C$4:$C$503,_calc!$E$483))&amp;". ")&amp;IF(LEN(IF(LEN(INDEX('Assets'!$E$4:$E$503,_calc!$E$483))=0,"",INDEX('Assets'!$E$4:$E$503,_calc!$E$483)))=0,"","Every (months): "&amp;IF(LEN(INDEX('Assets'!$E$4:$E$503,_calc!$E$483))=0,"",INDEX('Assets'!$E$4:$E$503,_calc!$E$483))&amp;". ")&amp;IF(LEN(IF(LEN(INDEX('Assets'!$M$4:$M$503,_calc!$E$483))=0,"",INDEX('Assets'!$M$4:$M$503,_calc!$E$483)))=0,"","Last result: "&amp;IF(LEN(INDEX('Assets'!$M$4:$M$503,_calc!$E$483))=0,"",INDEX('Assets'!$M$4:$M$503,_calc!$E$483))&amp;". ")&amp;IF(LEN(IF(LEN(INDEX('Assets'!$Q$4:$Q$503,_calc!$E$483))=0,"",INDEX('Assets'!$Q$4:$Q$503,_calc!$E$483)))=0,"",IF(LEN(INDEX('Assets'!$Q$4:$Q$503,_calc!$E$483))=0,"",INDEX('Assets'!$Q$4:$Q$503,_calc!$E$483)))))</f>
        <v/>
      </c>
      <c r="G481" s="44">
        <f>IF(_calc!$E$483="","",IF(LEN(INDEX('Assets'!$P$4:$P$503,_calc!$E$483))=0,"",INDEX('Assets'!$P$4:$P$503,_calc!$E$483)))</f>
        <v/>
      </c>
      <c r="K481" s="44">
        <f>IF(_calc!$E$483="","",IF(LEN(INDEX('Assets'!$N$4:$N$503,_calc!$E$483))=0,"",INDEX('Assets'!$N$4:$N$503,_calc!$E$483)))</f>
        <v/>
      </c>
    </row>
    <row r="482">
      <c r="A482" s="44">
        <f>IF(_calc!$E$484="","",IF(LEN(INDEX('Assets'!$D$4:$D$503,_calc!$E$484))=0,"",INDEX('Assets'!$D$4:$D$503,_calc!$E$484))&amp;" – "&amp;IF(LEN(INDEX('Assets'!$A$4:$A$503,_calc!$E$484))=0,"",INDEX('Assets'!$A$4:$A$503,_calc!$E$484)))</f>
        <v/>
      </c>
      <c r="B482" s="44">
        <f>IF(_calc!$E$484="","",IF(ISNUMBER(INDEX('Assets'!$G$4:$G$503,_calc!$E$484)),TEXT(INDEX('Assets'!$G$4:$G$503,_calc!$E$484),"yyyy-mm-dd"),""))</f>
        <v/>
      </c>
      <c r="C482" s="44">
        <f>IF(_calc!$E$484="","","Inspection")</f>
        <v/>
      </c>
      <c r="D482" s="44">
        <f>IF(_calc!$E$484="","",IF(ISNUMBER(INDEX('Assets'!$F$4:$F$503,_calc!$E$484)),TEXT(INDEX('Assets'!$F$4:$F$503,_calc!$E$484),"yyyy-mm-dd"),""))</f>
        <v/>
      </c>
      <c r="E482" s="44">
        <f>IF(_calc!$E$484="","",IF(LEN(INDEX('Assets'!$O$4:$O$503,_calc!$E$484))=0,"",INDEX('Assets'!$O$4:$O$503,_calc!$E$484)))</f>
        <v/>
      </c>
      <c r="F482" s="44">
        <f>IF(_calc!$E$484="","",TRIM(IF(LEN(IF(LEN(INDEX('Assets'!$B$4:$B$503,_calc!$E$484))=0,"",INDEX('Assets'!$B$4:$B$503,_calc!$E$484)))=0,"","Asset ID: "&amp;IF(LEN(INDEX('Assets'!$B$4:$B$503,_calc!$E$484))=0,"",INDEX('Assets'!$B$4:$B$503,_calc!$E$484))&amp;". ")&amp;IF(LEN(IF(LEN(INDEX('Assets'!$C$4:$C$503,_calc!$E$484))=0,"",INDEX('Assets'!$C$4:$C$503,_calc!$E$484)))=0,"","Location: "&amp;IF(LEN(INDEX('Assets'!$C$4:$C$503,_calc!$E$484))=0,"",INDEX('Assets'!$C$4:$C$503,_calc!$E$484))&amp;". ")&amp;IF(LEN(IF(LEN(INDEX('Assets'!$E$4:$E$503,_calc!$E$484))=0,"",INDEX('Assets'!$E$4:$E$503,_calc!$E$484)))=0,"","Every (months): "&amp;IF(LEN(INDEX('Assets'!$E$4:$E$503,_calc!$E$484))=0,"",INDEX('Assets'!$E$4:$E$503,_calc!$E$484))&amp;". ")&amp;IF(LEN(IF(LEN(INDEX('Assets'!$M$4:$M$503,_calc!$E$484))=0,"",INDEX('Assets'!$M$4:$M$503,_calc!$E$484)))=0,"","Last result: "&amp;IF(LEN(INDEX('Assets'!$M$4:$M$503,_calc!$E$484))=0,"",INDEX('Assets'!$M$4:$M$503,_calc!$E$484))&amp;". ")&amp;IF(LEN(IF(LEN(INDEX('Assets'!$Q$4:$Q$503,_calc!$E$484))=0,"",INDEX('Assets'!$Q$4:$Q$503,_calc!$E$484)))=0,"",IF(LEN(INDEX('Assets'!$Q$4:$Q$503,_calc!$E$484))=0,"",INDEX('Assets'!$Q$4:$Q$503,_calc!$E$484)))))</f>
        <v/>
      </c>
      <c r="G482" s="44">
        <f>IF(_calc!$E$484="","",IF(LEN(INDEX('Assets'!$P$4:$P$503,_calc!$E$484))=0,"",INDEX('Assets'!$P$4:$P$503,_calc!$E$484)))</f>
        <v/>
      </c>
      <c r="K482" s="44">
        <f>IF(_calc!$E$484="","",IF(LEN(INDEX('Assets'!$N$4:$N$503,_calc!$E$484))=0,"",INDEX('Assets'!$N$4:$N$503,_calc!$E$484)))</f>
        <v/>
      </c>
    </row>
    <row r="483">
      <c r="A483" s="44">
        <f>IF(_calc!$E$485="","",IF(LEN(INDEX('Assets'!$D$4:$D$503,_calc!$E$485))=0,"",INDEX('Assets'!$D$4:$D$503,_calc!$E$485))&amp;" – "&amp;IF(LEN(INDEX('Assets'!$A$4:$A$503,_calc!$E$485))=0,"",INDEX('Assets'!$A$4:$A$503,_calc!$E$485)))</f>
        <v/>
      </c>
      <c r="B483" s="44">
        <f>IF(_calc!$E$485="","",IF(ISNUMBER(INDEX('Assets'!$G$4:$G$503,_calc!$E$485)),TEXT(INDEX('Assets'!$G$4:$G$503,_calc!$E$485),"yyyy-mm-dd"),""))</f>
        <v/>
      </c>
      <c r="C483" s="44">
        <f>IF(_calc!$E$485="","","Inspection")</f>
        <v/>
      </c>
      <c r="D483" s="44">
        <f>IF(_calc!$E$485="","",IF(ISNUMBER(INDEX('Assets'!$F$4:$F$503,_calc!$E$485)),TEXT(INDEX('Assets'!$F$4:$F$503,_calc!$E$485),"yyyy-mm-dd"),""))</f>
        <v/>
      </c>
      <c r="E483" s="44">
        <f>IF(_calc!$E$485="","",IF(LEN(INDEX('Assets'!$O$4:$O$503,_calc!$E$485))=0,"",INDEX('Assets'!$O$4:$O$503,_calc!$E$485)))</f>
        <v/>
      </c>
      <c r="F483" s="44">
        <f>IF(_calc!$E$485="","",TRIM(IF(LEN(IF(LEN(INDEX('Assets'!$B$4:$B$503,_calc!$E$485))=0,"",INDEX('Assets'!$B$4:$B$503,_calc!$E$485)))=0,"","Asset ID: "&amp;IF(LEN(INDEX('Assets'!$B$4:$B$503,_calc!$E$485))=0,"",INDEX('Assets'!$B$4:$B$503,_calc!$E$485))&amp;". ")&amp;IF(LEN(IF(LEN(INDEX('Assets'!$C$4:$C$503,_calc!$E$485))=0,"",INDEX('Assets'!$C$4:$C$503,_calc!$E$485)))=0,"","Location: "&amp;IF(LEN(INDEX('Assets'!$C$4:$C$503,_calc!$E$485))=0,"",INDEX('Assets'!$C$4:$C$503,_calc!$E$485))&amp;". ")&amp;IF(LEN(IF(LEN(INDEX('Assets'!$E$4:$E$503,_calc!$E$485))=0,"",INDEX('Assets'!$E$4:$E$503,_calc!$E$485)))=0,"","Every (months): "&amp;IF(LEN(INDEX('Assets'!$E$4:$E$503,_calc!$E$485))=0,"",INDEX('Assets'!$E$4:$E$503,_calc!$E$485))&amp;". ")&amp;IF(LEN(IF(LEN(INDEX('Assets'!$M$4:$M$503,_calc!$E$485))=0,"",INDEX('Assets'!$M$4:$M$503,_calc!$E$485)))=0,"","Last result: "&amp;IF(LEN(INDEX('Assets'!$M$4:$M$503,_calc!$E$485))=0,"",INDEX('Assets'!$M$4:$M$503,_calc!$E$485))&amp;". ")&amp;IF(LEN(IF(LEN(INDEX('Assets'!$Q$4:$Q$503,_calc!$E$485))=0,"",INDEX('Assets'!$Q$4:$Q$503,_calc!$E$485)))=0,"",IF(LEN(INDEX('Assets'!$Q$4:$Q$503,_calc!$E$485))=0,"",INDEX('Assets'!$Q$4:$Q$503,_calc!$E$485)))))</f>
        <v/>
      </c>
      <c r="G483" s="44">
        <f>IF(_calc!$E$485="","",IF(LEN(INDEX('Assets'!$P$4:$P$503,_calc!$E$485))=0,"",INDEX('Assets'!$P$4:$P$503,_calc!$E$485)))</f>
        <v/>
      </c>
      <c r="K483" s="44">
        <f>IF(_calc!$E$485="","",IF(LEN(INDEX('Assets'!$N$4:$N$503,_calc!$E$485))=0,"",INDEX('Assets'!$N$4:$N$503,_calc!$E$485)))</f>
        <v/>
      </c>
    </row>
    <row r="484">
      <c r="A484" s="44">
        <f>IF(_calc!$E$486="","",IF(LEN(INDEX('Assets'!$D$4:$D$503,_calc!$E$486))=0,"",INDEX('Assets'!$D$4:$D$503,_calc!$E$486))&amp;" – "&amp;IF(LEN(INDEX('Assets'!$A$4:$A$503,_calc!$E$486))=0,"",INDEX('Assets'!$A$4:$A$503,_calc!$E$486)))</f>
        <v/>
      </c>
      <c r="B484" s="44">
        <f>IF(_calc!$E$486="","",IF(ISNUMBER(INDEX('Assets'!$G$4:$G$503,_calc!$E$486)),TEXT(INDEX('Assets'!$G$4:$G$503,_calc!$E$486),"yyyy-mm-dd"),""))</f>
        <v/>
      </c>
      <c r="C484" s="44">
        <f>IF(_calc!$E$486="","","Inspection")</f>
        <v/>
      </c>
      <c r="D484" s="44">
        <f>IF(_calc!$E$486="","",IF(ISNUMBER(INDEX('Assets'!$F$4:$F$503,_calc!$E$486)),TEXT(INDEX('Assets'!$F$4:$F$503,_calc!$E$486),"yyyy-mm-dd"),""))</f>
        <v/>
      </c>
      <c r="E484" s="44">
        <f>IF(_calc!$E$486="","",IF(LEN(INDEX('Assets'!$O$4:$O$503,_calc!$E$486))=0,"",INDEX('Assets'!$O$4:$O$503,_calc!$E$486)))</f>
        <v/>
      </c>
      <c r="F484" s="44">
        <f>IF(_calc!$E$486="","",TRIM(IF(LEN(IF(LEN(INDEX('Assets'!$B$4:$B$503,_calc!$E$486))=0,"",INDEX('Assets'!$B$4:$B$503,_calc!$E$486)))=0,"","Asset ID: "&amp;IF(LEN(INDEX('Assets'!$B$4:$B$503,_calc!$E$486))=0,"",INDEX('Assets'!$B$4:$B$503,_calc!$E$486))&amp;". ")&amp;IF(LEN(IF(LEN(INDEX('Assets'!$C$4:$C$503,_calc!$E$486))=0,"",INDEX('Assets'!$C$4:$C$503,_calc!$E$486)))=0,"","Location: "&amp;IF(LEN(INDEX('Assets'!$C$4:$C$503,_calc!$E$486))=0,"",INDEX('Assets'!$C$4:$C$503,_calc!$E$486))&amp;". ")&amp;IF(LEN(IF(LEN(INDEX('Assets'!$E$4:$E$503,_calc!$E$486))=0,"",INDEX('Assets'!$E$4:$E$503,_calc!$E$486)))=0,"","Every (months): "&amp;IF(LEN(INDEX('Assets'!$E$4:$E$503,_calc!$E$486))=0,"",INDEX('Assets'!$E$4:$E$503,_calc!$E$486))&amp;". ")&amp;IF(LEN(IF(LEN(INDEX('Assets'!$M$4:$M$503,_calc!$E$486))=0,"",INDEX('Assets'!$M$4:$M$503,_calc!$E$486)))=0,"","Last result: "&amp;IF(LEN(INDEX('Assets'!$M$4:$M$503,_calc!$E$486))=0,"",INDEX('Assets'!$M$4:$M$503,_calc!$E$486))&amp;". ")&amp;IF(LEN(IF(LEN(INDEX('Assets'!$Q$4:$Q$503,_calc!$E$486))=0,"",INDEX('Assets'!$Q$4:$Q$503,_calc!$E$486)))=0,"",IF(LEN(INDEX('Assets'!$Q$4:$Q$503,_calc!$E$486))=0,"",INDEX('Assets'!$Q$4:$Q$503,_calc!$E$486)))))</f>
        <v/>
      </c>
      <c r="G484" s="44">
        <f>IF(_calc!$E$486="","",IF(LEN(INDEX('Assets'!$P$4:$P$503,_calc!$E$486))=0,"",INDEX('Assets'!$P$4:$P$503,_calc!$E$486)))</f>
        <v/>
      </c>
      <c r="K484" s="44">
        <f>IF(_calc!$E$486="","",IF(LEN(INDEX('Assets'!$N$4:$N$503,_calc!$E$486))=0,"",INDEX('Assets'!$N$4:$N$503,_calc!$E$486)))</f>
        <v/>
      </c>
    </row>
    <row r="485">
      <c r="A485" s="44">
        <f>IF(_calc!$E$487="","",IF(LEN(INDEX('Assets'!$D$4:$D$503,_calc!$E$487))=0,"",INDEX('Assets'!$D$4:$D$503,_calc!$E$487))&amp;" – "&amp;IF(LEN(INDEX('Assets'!$A$4:$A$503,_calc!$E$487))=0,"",INDEX('Assets'!$A$4:$A$503,_calc!$E$487)))</f>
        <v/>
      </c>
      <c r="B485" s="44">
        <f>IF(_calc!$E$487="","",IF(ISNUMBER(INDEX('Assets'!$G$4:$G$503,_calc!$E$487)),TEXT(INDEX('Assets'!$G$4:$G$503,_calc!$E$487),"yyyy-mm-dd"),""))</f>
        <v/>
      </c>
      <c r="C485" s="44">
        <f>IF(_calc!$E$487="","","Inspection")</f>
        <v/>
      </c>
      <c r="D485" s="44">
        <f>IF(_calc!$E$487="","",IF(ISNUMBER(INDEX('Assets'!$F$4:$F$503,_calc!$E$487)),TEXT(INDEX('Assets'!$F$4:$F$503,_calc!$E$487),"yyyy-mm-dd"),""))</f>
        <v/>
      </c>
      <c r="E485" s="44">
        <f>IF(_calc!$E$487="","",IF(LEN(INDEX('Assets'!$O$4:$O$503,_calc!$E$487))=0,"",INDEX('Assets'!$O$4:$O$503,_calc!$E$487)))</f>
        <v/>
      </c>
      <c r="F485" s="44">
        <f>IF(_calc!$E$487="","",TRIM(IF(LEN(IF(LEN(INDEX('Assets'!$B$4:$B$503,_calc!$E$487))=0,"",INDEX('Assets'!$B$4:$B$503,_calc!$E$487)))=0,"","Asset ID: "&amp;IF(LEN(INDEX('Assets'!$B$4:$B$503,_calc!$E$487))=0,"",INDEX('Assets'!$B$4:$B$503,_calc!$E$487))&amp;". ")&amp;IF(LEN(IF(LEN(INDEX('Assets'!$C$4:$C$503,_calc!$E$487))=0,"",INDEX('Assets'!$C$4:$C$503,_calc!$E$487)))=0,"","Location: "&amp;IF(LEN(INDEX('Assets'!$C$4:$C$503,_calc!$E$487))=0,"",INDEX('Assets'!$C$4:$C$503,_calc!$E$487))&amp;". ")&amp;IF(LEN(IF(LEN(INDEX('Assets'!$E$4:$E$503,_calc!$E$487))=0,"",INDEX('Assets'!$E$4:$E$503,_calc!$E$487)))=0,"","Every (months): "&amp;IF(LEN(INDEX('Assets'!$E$4:$E$503,_calc!$E$487))=0,"",INDEX('Assets'!$E$4:$E$503,_calc!$E$487))&amp;". ")&amp;IF(LEN(IF(LEN(INDEX('Assets'!$M$4:$M$503,_calc!$E$487))=0,"",INDEX('Assets'!$M$4:$M$503,_calc!$E$487)))=0,"","Last result: "&amp;IF(LEN(INDEX('Assets'!$M$4:$M$503,_calc!$E$487))=0,"",INDEX('Assets'!$M$4:$M$503,_calc!$E$487))&amp;". ")&amp;IF(LEN(IF(LEN(INDEX('Assets'!$Q$4:$Q$503,_calc!$E$487))=0,"",INDEX('Assets'!$Q$4:$Q$503,_calc!$E$487)))=0,"",IF(LEN(INDEX('Assets'!$Q$4:$Q$503,_calc!$E$487))=0,"",INDEX('Assets'!$Q$4:$Q$503,_calc!$E$487)))))</f>
        <v/>
      </c>
      <c r="G485" s="44">
        <f>IF(_calc!$E$487="","",IF(LEN(INDEX('Assets'!$P$4:$P$503,_calc!$E$487))=0,"",INDEX('Assets'!$P$4:$P$503,_calc!$E$487)))</f>
        <v/>
      </c>
      <c r="K485" s="44">
        <f>IF(_calc!$E$487="","",IF(LEN(INDEX('Assets'!$N$4:$N$503,_calc!$E$487))=0,"",INDEX('Assets'!$N$4:$N$503,_calc!$E$487)))</f>
        <v/>
      </c>
    </row>
    <row r="486">
      <c r="A486" s="44">
        <f>IF(_calc!$E$488="","",IF(LEN(INDEX('Assets'!$D$4:$D$503,_calc!$E$488))=0,"",INDEX('Assets'!$D$4:$D$503,_calc!$E$488))&amp;" – "&amp;IF(LEN(INDEX('Assets'!$A$4:$A$503,_calc!$E$488))=0,"",INDEX('Assets'!$A$4:$A$503,_calc!$E$488)))</f>
        <v/>
      </c>
      <c r="B486" s="44">
        <f>IF(_calc!$E$488="","",IF(ISNUMBER(INDEX('Assets'!$G$4:$G$503,_calc!$E$488)),TEXT(INDEX('Assets'!$G$4:$G$503,_calc!$E$488),"yyyy-mm-dd"),""))</f>
        <v/>
      </c>
      <c r="C486" s="44">
        <f>IF(_calc!$E$488="","","Inspection")</f>
        <v/>
      </c>
      <c r="D486" s="44">
        <f>IF(_calc!$E$488="","",IF(ISNUMBER(INDEX('Assets'!$F$4:$F$503,_calc!$E$488)),TEXT(INDEX('Assets'!$F$4:$F$503,_calc!$E$488),"yyyy-mm-dd"),""))</f>
        <v/>
      </c>
      <c r="E486" s="44">
        <f>IF(_calc!$E$488="","",IF(LEN(INDEX('Assets'!$O$4:$O$503,_calc!$E$488))=0,"",INDEX('Assets'!$O$4:$O$503,_calc!$E$488)))</f>
        <v/>
      </c>
      <c r="F486" s="44">
        <f>IF(_calc!$E$488="","",TRIM(IF(LEN(IF(LEN(INDEX('Assets'!$B$4:$B$503,_calc!$E$488))=0,"",INDEX('Assets'!$B$4:$B$503,_calc!$E$488)))=0,"","Asset ID: "&amp;IF(LEN(INDEX('Assets'!$B$4:$B$503,_calc!$E$488))=0,"",INDEX('Assets'!$B$4:$B$503,_calc!$E$488))&amp;". ")&amp;IF(LEN(IF(LEN(INDEX('Assets'!$C$4:$C$503,_calc!$E$488))=0,"",INDEX('Assets'!$C$4:$C$503,_calc!$E$488)))=0,"","Location: "&amp;IF(LEN(INDEX('Assets'!$C$4:$C$503,_calc!$E$488))=0,"",INDEX('Assets'!$C$4:$C$503,_calc!$E$488))&amp;". ")&amp;IF(LEN(IF(LEN(INDEX('Assets'!$E$4:$E$503,_calc!$E$488))=0,"",INDEX('Assets'!$E$4:$E$503,_calc!$E$488)))=0,"","Every (months): "&amp;IF(LEN(INDEX('Assets'!$E$4:$E$503,_calc!$E$488))=0,"",INDEX('Assets'!$E$4:$E$503,_calc!$E$488))&amp;". ")&amp;IF(LEN(IF(LEN(INDEX('Assets'!$M$4:$M$503,_calc!$E$488))=0,"",INDEX('Assets'!$M$4:$M$503,_calc!$E$488)))=0,"","Last result: "&amp;IF(LEN(INDEX('Assets'!$M$4:$M$503,_calc!$E$488))=0,"",INDEX('Assets'!$M$4:$M$503,_calc!$E$488))&amp;". ")&amp;IF(LEN(IF(LEN(INDEX('Assets'!$Q$4:$Q$503,_calc!$E$488))=0,"",INDEX('Assets'!$Q$4:$Q$503,_calc!$E$488)))=0,"",IF(LEN(INDEX('Assets'!$Q$4:$Q$503,_calc!$E$488))=0,"",INDEX('Assets'!$Q$4:$Q$503,_calc!$E$488)))))</f>
        <v/>
      </c>
      <c r="G486" s="44">
        <f>IF(_calc!$E$488="","",IF(LEN(INDEX('Assets'!$P$4:$P$503,_calc!$E$488))=0,"",INDEX('Assets'!$P$4:$P$503,_calc!$E$488)))</f>
        <v/>
      </c>
      <c r="K486" s="44">
        <f>IF(_calc!$E$488="","",IF(LEN(INDEX('Assets'!$N$4:$N$503,_calc!$E$488))=0,"",INDEX('Assets'!$N$4:$N$503,_calc!$E$488)))</f>
        <v/>
      </c>
    </row>
    <row r="487">
      <c r="A487" s="44">
        <f>IF(_calc!$E$489="","",IF(LEN(INDEX('Assets'!$D$4:$D$503,_calc!$E$489))=0,"",INDEX('Assets'!$D$4:$D$503,_calc!$E$489))&amp;" – "&amp;IF(LEN(INDEX('Assets'!$A$4:$A$503,_calc!$E$489))=0,"",INDEX('Assets'!$A$4:$A$503,_calc!$E$489)))</f>
        <v/>
      </c>
      <c r="B487" s="44">
        <f>IF(_calc!$E$489="","",IF(ISNUMBER(INDEX('Assets'!$G$4:$G$503,_calc!$E$489)),TEXT(INDEX('Assets'!$G$4:$G$503,_calc!$E$489),"yyyy-mm-dd"),""))</f>
        <v/>
      </c>
      <c r="C487" s="44">
        <f>IF(_calc!$E$489="","","Inspection")</f>
        <v/>
      </c>
      <c r="D487" s="44">
        <f>IF(_calc!$E$489="","",IF(ISNUMBER(INDEX('Assets'!$F$4:$F$503,_calc!$E$489)),TEXT(INDEX('Assets'!$F$4:$F$503,_calc!$E$489),"yyyy-mm-dd"),""))</f>
        <v/>
      </c>
      <c r="E487" s="44">
        <f>IF(_calc!$E$489="","",IF(LEN(INDEX('Assets'!$O$4:$O$503,_calc!$E$489))=0,"",INDEX('Assets'!$O$4:$O$503,_calc!$E$489)))</f>
        <v/>
      </c>
      <c r="F487" s="44">
        <f>IF(_calc!$E$489="","",TRIM(IF(LEN(IF(LEN(INDEX('Assets'!$B$4:$B$503,_calc!$E$489))=0,"",INDEX('Assets'!$B$4:$B$503,_calc!$E$489)))=0,"","Asset ID: "&amp;IF(LEN(INDEX('Assets'!$B$4:$B$503,_calc!$E$489))=0,"",INDEX('Assets'!$B$4:$B$503,_calc!$E$489))&amp;". ")&amp;IF(LEN(IF(LEN(INDEX('Assets'!$C$4:$C$503,_calc!$E$489))=0,"",INDEX('Assets'!$C$4:$C$503,_calc!$E$489)))=0,"","Location: "&amp;IF(LEN(INDEX('Assets'!$C$4:$C$503,_calc!$E$489))=0,"",INDEX('Assets'!$C$4:$C$503,_calc!$E$489))&amp;". ")&amp;IF(LEN(IF(LEN(INDEX('Assets'!$E$4:$E$503,_calc!$E$489))=0,"",INDEX('Assets'!$E$4:$E$503,_calc!$E$489)))=0,"","Every (months): "&amp;IF(LEN(INDEX('Assets'!$E$4:$E$503,_calc!$E$489))=0,"",INDEX('Assets'!$E$4:$E$503,_calc!$E$489))&amp;". ")&amp;IF(LEN(IF(LEN(INDEX('Assets'!$M$4:$M$503,_calc!$E$489))=0,"",INDEX('Assets'!$M$4:$M$503,_calc!$E$489)))=0,"","Last result: "&amp;IF(LEN(INDEX('Assets'!$M$4:$M$503,_calc!$E$489))=0,"",INDEX('Assets'!$M$4:$M$503,_calc!$E$489))&amp;". ")&amp;IF(LEN(IF(LEN(INDEX('Assets'!$Q$4:$Q$503,_calc!$E$489))=0,"",INDEX('Assets'!$Q$4:$Q$503,_calc!$E$489)))=0,"",IF(LEN(INDEX('Assets'!$Q$4:$Q$503,_calc!$E$489))=0,"",INDEX('Assets'!$Q$4:$Q$503,_calc!$E$489)))))</f>
        <v/>
      </c>
      <c r="G487" s="44">
        <f>IF(_calc!$E$489="","",IF(LEN(INDEX('Assets'!$P$4:$P$503,_calc!$E$489))=0,"",INDEX('Assets'!$P$4:$P$503,_calc!$E$489)))</f>
        <v/>
      </c>
      <c r="K487" s="44">
        <f>IF(_calc!$E$489="","",IF(LEN(INDEX('Assets'!$N$4:$N$503,_calc!$E$489))=0,"",INDEX('Assets'!$N$4:$N$503,_calc!$E$489)))</f>
        <v/>
      </c>
    </row>
    <row r="488">
      <c r="A488" s="44">
        <f>IF(_calc!$E$490="","",IF(LEN(INDEX('Assets'!$D$4:$D$503,_calc!$E$490))=0,"",INDEX('Assets'!$D$4:$D$503,_calc!$E$490))&amp;" – "&amp;IF(LEN(INDEX('Assets'!$A$4:$A$503,_calc!$E$490))=0,"",INDEX('Assets'!$A$4:$A$503,_calc!$E$490)))</f>
        <v/>
      </c>
      <c r="B488" s="44">
        <f>IF(_calc!$E$490="","",IF(ISNUMBER(INDEX('Assets'!$G$4:$G$503,_calc!$E$490)),TEXT(INDEX('Assets'!$G$4:$G$503,_calc!$E$490),"yyyy-mm-dd"),""))</f>
        <v/>
      </c>
      <c r="C488" s="44">
        <f>IF(_calc!$E$490="","","Inspection")</f>
        <v/>
      </c>
      <c r="D488" s="44">
        <f>IF(_calc!$E$490="","",IF(ISNUMBER(INDEX('Assets'!$F$4:$F$503,_calc!$E$490)),TEXT(INDEX('Assets'!$F$4:$F$503,_calc!$E$490),"yyyy-mm-dd"),""))</f>
        <v/>
      </c>
      <c r="E488" s="44">
        <f>IF(_calc!$E$490="","",IF(LEN(INDEX('Assets'!$O$4:$O$503,_calc!$E$490))=0,"",INDEX('Assets'!$O$4:$O$503,_calc!$E$490)))</f>
        <v/>
      </c>
      <c r="F488" s="44">
        <f>IF(_calc!$E$490="","",TRIM(IF(LEN(IF(LEN(INDEX('Assets'!$B$4:$B$503,_calc!$E$490))=0,"",INDEX('Assets'!$B$4:$B$503,_calc!$E$490)))=0,"","Asset ID: "&amp;IF(LEN(INDEX('Assets'!$B$4:$B$503,_calc!$E$490))=0,"",INDEX('Assets'!$B$4:$B$503,_calc!$E$490))&amp;". ")&amp;IF(LEN(IF(LEN(INDEX('Assets'!$C$4:$C$503,_calc!$E$490))=0,"",INDEX('Assets'!$C$4:$C$503,_calc!$E$490)))=0,"","Location: "&amp;IF(LEN(INDEX('Assets'!$C$4:$C$503,_calc!$E$490))=0,"",INDEX('Assets'!$C$4:$C$503,_calc!$E$490))&amp;". ")&amp;IF(LEN(IF(LEN(INDEX('Assets'!$E$4:$E$503,_calc!$E$490))=0,"",INDEX('Assets'!$E$4:$E$503,_calc!$E$490)))=0,"","Every (months): "&amp;IF(LEN(INDEX('Assets'!$E$4:$E$503,_calc!$E$490))=0,"",INDEX('Assets'!$E$4:$E$503,_calc!$E$490))&amp;". ")&amp;IF(LEN(IF(LEN(INDEX('Assets'!$M$4:$M$503,_calc!$E$490))=0,"",INDEX('Assets'!$M$4:$M$503,_calc!$E$490)))=0,"","Last result: "&amp;IF(LEN(INDEX('Assets'!$M$4:$M$503,_calc!$E$490))=0,"",INDEX('Assets'!$M$4:$M$503,_calc!$E$490))&amp;". ")&amp;IF(LEN(IF(LEN(INDEX('Assets'!$Q$4:$Q$503,_calc!$E$490))=0,"",INDEX('Assets'!$Q$4:$Q$503,_calc!$E$490)))=0,"",IF(LEN(INDEX('Assets'!$Q$4:$Q$503,_calc!$E$490))=0,"",INDEX('Assets'!$Q$4:$Q$503,_calc!$E$490)))))</f>
        <v/>
      </c>
      <c r="G488" s="44">
        <f>IF(_calc!$E$490="","",IF(LEN(INDEX('Assets'!$P$4:$P$503,_calc!$E$490))=0,"",INDEX('Assets'!$P$4:$P$503,_calc!$E$490)))</f>
        <v/>
      </c>
      <c r="K488" s="44">
        <f>IF(_calc!$E$490="","",IF(LEN(INDEX('Assets'!$N$4:$N$503,_calc!$E$490))=0,"",INDEX('Assets'!$N$4:$N$503,_calc!$E$490)))</f>
        <v/>
      </c>
    </row>
    <row r="489">
      <c r="A489" s="44">
        <f>IF(_calc!$E$491="","",IF(LEN(INDEX('Assets'!$D$4:$D$503,_calc!$E$491))=0,"",INDEX('Assets'!$D$4:$D$503,_calc!$E$491))&amp;" – "&amp;IF(LEN(INDEX('Assets'!$A$4:$A$503,_calc!$E$491))=0,"",INDEX('Assets'!$A$4:$A$503,_calc!$E$491)))</f>
        <v/>
      </c>
      <c r="B489" s="44">
        <f>IF(_calc!$E$491="","",IF(ISNUMBER(INDEX('Assets'!$G$4:$G$503,_calc!$E$491)),TEXT(INDEX('Assets'!$G$4:$G$503,_calc!$E$491),"yyyy-mm-dd"),""))</f>
        <v/>
      </c>
      <c r="C489" s="44">
        <f>IF(_calc!$E$491="","","Inspection")</f>
        <v/>
      </c>
      <c r="D489" s="44">
        <f>IF(_calc!$E$491="","",IF(ISNUMBER(INDEX('Assets'!$F$4:$F$503,_calc!$E$491)),TEXT(INDEX('Assets'!$F$4:$F$503,_calc!$E$491),"yyyy-mm-dd"),""))</f>
        <v/>
      </c>
      <c r="E489" s="44">
        <f>IF(_calc!$E$491="","",IF(LEN(INDEX('Assets'!$O$4:$O$503,_calc!$E$491))=0,"",INDEX('Assets'!$O$4:$O$503,_calc!$E$491)))</f>
        <v/>
      </c>
      <c r="F489" s="44">
        <f>IF(_calc!$E$491="","",TRIM(IF(LEN(IF(LEN(INDEX('Assets'!$B$4:$B$503,_calc!$E$491))=0,"",INDEX('Assets'!$B$4:$B$503,_calc!$E$491)))=0,"","Asset ID: "&amp;IF(LEN(INDEX('Assets'!$B$4:$B$503,_calc!$E$491))=0,"",INDEX('Assets'!$B$4:$B$503,_calc!$E$491))&amp;". ")&amp;IF(LEN(IF(LEN(INDEX('Assets'!$C$4:$C$503,_calc!$E$491))=0,"",INDEX('Assets'!$C$4:$C$503,_calc!$E$491)))=0,"","Location: "&amp;IF(LEN(INDEX('Assets'!$C$4:$C$503,_calc!$E$491))=0,"",INDEX('Assets'!$C$4:$C$503,_calc!$E$491))&amp;". ")&amp;IF(LEN(IF(LEN(INDEX('Assets'!$E$4:$E$503,_calc!$E$491))=0,"",INDEX('Assets'!$E$4:$E$503,_calc!$E$491)))=0,"","Every (months): "&amp;IF(LEN(INDEX('Assets'!$E$4:$E$503,_calc!$E$491))=0,"",INDEX('Assets'!$E$4:$E$503,_calc!$E$491))&amp;". ")&amp;IF(LEN(IF(LEN(INDEX('Assets'!$M$4:$M$503,_calc!$E$491))=0,"",INDEX('Assets'!$M$4:$M$503,_calc!$E$491)))=0,"","Last result: "&amp;IF(LEN(INDEX('Assets'!$M$4:$M$503,_calc!$E$491))=0,"",INDEX('Assets'!$M$4:$M$503,_calc!$E$491))&amp;". ")&amp;IF(LEN(IF(LEN(INDEX('Assets'!$Q$4:$Q$503,_calc!$E$491))=0,"",INDEX('Assets'!$Q$4:$Q$503,_calc!$E$491)))=0,"",IF(LEN(INDEX('Assets'!$Q$4:$Q$503,_calc!$E$491))=0,"",INDEX('Assets'!$Q$4:$Q$503,_calc!$E$491)))))</f>
        <v/>
      </c>
      <c r="G489" s="44">
        <f>IF(_calc!$E$491="","",IF(LEN(INDEX('Assets'!$P$4:$P$503,_calc!$E$491))=0,"",INDEX('Assets'!$P$4:$P$503,_calc!$E$491)))</f>
        <v/>
      </c>
      <c r="K489" s="44">
        <f>IF(_calc!$E$491="","",IF(LEN(INDEX('Assets'!$N$4:$N$503,_calc!$E$491))=0,"",INDEX('Assets'!$N$4:$N$503,_calc!$E$491)))</f>
        <v/>
      </c>
    </row>
    <row r="490">
      <c r="A490" s="44">
        <f>IF(_calc!$E$492="","",IF(LEN(INDEX('Assets'!$D$4:$D$503,_calc!$E$492))=0,"",INDEX('Assets'!$D$4:$D$503,_calc!$E$492))&amp;" – "&amp;IF(LEN(INDEX('Assets'!$A$4:$A$503,_calc!$E$492))=0,"",INDEX('Assets'!$A$4:$A$503,_calc!$E$492)))</f>
        <v/>
      </c>
      <c r="B490" s="44">
        <f>IF(_calc!$E$492="","",IF(ISNUMBER(INDEX('Assets'!$G$4:$G$503,_calc!$E$492)),TEXT(INDEX('Assets'!$G$4:$G$503,_calc!$E$492),"yyyy-mm-dd"),""))</f>
        <v/>
      </c>
      <c r="C490" s="44">
        <f>IF(_calc!$E$492="","","Inspection")</f>
        <v/>
      </c>
      <c r="D490" s="44">
        <f>IF(_calc!$E$492="","",IF(ISNUMBER(INDEX('Assets'!$F$4:$F$503,_calc!$E$492)),TEXT(INDEX('Assets'!$F$4:$F$503,_calc!$E$492),"yyyy-mm-dd"),""))</f>
        <v/>
      </c>
      <c r="E490" s="44">
        <f>IF(_calc!$E$492="","",IF(LEN(INDEX('Assets'!$O$4:$O$503,_calc!$E$492))=0,"",INDEX('Assets'!$O$4:$O$503,_calc!$E$492)))</f>
        <v/>
      </c>
      <c r="F490" s="44">
        <f>IF(_calc!$E$492="","",TRIM(IF(LEN(IF(LEN(INDEX('Assets'!$B$4:$B$503,_calc!$E$492))=0,"",INDEX('Assets'!$B$4:$B$503,_calc!$E$492)))=0,"","Asset ID: "&amp;IF(LEN(INDEX('Assets'!$B$4:$B$503,_calc!$E$492))=0,"",INDEX('Assets'!$B$4:$B$503,_calc!$E$492))&amp;". ")&amp;IF(LEN(IF(LEN(INDEX('Assets'!$C$4:$C$503,_calc!$E$492))=0,"",INDEX('Assets'!$C$4:$C$503,_calc!$E$492)))=0,"","Location: "&amp;IF(LEN(INDEX('Assets'!$C$4:$C$503,_calc!$E$492))=0,"",INDEX('Assets'!$C$4:$C$503,_calc!$E$492))&amp;". ")&amp;IF(LEN(IF(LEN(INDEX('Assets'!$E$4:$E$503,_calc!$E$492))=0,"",INDEX('Assets'!$E$4:$E$503,_calc!$E$492)))=0,"","Every (months): "&amp;IF(LEN(INDEX('Assets'!$E$4:$E$503,_calc!$E$492))=0,"",INDEX('Assets'!$E$4:$E$503,_calc!$E$492))&amp;". ")&amp;IF(LEN(IF(LEN(INDEX('Assets'!$M$4:$M$503,_calc!$E$492))=0,"",INDEX('Assets'!$M$4:$M$503,_calc!$E$492)))=0,"","Last result: "&amp;IF(LEN(INDEX('Assets'!$M$4:$M$503,_calc!$E$492))=0,"",INDEX('Assets'!$M$4:$M$503,_calc!$E$492))&amp;". ")&amp;IF(LEN(IF(LEN(INDEX('Assets'!$Q$4:$Q$503,_calc!$E$492))=0,"",INDEX('Assets'!$Q$4:$Q$503,_calc!$E$492)))=0,"",IF(LEN(INDEX('Assets'!$Q$4:$Q$503,_calc!$E$492))=0,"",INDEX('Assets'!$Q$4:$Q$503,_calc!$E$492)))))</f>
        <v/>
      </c>
      <c r="G490" s="44">
        <f>IF(_calc!$E$492="","",IF(LEN(INDEX('Assets'!$P$4:$P$503,_calc!$E$492))=0,"",INDEX('Assets'!$P$4:$P$503,_calc!$E$492)))</f>
        <v/>
      </c>
      <c r="K490" s="44">
        <f>IF(_calc!$E$492="","",IF(LEN(INDEX('Assets'!$N$4:$N$503,_calc!$E$492))=0,"",INDEX('Assets'!$N$4:$N$503,_calc!$E$492)))</f>
        <v/>
      </c>
    </row>
    <row r="491">
      <c r="A491" s="44">
        <f>IF(_calc!$E$493="","",IF(LEN(INDEX('Assets'!$D$4:$D$503,_calc!$E$493))=0,"",INDEX('Assets'!$D$4:$D$503,_calc!$E$493))&amp;" – "&amp;IF(LEN(INDEX('Assets'!$A$4:$A$503,_calc!$E$493))=0,"",INDEX('Assets'!$A$4:$A$503,_calc!$E$493)))</f>
        <v/>
      </c>
      <c r="B491" s="44">
        <f>IF(_calc!$E$493="","",IF(ISNUMBER(INDEX('Assets'!$G$4:$G$503,_calc!$E$493)),TEXT(INDEX('Assets'!$G$4:$G$503,_calc!$E$493),"yyyy-mm-dd"),""))</f>
        <v/>
      </c>
      <c r="C491" s="44">
        <f>IF(_calc!$E$493="","","Inspection")</f>
        <v/>
      </c>
      <c r="D491" s="44">
        <f>IF(_calc!$E$493="","",IF(ISNUMBER(INDEX('Assets'!$F$4:$F$503,_calc!$E$493)),TEXT(INDEX('Assets'!$F$4:$F$503,_calc!$E$493),"yyyy-mm-dd"),""))</f>
        <v/>
      </c>
      <c r="E491" s="44">
        <f>IF(_calc!$E$493="","",IF(LEN(INDEX('Assets'!$O$4:$O$503,_calc!$E$493))=0,"",INDEX('Assets'!$O$4:$O$503,_calc!$E$493)))</f>
        <v/>
      </c>
      <c r="F491" s="44">
        <f>IF(_calc!$E$493="","",TRIM(IF(LEN(IF(LEN(INDEX('Assets'!$B$4:$B$503,_calc!$E$493))=0,"",INDEX('Assets'!$B$4:$B$503,_calc!$E$493)))=0,"","Asset ID: "&amp;IF(LEN(INDEX('Assets'!$B$4:$B$503,_calc!$E$493))=0,"",INDEX('Assets'!$B$4:$B$503,_calc!$E$493))&amp;". ")&amp;IF(LEN(IF(LEN(INDEX('Assets'!$C$4:$C$503,_calc!$E$493))=0,"",INDEX('Assets'!$C$4:$C$503,_calc!$E$493)))=0,"","Location: "&amp;IF(LEN(INDEX('Assets'!$C$4:$C$503,_calc!$E$493))=0,"",INDEX('Assets'!$C$4:$C$503,_calc!$E$493))&amp;". ")&amp;IF(LEN(IF(LEN(INDEX('Assets'!$E$4:$E$503,_calc!$E$493))=0,"",INDEX('Assets'!$E$4:$E$503,_calc!$E$493)))=0,"","Every (months): "&amp;IF(LEN(INDEX('Assets'!$E$4:$E$503,_calc!$E$493))=0,"",INDEX('Assets'!$E$4:$E$503,_calc!$E$493))&amp;". ")&amp;IF(LEN(IF(LEN(INDEX('Assets'!$M$4:$M$503,_calc!$E$493))=0,"",INDEX('Assets'!$M$4:$M$503,_calc!$E$493)))=0,"","Last result: "&amp;IF(LEN(INDEX('Assets'!$M$4:$M$503,_calc!$E$493))=0,"",INDEX('Assets'!$M$4:$M$503,_calc!$E$493))&amp;". ")&amp;IF(LEN(IF(LEN(INDEX('Assets'!$Q$4:$Q$503,_calc!$E$493))=0,"",INDEX('Assets'!$Q$4:$Q$503,_calc!$E$493)))=0,"",IF(LEN(INDEX('Assets'!$Q$4:$Q$503,_calc!$E$493))=0,"",INDEX('Assets'!$Q$4:$Q$503,_calc!$E$493)))))</f>
        <v/>
      </c>
      <c r="G491" s="44">
        <f>IF(_calc!$E$493="","",IF(LEN(INDEX('Assets'!$P$4:$P$503,_calc!$E$493))=0,"",INDEX('Assets'!$P$4:$P$503,_calc!$E$493)))</f>
        <v/>
      </c>
      <c r="K491" s="44">
        <f>IF(_calc!$E$493="","",IF(LEN(INDEX('Assets'!$N$4:$N$503,_calc!$E$493))=0,"",INDEX('Assets'!$N$4:$N$503,_calc!$E$493)))</f>
        <v/>
      </c>
    </row>
    <row r="492">
      <c r="A492" s="44">
        <f>IF(_calc!$E$494="","",IF(LEN(INDEX('Assets'!$D$4:$D$503,_calc!$E$494))=0,"",INDEX('Assets'!$D$4:$D$503,_calc!$E$494))&amp;" – "&amp;IF(LEN(INDEX('Assets'!$A$4:$A$503,_calc!$E$494))=0,"",INDEX('Assets'!$A$4:$A$503,_calc!$E$494)))</f>
        <v/>
      </c>
      <c r="B492" s="44">
        <f>IF(_calc!$E$494="","",IF(ISNUMBER(INDEX('Assets'!$G$4:$G$503,_calc!$E$494)),TEXT(INDEX('Assets'!$G$4:$G$503,_calc!$E$494),"yyyy-mm-dd"),""))</f>
        <v/>
      </c>
      <c r="C492" s="44">
        <f>IF(_calc!$E$494="","","Inspection")</f>
        <v/>
      </c>
      <c r="D492" s="44">
        <f>IF(_calc!$E$494="","",IF(ISNUMBER(INDEX('Assets'!$F$4:$F$503,_calc!$E$494)),TEXT(INDEX('Assets'!$F$4:$F$503,_calc!$E$494),"yyyy-mm-dd"),""))</f>
        <v/>
      </c>
      <c r="E492" s="44">
        <f>IF(_calc!$E$494="","",IF(LEN(INDEX('Assets'!$O$4:$O$503,_calc!$E$494))=0,"",INDEX('Assets'!$O$4:$O$503,_calc!$E$494)))</f>
        <v/>
      </c>
      <c r="F492" s="44">
        <f>IF(_calc!$E$494="","",TRIM(IF(LEN(IF(LEN(INDEX('Assets'!$B$4:$B$503,_calc!$E$494))=0,"",INDEX('Assets'!$B$4:$B$503,_calc!$E$494)))=0,"","Asset ID: "&amp;IF(LEN(INDEX('Assets'!$B$4:$B$503,_calc!$E$494))=0,"",INDEX('Assets'!$B$4:$B$503,_calc!$E$494))&amp;". ")&amp;IF(LEN(IF(LEN(INDEX('Assets'!$C$4:$C$503,_calc!$E$494))=0,"",INDEX('Assets'!$C$4:$C$503,_calc!$E$494)))=0,"","Location: "&amp;IF(LEN(INDEX('Assets'!$C$4:$C$503,_calc!$E$494))=0,"",INDEX('Assets'!$C$4:$C$503,_calc!$E$494))&amp;". ")&amp;IF(LEN(IF(LEN(INDEX('Assets'!$E$4:$E$503,_calc!$E$494))=0,"",INDEX('Assets'!$E$4:$E$503,_calc!$E$494)))=0,"","Every (months): "&amp;IF(LEN(INDEX('Assets'!$E$4:$E$503,_calc!$E$494))=0,"",INDEX('Assets'!$E$4:$E$503,_calc!$E$494))&amp;". ")&amp;IF(LEN(IF(LEN(INDEX('Assets'!$M$4:$M$503,_calc!$E$494))=0,"",INDEX('Assets'!$M$4:$M$503,_calc!$E$494)))=0,"","Last result: "&amp;IF(LEN(INDEX('Assets'!$M$4:$M$503,_calc!$E$494))=0,"",INDEX('Assets'!$M$4:$M$503,_calc!$E$494))&amp;". ")&amp;IF(LEN(IF(LEN(INDEX('Assets'!$Q$4:$Q$503,_calc!$E$494))=0,"",INDEX('Assets'!$Q$4:$Q$503,_calc!$E$494)))=0,"",IF(LEN(INDEX('Assets'!$Q$4:$Q$503,_calc!$E$494))=0,"",INDEX('Assets'!$Q$4:$Q$503,_calc!$E$494)))))</f>
        <v/>
      </c>
      <c r="G492" s="44">
        <f>IF(_calc!$E$494="","",IF(LEN(INDEX('Assets'!$P$4:$P$503,_calc!$E$494))=0,"",INDEX('Assets'!$P$4:$P$503,_calc!$E$494)))</f>
        <v/>
      </c>
      <c r="K492" s="44">
        <f>IF(_calc!$E$494="","",IF(LEN(INDEX('Assets'!$N$4:$N$503,_calc!$E$494))=0,"",INDEX('Assets'!$N$4:$N$503,_calc!$E$494)))</f>
        <v/>
      </c>
    </row>
    <row r="493">
      <c r="A493" s="44">
        <f>IF(_calc!$E$495="","",IF(LEN(INDEX('Assets'!$D$4:$D$503,_calc!$E$495))=0,"",INDEX('Assets'!$D$4:$D$503,_calc!$E$495))&amp;" – "&amp;IF(LEN(INDEX('Assets'!$A$4:$A$503,_calc!$E$495))=0,"",INDEX('Assets'!$A$4:$A$503,_calc!$E$495)))</f>
        <v/>
      </c>
      <c r="B493" s="44">
        <f>IF(_calc!$E$495="","",IF(ISNUMBER(INDEX('Assets'!$G$4:$G$503,_calc!$E$495)),TEXT(INDEX('Assets'!$G$4:$G$503,_calc!$E$495),"yyyy-mm-dd"),""))</f>
        <v/>
      </c>
      <c r="C493" s="44">
        <f>IF(_calc!$E$495="","","Inspection")</f>
        <v/>
      </c>
      <c r="D493" s="44">
        <f>IF(_calc!$E$495="","",IF(ISNUMBER(INDEX('Assets'!$F$4:$F$503,_calc!$E$495)),TEXT(INDEX('Assets'!$F$4:$F$503,_calc!$E$495),"yyyy-mm-dd"),""))</f>
        <v/>
      </c>
      <c r="E493" s="44">
        <f>IF(_calc!$E$495="","",IF(LEN(INDEX('Assets'!$O$4:$O$503,_calc!$E$495))=0,"",INDEX('Assets'!$O$4:$O$503,_calc!$E$495)))</f>
        <v/>
      </c>
      <c r="F493" s="44">
        <f>IF(_calc!$E$495="","",TRIM(IF(LEN(IF(LEN(INDEX('Assets'!$B$4:$B$503,_calc!$E$495))=0,"",INDEX('Assets'!$B$4:$B$503,_calc!$E$495)))=0,"","Asset ID: "&amp;IF(LEN(INDEX('Assets'!$B$4:$B$503,_calc!$E$495))=0,"",INDEX('Assets'!$B$4:$B$503,_calc!$E$495))&amp;". ")&amp;IF(LEN(IF(LEN(INDEX('Assets'!$C$4:$C$503,_calc!$E$495))=0,"",INDEX('Assets'!$C$4:$C$503,_calc!$E$495)))=0,"","Location: "&amp;IF(LEN(INDEX('Assets'!$C$4:$C$503,_calc!$E$495))=0,"",INDEX('Assets'!$C$4:$C$503,_calc!$E$495))&amp;". ")&amp;IF(LEN(IF(LEN(INDEX('Assets'!$E$4:$E$503,_calc!$E$495))=0,"",INDEX('Assets'!$E$4:$E$503,_calc!$E$495)))=0,"","Every (months): "&amp;IF(LEN(INDEX('Assets'!$E$4:$E$503,_calc!$E$495))=0,"",INDEX('Assets'!$E$4:$E$503,_calc!$E$495))&amp;". ")&amp;IF(LEN(IF(LEN(INDEX('Assets'!$M$4:$M$503,_calc!$E$495))=0,"",INDEX('Assets'!$M$4:$M$503,_calc!$E$495)))=0,"","Last result: "&amp;IF(LEN(INDEX('Assets'!$M$4:$M$503,_calc!$E$495))=0,"",INDEX('Assets'!$M$4:$M$503,_calc!$E$495))&amp;". ")&amp;IF(LEN(IF(LEN(INDEX('Assets'!$Q$4:$Q$503,_calc!$E$495))=0,"",INDEX('Assets'!$Q$4:$Q$503,_calc!$E$495)))=0,"",IF(LEN(INDEX('Assets'!$Q$4:$Q$503,_calc!$E$495))=0,"",INDEX('Assets'!$Q$4:$Q$503,_calc!$E$495)))))</f>
        <v/>
      </c>
      <c r="G493" s="44">
        <f>IF(_calc!$E$495="","",IF(LEN(INDEX('Assets'!$P$4:$P$503,_calc!$E$495))=0,"",INDEX('Assets'!$P$4:$P$503,_calc!$E$495)))</f>
        <v/>
      </c>
      <c r="K493" s="44">
        <f>IF(_calc!$E$495="","",IF(LEN(INDEX('Assets'!$N$4:$N$503,_calc!$E$495))=0,"",INDEX('Assets'!$N$4:$N$503,_calc!$E$495)))</f>
        <v/>
      </c>
    </row>
    <row r="494">
      <c r="A494" s="44">
        <f>IF(_calc!$E$496="","",IF(LEN(INDEX('Assets'!$D$4:$D$503,_calc!$E$496))=0,"",INDEX('Assets'!$D$4:$D$503,_calc!$E$496))&amp;" – "&amp;IF(LEN(INDEX('Assets'!$A$4:$A$503,_calc!$E$496))=0,"",INDEX('Assets'!$A$4:$A$503,_calc!$E$496)))</f>
        <v/>
      </c>
      <c r="B494" s="44">
        <f>IF(_calc!$E$496="","",IF(ISNUMBER(INDEX('Assets'!$G$4:$G$503,_calc!$E$496)),TEXT(INDEX('Assets'!$G$4:$G$503,_calc!$E$496),"yyyy-mm-dd"),""))</f>
        <v/>
      </c>
      <c r="C494" s="44">
        <f>IF(_calc!$E$496="","","Inspection")</f>
        <v/>
      </c>
      <c r="D494" s="44">
        <f>IF(_calc!$E$496="","",IF(ISNUMBER(INDEX('Assets'!$F$4:$F$503,_calc!$E$496)),TEXT(INDEX('Assets'!$F$4:$F$503,_calc!$E$496),"yyyy-mm-dd"),""))</f>
        <v/>
      </c>
      <c r="E494" s="44">
        <f>IF(_calc!$E$496="","",IF(LEN(INDEX('Assets'!$O$4:$O$503,_calc!$E$496))=0,"",INDEX('Assets'!$O$4:$O$503,_calc!$E$496)))</f>
        <v/>
      </c>
      <c r="F494" s="44">
        <f>IF(_calc!$E$496="","",TRIM(IF(LEN(IF(LEN(INDEX('Assets'!$B$4:$B$503,_calc!$E$496))=0,"",INDEX('Assets'!$B$4:$B$503,_calc!$E$496)))=0,"","Asset ID: "&amp;IF(LEN(INDEX('Assets'!$B$4:$B$503,_calc!$E$496))=0,"",INDEX('Assets'!$B$4:$B$503,_calc!$E$496))&amp;". ")&amp;IF(LEN(IF(LEN(INDEX('Assets'!$C$4:$C$503,_calc!$E$496))=0,"",INDEX('Assets'!$C$4:$C$503,_calc!$E$496)))=0,"","Location: "&amp;IF(LEN(INDEX('Assets'!$C$4:$C$503,_calc!$E$496))=0,"",INDEX('Assets'!$C$4:$C$503,_calc!$E$496))&amp;". ")&amp;IF(LEN(IF(LEN(INDEX('Assets'!$E$4:$E$503,_calc!$E$496))=0,"",INDEX('Assets'!$E$4:$E$503,_calc!$E$496)))=0,"","Every (months): "&amp;IF(LEN(INDEX('Assets'!$E$4:$E$503,_calc!$E$496))=0,"",INDEX('Assets'!$E$4:$E$503,_calc!$E$496))&amp;". ")&amp;IF(LEN(IF(LEN(INDEX('Assets'!$M$4:$M$503,_calc!$E$496))=0,"",INDEX('Assets'!$M$4:$M$503,_calc!$E$496)))=0,"","Last result: "&amp;IF(LEN(INDEX('Assets'!$M$4:$M$503,_calc!$E$496))=0,"",INDEX('Assets'!$M$4:$M$503,_calc!$E$496))&amp;". ")&amp;IF(LEN(IF(LEN(INDEX('Assets'!$Q$4:$Q$503,_calc!$E$496))=0,"",INDEX('Assets'!$Q$4:$Q$503,_calc!$E$496)))=0,"",IF(LEN(INDEX('Assets'!$Q$4:$Q$503,_calc!$E$496))=0,"",INDEX('Assets'!$Q$4:$Q$503,_calc!$E$496)))))</f>
        <v/>
      </c>
      <c r="G494" s="44">
        <f>IF(_calc!$E$496="","",IF(LEN(INDEX('Assets'!$P$4:$P$503,_calc!$E$496))=0,"",INDEX('Assets'!$P$4:$P$503,_calc!$E$496)))</f>
        <v/>
      </c>
      <c r="K494" s="44">
        <f>IF(_calc!$E$496="","",IF(LEN(INDEX('Assets'!$N$4:$N$503,_calc!$E$496))=0,"",INDEX('Assets'!$N$4:$N$503,_calc!$E$496)))</f>
        <v/>
      </c>
    </row>
    <row r="495">
      <c r="A495" s="44">
        <f>IF(_calc!$E$497="","",IF(LEN(INDEX('Assets'!$D$4:$D$503,_calc!$E$497))=0,"",INDEX('Assets'!$D$4:$D$503,_calc!$E$497))&amp;" – "&amp;IF(LEN(INDEX('Assets'!$A$4:$A$503,_calc!$E$497))=0,"",INDEX('Assets'!$A$4:$A$503,_calc!$E$497)))</f>
        <v/>
      </c>
      <c r="B495" s="44">
        <f>IF(_calc!$E$497="","",IF(ISNUMBER(INDEX('Assets'!$G$4:$G$503,_calc!$E$497)),TEXT(INDEX('Assets'!$G$4:$G$503,_calc!$E$497),"yyyy-mm-dd"),""))</f>
        <v/>
      </c>
      <c r="C495" s="44">
        <f>IF(_calc!$E$497="","","Inspection")</f>
        <v/>
      </c>
      <c r="D495" s="44">
        <f>IF(_calc!$E$497="","",IF(ISNUMBER(INDEX('Assets'!$F$4:$F$503,_calc!$E$497)),TEXT(INDEX('Assets'!$F$4:$F$503,_calc!$E$497),"yyyy-mm-dd"),""))</f>
        <v/>
      </c>
      <c r="E495" s="44">
        <f>IF(_calc!$E$497="","",IF(LEN(INDEX('Assets'!$O$4:$O$503,_calc!$E$497))=0,"",INDEX('Assets'!$O$4:$O$503,_calc!$E$497)))</f>
        <v/>
      </c>
      <c r="F495" s="44">
        <f>IF(_calc!$E$497="","",TRIM(IF(LEN(IF(LEN(INDEX('Assets'!$B$4:$B$503,_calc!$E$497))=0,"",INDEX('Assets'!$B$4:$B$503,_calc!$E$497)))=0,"","Asset ID: "&amp;IF(LEN(INDEX('Assets'!$B$4:$B$503,_calc!$E$497))=0,"",INDEX('Assets'!$B$4:$B$503,_calc!$E$497))&amp;". ")&amp;IF(LEN(IF(LEN(INDEX('Assets'!$C$4:$C$503,_calc!$E$497))=0,"",INDEX('Assets'!$C$4:$C$503,_calc!$E$497)))=0,"","Location: "&amp;IF(LEN(INDEX('Assets'!$C$4:$C$503,_calc!$E$497))=0,"",INDEX('Assets'!$C$4:$C$503,_calc!$E$497))&amp;". ")&amp;IF(LEN(IF(LEN(INDEX('Assets'!$E$4:$E$503,_calc!$E$497))=0,"",INDEX('Assets'!$E$4:$E$503,_calc!$E$497)))=0,"","Every (months): "&amp;IF(LEN(INDEX('Assets'!$E$4:$E$503,_calc!$E$497))=0,"",INDEX('Assets'!$E$4:$E$503,_calc!$E$497))&amp;". ")&amp;IF(LEN(IF(LEN(INDEX('Assets'!$M$4:$M$503,_calc!$E$497))=0,"",INDEX('Assets'!$M$4:$M$503,_calc!$E$497)))=0,"","Last result: "&amp;IF(LEN(INDEX('Assets'!$M$4:$M$503,_calc!$E$497))=0,"",INDEX('Assets'!$M$4:$M$503,_calc!$E$497))&amp;". ")&amp;IF(LEN(IF(LEN(INDEX('Assets'!$Q$4:$Q$503,_calc!$E$497))=0,"",INDEX('Assets'!$Q$4:$Q$503,_calc!$E$497)))=0,"",IF(LEN(INDEX('Assets'!$Q$4:$Q$503,_calc!$E$497))=0,"",INDEX('Assets'!$Q$4:$Q$503,_calc!$E$497)))))</f>
        <v/>
      </c>
      <c r="G495" s="44">
        <f>IF(_calc!$E$497="","",IF(LEN(INDEX('Assets'!$P$4:$P$503,_calc!$E$497))=0,"",INDEX('Assets'!$P$4:$P$503,_calc!$E$497)))</f>
        <v/>
      </c>
      <c r="K495" s="44">
        <f>IF(_calc!$E$497="","",IF(LEN(INDEX('Assets'!$N$4:$N$503,_calc!$E$497))=0,"",INDEX('Assets'!$N$4:$N$503,_calc!$E$497)))</f>
        <v/>
      </c>
    </row>
    <row r="496">
      <c r="A496" s="44">
        <f>IF(_calc!$E$498="","",IF(LEN(INDEX('Assets'!$D$4:$D$503,_calc!$E$498))=0,"",INDEX('Assets'!$D$4:$D$503,_calc!$E$498))&amp;" – "&amp;IF(LEN(INDEX('Assets'!$A$4:$A$503,_calc!$E$498))=0,"",INDEX('Assets'!$A$4:$A$503,_calc!$E$498)))</f>
        <v/>
      </c>
      <c r="B496" s="44">
        <f>IF(_calc!$E$498="","",IF(ISNUMBER(INDEX('Assets'!$G$4:$G$503,_calc!$E$498)),TEXT(INDEX('Assets'!$G$4:$G$503,_calc!$E$498),"yyyy-mm-dd"),""))</f>
        <v/>
      </c>
      <c r="C496" s="44">
        <f>IF(_calc!$E$498="","","Inspection")</f>
        <v/>
      </c>
      <c r="D496" s="44">
        <f>IF(_calc!$E$498="","",IF(ISNUMBER(INDEX('Assets'!$F$4:$F$503,_calc!$E$498)),TEXT(INDEX('Assets'!$F$4:$F$503,_calc!$E$498),"yyyy-mm-dd"),""))</f>
        <v/>
      </c>
      <c r="E496" s="44">
        <f>IF(_calc!$E$498="","",IF(LEN(INDEX('Assets'!$O$4:$O$503,_calc!$E$498))=0,"",INDEX('Assets'!$O$4:$O$503,_calc!$E$498)))</f>
        <v/>
      </c>
      <c r="F496" s="44">
        <f>IF(_calc!$E$498="","",TRIM(IF(LEN(IF(LEN(INDEX('Assets'!$B$4:$B$503,_calc!$E$498))=0,"",INDEX('Assets'!$B$4:$B$503,_calc!$E$498)))=0,"","Asset ID: "&amp;IF(LEN(INDEX('Assets'!$B$4:$B$503,_calc!$E$498))=0,"",INDEX('Assets'!$B$4:$B$503,_calc!$E$498))&amp;". ")&amp;IF(LEN(IF(LEN(INDEX('Assets'!$C$4:$C$503,_calc!$E$498))=0,"",INDEX('Assets'!$C$4:$C$503,_calc!$E$498)))=0,"","Location: "&amp;IF(LEN(INDEX('Assets'!$C$4:$C$503,_calc!$E$498))=0,"",INDEX('Assets'!$C$4:$C$503,_calc!$E$498))&amp;". ")&amp;IF(LEN(IF(LEN(INDEX('Assets'!$E$4:$E$503,_calc!$E$498))=0,"",INDEX('Assets'!$E$4:$E$503,_calc!$E$498)))=0,"","Every (months): "&amp;IF(LEN(INDEX('Assets'!$E$4:$E$503,_calc!$E$498))=0,"",INDEX('Assets'!$E$4:$E$503,_calc!$E$498))&amp;". ")&amp;IF(LEN(IF(LEN(INDEX('Assets'!$M$4:$M$503,_calc!$E$498))=0,"",INDEX('Assets'!$M$4:$M$503,_calc!$E$498)))=0,"","Last result: "&amp;IF(LEN(INDEX('Assets'!$M$4:$M$503,_calc!$E$498))=0,"",INDEX('Assets'!$M$4:$M$503,_calc!$E$498))&amp;". ")&amp;IF(LEN(IF(LEN(INDEX('Assets'!$Q$4:$Q$503,_calc!$E$498))=0,"",INDEX('Assets'!$Q$4:$Q$503,_calc!$E$498)))=0,"",IF(LEN(INDEX('Assets'!$Q$4:$Q$503,_calc!$E$498))=0,"",INDEX('Assets'!$Q$4:$Q$503,_calc!$E$498)))))</f>
        <v/>
      </c>
      <c r="G496" s="44">
        <f>IF(_calc!$E$498="","",IF(LEN(INDEX('Assets'!$P$4:$P$503,_calc!$E$498))=0,"",INDEX('Assets'!$P$4:$P$503,_calc!$E$498)))</f>
        <v/>
      </c>
      <c r="K496" s="44">
        <f>IF(_calc!$E$498="","",IF(LEN(INDEX('Assets'!$N$4:$N$503,_calc!$E$498))=0,"",INDEX('Assets'!$N$4:$N$503,_calc!$E$498)))</f>
        <v/>
      </c>
    </row>
    <row r="497">
      <c r="A497" s="44">
        <f>IF(_calc!$E$499="","",IF(LEN(INDEX('Assets'!$D$4:$D$503,_calc!$E$499))=0,"",INDEX('Assets'!$D$4:$D$503,_calc!$E$499))&amp;" – "&amp;IF(LEN(INDEX('Assets'!$A$4:$A$503,_calc!$E$499))=0,"",INDEX('Assets'!$A$4:$A$503,_calc!$E$499)))</f>
        <v/>
      </c>
      <c r="B497" s="44">
        <f>IF(_calc!$E$499="","",IF(ISNUMBER(INDEX('Assets'!$G$4:$G$503,_calc!$E$499)),TEXT(INDEX('Assets'!$G$4:$G$503,_calc!$E$499),"yyyy-mm-dd"),""))</f>
        <v/>
      </c>
      <c r="C497" s="44">
        <f>IF(_calc!$E$499="","","Inspection")</f>
        <v/>
      </c>
      <c r="D497" s="44">
        <f>IF(_calc!$E$499="","",IF(ISNUMBER(INDEX('Assets'!$F$4:$F$503,_calc!$E$499)),TEXT(INDEX('Assets'!$F$4:$F$503,_calc!$E$499),"yyyy-mm-dd"),""))</f>
        <v/>
      </c>
      <c r="E497" s="44">
        <f>IF(_calc!$E$499="","",IF(LEN(INDEX('Assets'!$O$4:$O$503,_calc!$E$499))=0,"",INDEX('Assets'!$O$4:$O$503,_calc!$E$499)))</f>
        <v/>
      </c>
      <c r="F497" s="44">
        <f>IF(_calc!$E$499="","",TRIM(IF(LEN(IF(LEN(INDEX('Assets'!$B$4:$B$503,_calc!$E$499))=0,"",INDEX('Assets'!$B$4:$B$503,_calc!$E$499)))=0,"","Asset ID: "&amp;IF(LEN(INDEX('Assets'!$B$4:$B$503,_calc!$E$499))=0,"",INDEX('Assets'!$B$4:$B$503,_calc!$E$499))&amp;". ")&amp;IF(LEN(IF(LEN(INDEX('Assets'!$C$4:$C$503,_calc!$E$499))=0,"",INDEX('Assets'!$C$4:$C$503,_calc!$E$499)))=0,"","Location: "&amp;IF(LEN(INDEX('Assets'!$C$4:$C$503,_calc!$E$499))=0,"",INDEX('Assets'!$C$4:$C$503,_calc!$E$499))&amp;". ")&amp;IF(LEN(IF(LEN(INDEX('Assets'!$E$4:$E$503,_calc!$E$499))=0,"",INDEX('Assets'!$E$4:$E$503,_calc!$E$499)))=0,"","Every (months): "&amp;IF(LEN(INDEX('Assets'!$E$4:$E$503,_calc!$E$499))=0,"",INDEX('Assets'!$E$4:$E$503,_calc!$E$499))&amp;". ")&amp;IF(LEN(IF(LEN(INDEX('Assets'!$M$4:$M$503,_calc!$E$499))=0,"",INDEX('Assets'!$M$4:$M$503,_calc!$E$499)))=0,"","Last result: "&amp;IF(LEN(INDEX('Assets'!$M$4:$M$503,_calc!$E$499))=0,"",INDEX('Assets'!$M$4:$M$503,_calc!$E$499))&amp;". ")&amp;IF(LEN(IF(LEN(INDEX('Assets'!$Q$4:$Q$503,_calc!$E$499))=0,"",INDEX('Assets'!$Q$4:$Q$503,_calc!$E$499)))=0,"",IF(LEN(INDEX('Assets'!$Q$4:$Q$503,_calc!$E$499))=0,"",INDEX('Assets'!$Q$4:$Q$503,_calc!$E$499)))))</f>
        <v/>
      </c>
      <c r="G497" s="44">
        <f>IF(_calc!$E$499="","",IF(LEN(INDEX('Assets'!$P$4:$P$503,_calc!$E$499))=0,"",INDEX('Assets'!$P$4:$P$503,_calc!$E$499)))</f>
        <v/>
      </c>
      <c r="K497" s="44">
        <f>IF(_calc!$E$499="","",IF(LEN(INDEX('Assets'!$N$4:$N$503,_calc!$E$499))=0,"",INDEX('Assets'!$N$4:$N$503,_calc!$E$499)))</f>
        <v/>
      </c>
    </row>
    <row r="498">
      <c r="A498" s="44">
        <f>IF(_calc!$E$500="","",IF(LEN(INDEX('Assets'!$D$4:$D$503,_calc!$E$500))=0,"",INDEX('Assets'!$D$4:$D$503,_calc!$E$500))&amp;" – "&amp;IF(LEN(INDEX('Assets'!$A$4:$A$503,_calc!$E$500))=0,"",INDEX('Assets'!$A$4:$A$503,_calc!$E$500)))</f>
        <v/>
      </c>
      <c r="B498" s="44">
        <f>IF(_calc!$E$500="","",IF(ISNUMBER(INDEX('Assets'!$G$4:$G$503,_calc!$E$500)),TEXT(INDEX('Assets'!$G$4:$G$503,_calc!$E$500),"yyyy-mm-dd"),""))</f>
        <v/>
      </c>
      <c r="C498" s="44">
        <f>IF(_calc!$E$500="","","Inspection")</f>
        <v/>
      </c>
      <c r="D498" s="44">
        <f>IF(_calc!$E$500="","",IF(ISNUMBER(INDEX('Assets'!$F$4:$F$503,_calc!$E$500)),TEXT(INDEX('Assets'!$F$4:$F$503,_calc!$E$500),"yyyy-mm-dd"),""))</f>
        <v/>
      </c>
      <c r="E498" s="44">
        <f>IF(_calc!$E$500="","",IF(LEN(INDEX('Assets'!$O$4:$O$503,_calc!$E$500))=0,"",INDEX('Assets'!$O$4:$O$503,_calc!$E$500)))</f>
        <v/>
      </c>
      <c r="F498" s="44">
        <f>IF(_calc!$E$500="","",TRIM(IF(LEN(IF(LEN(INDEX('Assets'!$B$4:$B$503,_calc!$E$500))=0,"",INDEX('Assets'!$B$4:$B$503,_calc!$E$500)))=0,"","Asset ID: "&amp;IF(LEN(INDEX('Assets'!$B$4:$B$503,_calc!$E$500))=0,"",INDEX('Assets'!$B$4:$B$503,_calc!$E$500))&amp;". ")&amp;IF(LEN(IF(LEN(INDEX('Assets'!$C$4:$C$503,_calc!$E$500))=0,"",INDEX('Assets'!$C$4:$C$503,_calc!$E$500)))=0,"","Location: "&amp;IF(LEN(INDEX('Assets'!$C$4:$C$503,_calc!$E$500))=0,"",INDEX('Assets'!$C$4:$C$503,_calc!$E$500))&amp;". ")&amp;IF(LEN(IF(LEN(INDEX('Assets'!$E$4:$E$503,_calc!$E$500))=0,"",INDEX('Assets'!$E$4:$E$503,_calc!$E$500)))=0,"","Every (months): "&amp;IF(LEN(INDEX('Assets'!$E$4:$E$503,_calc!$E$500))=0,"",INDEX('Assets'!$E$4:$E$503,_calc!$E$500))&amp;". ")&amp;IF(LEN(IF(LEN(INDEX('Assets'!$M$4:$M$503,_calc!$E$500))=0,"",INDEX('Assets'!$M$4:$M$503,_calc!$E$500)))=0,"","Last result: "&amp;IF(LEN(INDEX('Assets'!$M$4:$M$503,_calc!$E$500))=0,"",INDEX('Assets'!$M$4:$M$503,_calc!$E$500))&amp;". ")&amp;IF(LEN(IF(LEN(INDEX('Assets'!$Q$4:$Q$503,_calc!$E$500))=0,"",INDEX('Assets'!$Q$4:$Q$503,_calc!$E$500)))=0,"",IF(LEN(INDEX('Assets'!$Q$4:$Q$503,_calc!$E$500))=0,"",INDEX('Assets'!$Q$4:$Q$503,_calc!$E$500)))))</f>
        <v/>
      </c>
      <c r="G498" s="44">
        <f>IF(_calc!$E$500="","",IF(LEN(INDEX('Assets'!$P$4:$P$503,_calc!$E$500))=0,"",INDEX('Assets'!$P$4:$P$503,_calc!$E$500)))</f>
        <v/>
      </c>
      <c r="K498" s="44">
        <f>IF(_calc!$E$500="","",IF(LEN(INDEX('Assets'!$N$4:$N$503,_calc!$E$500))=0,"",INDEX('Assets'!$N$4:$N$503,_calc!$E$500)))</f>
        <v/>
      </c>
    </row>
    <row r="499">
      <c r="A499" s="44">
        <f>IF(_calc!$E$501="","",IF(LEN(INDEX('Assets'!$D$4:$D$503,_calc!$E$501))=0,"",INDEX('Assets'!$D$4:$D$503,_calc!$E$501))&amp;" – "&amp;IF(LEN(INDEX('Assets'!$A$4:$A$503,_calc!$E$501))=0,"",INDEX('Assets'!$A$4:$A$503,_calc!$E$501)))</f>
        <v/>
      </c>
      <c r="B499" s="44">
        <f>IF(_calc!$E$501="","",IF(ISNUMBER(INDEX('Assets'!$G$4:$G$503,_calc!$E$501)),TEXT(INDEX('Assets'!$G$4:$G$503,_calc!$E$501),"yyyy-mm-dd"),""))</f>
        <v/>
      </c>
      <c r="C499" s="44">
        <f>IF(_calc!$E$501="","","Inspection")</f>
        <v/>
      </c>
      <c r="D499" s="44">
        <f>IF(_calc!$E$501="","",IF(ISNUMBER(INDEX('Assets'!$F$4:$F$503,_calc!$E$501)),TEXT(INDEX('Assets'!$F$4:$F$503,_calc!$E$501),"yyyy-mm-dd"),""))</f>
        <v/>
      </c>
      <c r="E499" s="44">
        <f>IF(_calc!$E$501="","",IF(LEN(INDEX('Assets'!$O$4:$O$503,_calc!$E$501))=0,"",INDEX('Assets'!$O$4:$O$503,_calc!$E$501)))</f>
        <v/>
      </c>
      <c r="F499" s="44">
        <f>IF(_calc!$E$501="","",TRIM(IF(LEN(IF(LEN(INDEX('Assets'!$B$4:$B$503,_calc!$E$501))=0,"",INDEX('Assets'!$B$4:$B$503,_calc!$E$501)))=0,"","Asset ID: "&amp;IF(LEN(INDEX('Assets'!$B$4:$B$503,_calc!$E$501))=0,"",INDEX('Assets'!$B$4:$B$503,_calc!$E$501))&amp;". ")&amp;IF(LEN(IF(LEN(INDEX('Assets'!$C$4:$C$503,_calc!$E$501))=0,"",INDEX('Assets'!$C$4:$C$503,_calc!$E$501)))=0,"","Location: "&amp;IF(LEN(INDEX('Assets'!$C$4:$C$503,_calc!$E$501))=0,"",INDEX('Assets'!$C$4:$C$503,_calc!$E$501))&amp;". ")&amp;IF(LEN(IF(LEN(INDEX('Assets'!$E$4:$E$503,_calc!$E$501))=0,"",INDEX('Assets'!$E$4:$E$503,_calc!$E$501)))=0,"","Every (months): "&amp;IF(LEN(INDEX('Assets'!$E$4:$E$503,_calc!$E$501))=0,"",INDEX('Assets'!$E$4:$E$503,_calc!$E$501))&amp;". ")&amp;IF(LEN(IF(LEN(INDEX('Assets'!$M$4:$M$503,_calc!$E$501))=0,"",INDEX('Assets'!$M$4:$M$503,_calc!$E$501)))=0,"","Last result: "&amp;IF(LEN(INDEX('Assets'!$M$4:$M$503,_calc!$E$501))=0,"",INDEX('Assets'!$M$4:$M$503,_calc!$E$501))&amp;". ")&amp;IF(LEN(IF(LEN(INDEX('Assets'!$Q$4:$Q$503,_calc!$E$501))=0,"",INDEX('Assets'!$Q$4:$Q$503,_calc!$E$501)))=0,"",IF(LEN(INDEX('Assets'!$Q$4:$Q$503,_calc!$E$501))=0,"",INDEX('Assets'!$Q$4:$Q$503,_calc!$E$501)))))</f>
        <v/>
      </c>
      <c r="G499" s="44">
        <f>IF(_calc!$E$501="","",IF(LEN(INDEX('Assets'!$P$4:$P$503,_calc!$E$501))=0,"",INDEX('Assets'!$P$4:$P$503,_calc!$E$501)))</f>
        <v/>
      </c>
      <c r="K499" s="44">
        <f>IF(_calc!$E$501="","",IF(LEN(INDEX('Assets'!$N$4:$N$503,_calc!$E$501))=0,"",INDEX('Assets'!$N$4:$N$503,_calc!$E$501)))</f>
        <v/>
      </c>
    </row>
    <row r="500">
      <c r="A500" s="44">
        <f>IF(_calc!$E$502="","",IF(LEN(INDEX('Assets'!$D$4:$D$503,_calc!$E$502))=0,"",INDEX('Assets'!$D$4:$D$503,_calc!$E$502))&amp;" – "&amp;IF(LEN(INDEX('Assets'!$A$4:$A$503,_calc!$E$502))=0,"",INDEX('Assets'!$A$4:$A$503,_calc!$E$502)))</f>
        <v/>
      </c>
      <c r="B500" s="44">
        <f>IF(_calc!$E$502="","",IF(ISNUMBER(INDEX('Assets'!$G$4:$G$503,_calc!$E$502)),TEXT(INDEX('Assets'!$G$4:$G$503,_calc!$E$502),"yyyy-mm-dd"),""))</f>
        <v/>
      </c>
      <c r="C500" s="44">
        <f>IF(_calc!$E$502="","","Inspection")</f>
        <v/>
      </c>
      <c r="D500" s="44">
        <f>IF(_calc!$E$502="","",IF(ISNUMBER(INDEX('Assets'!$F$4:$F$503,_calc!$E$502)),TEXT(INDEX('Assets'!$F$4:$F$503,_calc!$E$502),"yyyy-mm-dd"),""))</f>
        <v/>
      </c>
      <c r="E500" s="44">
        <f>IF(_calc!$E$502="","",IF(LEN(INDEX('Assets'!$O$4:$O$503,_calc!$E$502))=0,"",INDEX('Assets'!$O$4:$O$503,_calc!$E$502)))</f>
        <v/>
      </c>
      <c r="F500" s="44">
        <f>IF(_calc!$E$502="","",TRIM(IF(LEN(IF(LEN(INDEX('Assets'!$B$4:$B$503,_calc!$E$502))=0,"",INDEX('Assets'!$B$4:$B$503,_calc!$E$502)))=0,"","Asset ID: "&amp;IF(LEN(INDEX('Assets'!$B$4:$B$503,_calc!$E$502))=0,"",INDEX('Assets'!$B$4:$B$503,_calc!$E$502))&amp;". ")&amp;IF(LEN(IF(LEN(INDEX('Assets'!$C$4:$C$503,_calc!$E$502))=0,"",INDEX('Assets'!$C$4:$C$503,_calc!$E$502)))=0,"","Location: "&amp;IF(LEN(INDEX('Assets'!$C$4:$C$503,_calc!$E$502))=0,"",INDEX('Assets'!$C$4:$C$503,_calc!$E$502))&amp;". ")&amp;IF(LEN(IF(LEN(INDEX('Assets'!$E$4:$E$503,_calc!$E$502))=0,"",INDEX('Assets'!$E$4:$E$503,_calc!$E$502)))=0,"","Every (months): "&amp;IF(LEN(INDEX('Assets'!$E$4:$E$503,_calc!$E$502))=0,"",INDEX('Assets'!$E$4:$E$503,_calc!$E$502))&amp;". ")&amp;IF(LEN(IF(LEN(INDEX('Assets'!$M$4:$M$503,_calc!$E$502))=0,"",INDEX('Assets'!$M$4:$M$503,_calc!$E$502)))=0,"","Last result: "&amp;IF(LEN(INDEX('Assets'!$M$4:$M$503,_calc!$E$502))=0,"",INDEX('Assets'!$M$4:$M$503,_calc!$E$502))&amp;". ")&amp;IF(LEN(IF(LEN(INDEX('Assets'!$Q$4:$Q$503,_calc!$E$502))=0,"",INDEX('Assets'!$Q$4:$Q$503,_calc!$E$502)))=0,"",IF(LEN(INDEX('Assets'!$Q$4:$Q$503,_calc!$E$502))=0,"",INDEX('Assets'!$Q$4:$Q$503,_calc!$E$502)))))</f>
        <v/>
      </c>
      <c r="G500" s="44">
        <f>IF(_calc!$E$502="","",IF(LEN(INDEX('Assets'!$P$4:$P$503,_calc!$E$502))=0,"",INDEX('Assets'!$P$4:$P$503,_calc!$E$502)))</f>
        <v/>
      </c>
      <c r="K500" s="44">
        <f>IF(_calc!$E$502="","",IF(LEN(INDEX('Assets'!$N$4:$N$503,_calc!$E$502))=0,"",INDEX('Assets'!$N$4:$N$503,_calc!$E$502)))</f>
        <v/>
      </c>
    </row>
    <row r="501">
      <c r="A501" s="44">
        <f>IF(_calc!$E$503="","",IF(LEN(INDEX('Assets'!$D$4:$D$503,_calc!$E$503))=0,"",INDEX('Assets'!$D$4:$D$503,_calc!$E$503))&amp;" – "&amp;IF(LEN(INDEX('Assets'!$A$4:$A$503,_calc!$E$503))=0,"",INDEX('Assets'!$A$4:$A$503,_calc!$E$503)))</f>
        <v/>
      </c>
      <c r="B501" s="44">
        <f>IF(_calc!$E$503="","",IF(ISNUMBER(INDEX('Assets'!$G$4:$G$503,_calc!$E$503)),TEXT(INDEX('Assets'!$G$4:$G$503,_calc!$E$503),"yyyy-mm-dd"),""))</f>
        <v/>
      </c>
      <c r="C501" s="44">
        <f>IF(_calc!$E$503="","","Inspection")</f>
        <v/>
      </c>
      <c r="D501" s="44">
        <f>IF(_calc!$E$503="","",IF(ISNUMBER(INDEX('Assets'!$F$4:$F$503,_calc!$E$503)),TEXT(INDEX('Assets'!$F$4:$F$503,_calc!$E$503),"yyyy-mm-dd"),""))</f>
        <v/>
      </c>
      <c r="E501" s="44">
        <f>IF(_calc!$E$503="","",IF(LEN(INDEX('Assets'!$O$4:$O$503,_calc!$E$503))=0,"",INDEX('Assets'!$O$4:$O$503,_calc!$E$503)))</f>
        <v/>
      </c>
      <c r="F501" s="44">
        <f>IF(_calc!$E$503="","",TRIM(IF(LEN(IF(LEN(INDEX('Assets'!$B$4:$B$503,_calc!$E$503))=0,"",INDEX('Assets'!$B$4:$B$503,_calc!$E$503)))=0,"","Asset ID: "&amp;IF(LEN(INDEX('Assets'!$B$4:$B$503,_calc!$E$503))=0,"",INDEX('Assets'!$B$4:$B$503,_calc!$E$503))&amp;". ")&amp;IF(LEN(IF(LEN(INDEX('Assets'!$C$4:$C$503,_calc!$E$503))=0,"",INDEX('Assets'!$C$4:$C$503,_calc!$E$503)))=0,"","Location: "&amp;IF(LEN(INDEX('Assets'!$C$4:$C$503,_calc!$E$503))=0,"",INDEX('Assets'!$C$4:$C$503,_calc!$E$503))&amp;". ")&amp;IF(LEN(IF(LEN(INDEX('Assets'!$E$4:$E$503,_calc!$E$503))=0,"",INDEX('Assets'!$E$4:$E$503,_calc!$E$503)))=0,"","Every (months): "&amp;IF(LEN(INDEX('Assets'!$E$4:$E$503,_calc!$E$503))=0,"",INDEX('Assets'!$E$4:$E$503,_calc!$E$503))&amp;". ")&amp;IF(LEN(IF(LEN(INDEX('Assets'!$M$4:$M$503,_calc!$E$503))=0,"",INDEX('Assets'!$M$4:$M$503,_calc!$E$503)))=0,"","Last result: "&amp;IF(LEN(INDEX('Assets'!$M$4:$M$503,_calc!$E$503))=0,"",INDEX('Assets'!$M$4:$M$503,_calc!$E$503))&amp;". ")&amp;IF(LEN(IF(LEN(INDEX('Assets'!$Q$4:$Q$503,_calc!$E$503))=0,"",INDEX('Assets'!$Q$4:$Q$503,_calc!$E$503)))=0,"",IF(LEN(INDEX('Assets'!$Q$4:$Q$503,_calc!$E$503))=0,"",INDEX('Assets'!$Q$4:$Q$503,_calc!$E$503)))))</f>
        <v/>
      </c>
      <c r="G501" s="44">
        <f>IF(_calc!$E$503="","",IF(LEN(INDEX('Assets'!$P$4:$P$503,_calc!$E$503))=0,"",INDEX('Assets'!$P$4:$P$503,_calc!$E$503)))</f>
        <v/>
      </c>
      <c r="K501" s="44">
        <f>IF(_calc!$E$503="","",IF(LEN(INDEX('Assets'!$N$4:$N$503,_calc!$E$503))=0,"",INDEX('Assets'!$N$4:$N$503,_calc!$E$503)))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3" max="3"/>
    <col width="50" customWidth="1" min="5" max="5"/>
  </cols>
  <sheetData>
    <row r="1">
      <c r="A1" s="13" t="inlineStr">
        <is>
          <t>Inspection</t>
        </is>
      </c>
      <c r="C1" s="13" t="inlineStr">
        <is>
          <t>Priority</t>
        </is>
      </c>
      <c r="E1" s="45" t="inlineStr">
        <is>
          <t>About these lists</t>
        </is>
      </c>
    </row>
    <row r="2">
      <c r="A2" s="44" t="inlineStr">
        <is>
          <t>Thorough examination</t>
        </is>
      </c>
      <c r="C2" s="44" t="inlineStr">
        <is>
          <t>Low</t>
        </is>
      </c>
      <c r="E2" s="46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4" t="inlineStr">
        <is>
          <t>Written scheme examination</t>
        </is>
      </c>
      <c r="C3" s="44" t="inlineStr">
        <is>
          <t>Medium</t>
        </is>
      </c>
    </row>
    <row r="4">
      <c r="A4" s="44" t="inlineStr">
        <is>
          <t>Service</t>
        </is>
      </c>
      <c r="C4" s="44" t="inlineStr">
        <is>
          <t>High</t>
        </is>
      </c>
    </row>
    <row r="5">
      <c r="A5" s="44" t="inlineStr">
        <is>
          <t>Test / inspection</t>
        </is>
      </c>
    </row>
    <row r="6">
      <c r="A6" s="44" t="inlineStr">
        <is>
          <t>Visual inspection</t>
        </is>
      </c>
    </row>
    <row r="7">
      <c r="A7" s="44" t="inlineStr">
        <is>
          <t>Calibration</t>
        </is>
      </c>
    </row>
    <row r="8">
      <c r="A8" s="44" t="inlineStr">
        <is>
          <t>PAT test</t>
        </is>
      </c>
    </row>
    <row r="9">
      <c r="A9" s="44" t="inlineStr">
        <is>
          <t>Other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IF(AND(LEN('Assets'!A4)&gt;0,ISNUMBER('Assets'!G4)),'Assets'!G4+1/100000,"")</f>
        <v/>
      </c>
      <c r="B4">
        <f>IF(AND(LEN('Assets'!A4)&gt;0,ISNUMBER('Assets'!G4)),MAX($B$3:B3)+1,"")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IF(AND(LEN('Assets'!A5)&gt;0,ISNUMBER('Assets'!G5)),'Assets'!G5+2/100000,"")</f>
        <v/>
      </c>
      <c r="B5">
        <f>IF(AND(LEN('Assets'!A5)&gt;0,ISNUMBER('Assets'!G5)),MAX($B$3:B4)+1,"")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IF(AND(LEN('Assets'!A6)&gt;0,ISNUMBER('Assets'!G6)),'Assets'!G6+3/100000,"")</f>
        <v/>
      </c>
      <c r="B6">
        <f>IF(AND(LEN('Assets'!A6)&gt;0,ISNUMBER('Assets'!G6)),MAX($B$3:B5)+1,"")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IF(AND(LEN('Assets'!A7)&gt;0,ISNUMBER('Assets'!G7)),'Assets'!G7+4/100000,"")</f>
        <v/>
      </c>
      <c r="B7">
        <f>IF(AND(LEN('Assets'!A7)&gt;0,ISNUMBER('Assets'!G7)),MAX($B$3:B6)+1,"")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IF(AND(LEN('Assets'!A8)&gt;0,ISNUMBER('Assets'!G8)),'Assets'!G8+5/100000,"")</f>
        <v/>
      </c>
      <c r="B8">
        <f>IF(AND(LEN('Assets'!A8)&gt;0,ISNUMBER('Assets'!G8)),MAX($B$3:B7)+1,"")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IF(AND(LEN('Assets'!A9)&gt;0,ISNUMBER('Assets'!G9)),'Assets'!G9+6/100000,"")</f>
        <v/>
      </c>
      <c r="B9">
        <f>IF(AND(LEN('Assets'!A9)&gt;0,ISNUMBER('Assets'!G9)),MAX($B$3:B8)+1,"")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IF(AND(LEN('Assets'!A10)&gt;0,ISNUMBER('Assets'!G10)),'Assets'!G10+7/100000,"")</f>
        <v/>
      </c>
      <c r="B10">
        <f>IF(AND(LEN('Assets'!A10)&gt;0,ISNUMBER('Assets'!G10)),MAX($B$3:B9)+1,"")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IF(AND(LEN('Assets'!A11)&gt;0,ISNUMBER('Assets'!G11)),'Assets'!G11+8/100000,"")</f>
        <v/>
      </c>
      <c r="B11">
        <f>IF(AND(LEN('Assets'!A11)&gt;0,ISNUMBER('Assets'!G11)),MAX($B$3:B10)+1,"")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IF(AND(LEN('Assets'!A12)&gt;0,ISNUMBER('Assets'!G12)),'Assets'!G12+9/100000,"")</f>
        <v/>
      </c>
      <c r="B12">
        <f>IF(AND(LEN('Assets'!A12)&gt;0,ISNUMBER('Assets'!G12)),MAX($B$3:B11)+1,"")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IF(AND(LEN('Assets'!A13)&gt;0,ISNUMBER('Assets'!G13)),'Assets'!G13+10/100000,"")</f>
        <v/>
      </c>
      <c r="B13">
        <f>IF(AND(LEN('Assets'!A13)&gt;0,ISNUMBER('Assets'!G13)),MAX($B$3:B12)+1,"")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IF(AND(LEN('Assets'!A14)&gt;0,ISNUMBER('Assets'!G14)),'Assets'!G14+11/100000,"")</f>
        <v/>
      </c>
      <c r="B14">
        <f>IF(AND(LEN('Assets'!A14)&gt;0,ISNUMBER('Assets'!G14)),MAX($B$3:B13)+1,"")</f>
        <v/>
      </c>
      <c r="E14">
        <f>IFERROR(MATCH(11,$B$4:$B$503,0),"")</f>
        <v/>
      </c>
    </row>
    <row r="15">
      <c r="A15">
        <f>IF(AND(LEN('Assets'!A15)&gt;0,ISNUMBER('Assets'!G15)),'Assets'!G15+12/100000,"")</f>
        <v/>
      </c>
      <c r="B15">
        <f>IF(AND(LEN('Assets'!A15)&gt;0,ISNUMBER('Assets'!G15)),MAX($B$3:B14)+1,"")</f>
        <v/>
      </c>
      <c r="E15">
        <f>IFERROR(MATCH(12,$B$4:$B$503,0),"")</f>
        <v/>
      </c>
    </row>
    <row r="16">
      <c r="A16">
        <f>IF(AND(LEN('Assets'!A16)&gt;0,ISNUMBER('Assets'!G16)),'Assets'!G16+13/100000,"")</f>
        <v/>
      </c>
      <c r="B16">
        <f>IF(AND(LEN('Assets'!A16)&gt;0,ISNUMBER('Assets'!G16)),MAX($B$3:B15)+1,"")</f>
        <v/>
      </c>
      <c r="E16">
        <f>IFERROR(MATCH(13,$B$4:$B$503,0),"")</f>
        <v/>
      </c>
    </row>
    <row r="17">
      <c r="A17">
        <f>IF(AND(LEN('Assets'!A17)&gt;0,ISNUMBER('Assets'!G17)),'Assets'!G17+14/100000,"")</f>
        <v/>
      </c>
      <c r="B17">
        <f>IF(AND(LEN('Assets'!A17)&gt;0,ISNUMBER('Assets'!G17)),MAX($B$3:B16)+1,"")</f>
        <v/>
      </c>
      <c r="E17">
        <f>IFERROR(MATCH(14,$B$4:$B$503,0),"")</f>
        <v/>
      </c>
    </row>
    <row r="18">
      <c r="A18">
        <f>IF(AND(LEN('Assets'!A18)&gt;0,ISNUMBER('Assets'!G18)),'Assets'!G18+15/100000,"")</f>
        <v/>
      </c>
      <c r="B18">
        <f>IF(AND(LEN('Assets'!A18)&gt;0,ISNUMBER('Assets'!G18)),MAX($B$3:B17)+1,"")</f>
        <v/>
      </c>
      <c r="E18">
        <f>IFERROR(MATCH(15,$B$4:$B$503,0),"")</f>
        <v/>
      </c>
    </row>
    <row r="19">
      <c r="A19">
        <f>IF(AND(LEN('Assets'!A19)&gt;0,ISNUMBER('Assets'!G19)),'Assets'!G19+16/100000,"")</f>
        <v/>
      </c>
      <c r="B19">
        <f>IF(AND(LEN('Assets'!A19)&gt;0,ISNUMBER('Assets'!G19)),MAX($B$3:B18)+1,"")</f>
        <v/>
      </c>
      <c r="E19">
        <f>IFERROR(MATCH(16,$B$4:$B$503,0),"")</f>
        <v/>
      </c>
    </row>
    <row r="20">
      <c r="A20">
        <f>IF(AND(LEN('Assets'!A20)&gt;0,ISNUMBER('Assets'!G20)),'Assets'!G20+17/100000,"")</f>
        <v/>
      </c>
      <c r="B20">
        <f>IF(AND(LEN('Assets'!A20)&gt;0,ISNUMBER('Assets'!G20)),MAX($B$3:B19)+1,"")</f>
        <v/>
      </c>
      <c r="E20">
        <f>IFERROR(MATCH(17,$B$4:$B$503,0),"")</f>
        <v/>
      </c>
    </row>
    <row r="21">
      <c r="A21">
        <f>IF(AND(LEN('Assets'!A21)&gt;0,ISNUMBER('Assets'!G21)),'Assets'!G21+18/100000,"")</f>
        <v/>
      </c>
      <c r="B21">
        <f>IF(AND(LEN('Assets'!A21)&gt;0,ISNUMBER('Assets'!G21)),MAX($B$3:B20)+1,"")</f>
        <v/>
      </c>
      <c r="E21">
        <f>IFERROR(MATCH(18,$B$4:$B$503,0),"")</f>
        <v/>
      </c>
    </row>
    <row r="22">
      <c r="A22">
        <f>IF(AND(LEN('Assets'!A22)&gt;0,ISNUMBER('Assets'!G22)),'Assets'!G22+19/100000,"")</f>
        <v/>
      </c>
      <c r="B22">
        <f>IF(AND(LEN('Assets'!A22)&gt;0,ISNUMBER('Assets'!G22)),MAX($B$3:B21)+1,"")</f>
        <v/>
      </c>
      <c r="E22">
        <f>IFERROR(MATCH(19,$B$4:$B$503,0),"")</f>
        <v/>
      </c>
    </row>
    <row r="23">
      <c r="A23">
        <f>IF(AND(LEN('Assets'!A23)&gt;0,ISNUMBER('Assets'!G23)),'Assets'!G23+20/100000,"")</f>
        <v/>
      </c>
      <c r="B23">
        <f>IF(AND(LEN('Assets'!A23)&gt;0,ISNUMBER('Assets'!G23)),MAX($B$3:B22)+1,"")</f>
        <v/>
      </c>
      <c r="E23">
        <f>IFERROR(MATCH(20,$B$4:$B$503,0),"")</f>
        <v/>
      </c>
    </row>
    <row r="24">
      <c r="A24">
        <f>IF(AND(LEN('Assets'!A24)&gt;0,ISNUMBER('Assets'!G24)),'Assets'!G24+21/100000,"")</f>
        <v/>
      </c>
      <c r="B24">
        <f>IF(AND(LEN('Assets'!A24)&gt;0,ISNUMBER('Assets'!G24)),MAX($B$3:B23)+1,"")</f>
        <v/>
      </c>
      <c r="E24">
        <f>IFERROR(MATCH(21,$B$4:$B$503,0),"")</f>
        <v/>
      </c>
    </row>
    <row r="25">
      <c r="A25">
        <f>IF(AND(LEN('Assets'!A25)&gt;0,ISNUMBER('Assets'!G25)),'Assets'!G25+22/100000,"")</f>
        <v/>
      </c>
      <c r="B25">
        <f>IF(AND(LEN('Assets'!A25)&gt;0,ISNUMBER('Assets'!G25)),MAX($B$3:B24)+1,"")</f>
        <v/>
      </c>
      <c r="E25">
        <f>IFERROR(MATCH(22,$B$4:$B$503,0),"")</f>
        <v/>
      </c>
    </row>
    <row r="26">
      <c r="A26">
        <f>IF(AND(LEN('Assets'!A26)&gt;0,ISNUMBER('Assets'!G26)),'Assets'!G26+23/100000,"")</f>
        <v/>
      </c>
      <c r="B26">
        <f>IF(AND(LEN('Assets'!A26)&gt;0,ISNUMBER('Assets'!G26)),MAX($B$3:B25)+1,"")</f>
        <v/>
      </c>
      <c r="E26">
        <f>IFERROR(MATCH(23,$B$4:$B$503,0),"")</f>
        <v/>
      </c>
    </row>
    <row r="27">
      <c r="A27">
        <f>IF(AND(LEN('Assets'!A27)&gt;0,ISNUMBER('Assets'!G27)),'Assets'!G27+24/100000,"")</f>
        <v/>
      </c>
      <c r="B27">
        <f>IF(AND(LEN('Assets'!A27)&gt;0,ISNUMBER('Assets'!G27)),MAX($B$3:B26)+1,"")</f>
        <v/>
      </c>
      <c r="E27">
        <f>IFERROR(MATCH(24,$B$4:$B$503,0),"")</f>
        <v/>
      </c>
    </row>
    <row r="28">
      <c r="A28">
        <f>IF(AND(LEN('Assets'!A28)&gt;0,ISNUMBER('Assets'!G28)),'Assets'!G28+25/100000,"")</f>
        <v/>
      </c>
      <c r="B28">
        <f>IF(AND(LEN('Assets'!A28)&gt;0,ISNUMBER('Assets'!G28)),MAX($B$3:B27)+1,"")</f>
        <v/>
      </c>
      <c r="E28">
        <f>IFERROR(MATCH(25,$B$4:$B$503,0),"")</f>
        <v/>
      </c>
    </row>
    <row r="29">
      <c r="A29">
        <f>IF(AND(LEN('Assets'!A29)&gt;0,ISNUMBER('Assets'!G29)),'Assets'!G29+26/100000,"")</f>
        <v/>
      </c>
      <c r="B29">
        <f>IF(AND(LEN('Assets'!A29)&gt;0,ISNUMBER('Assets'!G29)),MAX($B$3:B28)+1,"")</f>
        <v/>
      </c>
      <c r="E29">
        <f>IFERROR(MATCH(26,$B$4:$B$503,0),"")</f>
        <v/>
      </c>
    </row>
    <row r="30">
      <c r="A30">
        <f>IF(AND(LEN('Assets'!A30)&gt;0,ISNUMBER('Assets'!G30)),'Assets'!G30+27/100000,"")</f>
        <v/>
      </c>
      <c r="B30">
        <f>IF(AND(LEN('Assets'!A30)&gt;0,ISNUMBER('Assets'!G30)),MAX($B$3:B29)+1,"")</f>
        <v/>
      </c>
      <c r="E30">
        <f>IFERROR(MATCH(27,$B$4:$B$503,0),"")</f>
        <v/>
      </c>
    </row>
    <row r="31">
      <c r="A31">
        <f>IF(AND(LEN('Assets'!A31)&gt;0,ISNUMBER('Assets'!G31)),'Assets'!G31+28/100000,"")</f>
        <v/>
      </c>
      <c r="B31">
        <f>IF(AND(LEN('Assets'!A31)&gt;0,ISNUMBER('Assets'!G31)),MAX($B$3:B30)+1,"")</f>
        <v/>
      </c>
      <c r="E31">
        <f>IFERROR(MATCH(28,$B$4:$B$503,0),"")</f>
        <v/>
      </c>
    </row>
    <row r="32">
      <c r="A32">
        <f>IF(AND(LEN('Assets'!A32)&gt;0,ISNUMBER('Assets'!G32)),'Assets'!G32+29/100000,"")</f>
        <v/>
      </c>
      <c r="B32">
        <f>IF(AND(LEN('Assets'!A32)&gt;0,ISNUMBER('Assets'!G32)),MAX($B$3:B31)+1,"")</f>
        <v/>
      </c>
      <c r="E32">
        <f>IFERROR(MATCH(29,$B$4:$B$503,0),"")</f>
        <v/>
      </c>
    </row>
    <row r="33">
      <c r="A33">
        <f>IF(AND(LEN('Assets'!A33)&gt;0,ISNUMBER('Assets'!G33)),'Assets'!G33+30/100000,"")</f>
        <v/>
      </c>
      <c r="B33">
        <f>IF(AND(LEN('Assets'!A33)&gt;0,ISNUMBER('Assets'!G33)),MAX($B$3:B32)+1,"")</f>
        <v/>
      </c>
      <c r="E33">
        <f>IFERROR(MATCH(30,$B$4:$B$503,0),"")</f>
        <v/>
      </c>
    </row>
    <row r="34">
      <c r="A34">
        <f>IF(AND(LEN('Assets'!A34)&gt;0,ISNUMBER('Assets'!G34)),'Assets'!G34+31/100000,"")</f>
        <v/>
      </c>
      <c r="B34">
        <f>IF(AND(LEN('Assets'!A34)&gt;0,ISNUMBER('Assets'!G34)),MAX($B$3:B33)+1,"")</f>
        <v/>
      </c>
      <c r="E34">
        <f>IFERROR(MATCH(31,$B$4:$B$503,0),"")</f>
        <v/>
      </c>
    </row>
    <row r="35">
      <c r="A35">
        <f>IF(AND(LEN('Assets'!A35)&gt;0,ISNUMBER('Assets'!G35)),'Assets'!G35+32/100000,"")</f>
        <v/>
      </c>
      <c r="B35">
        <f>IF(AND(LEN('Assets'!A35)&gt;0,ISNUMBER('Assets'!G35)),MAX($B$3:B34)+1,"")</f>
        <v/>
      </c>
      <c r="E35">
        <f>IFERROR(MATCH(32,$B$4:$B$503,0),"")</f>
        <v/>
      </c>
    </row>
    <row r="36">
      <c r="A36">
        <f>IF(AND(LEN('Assets'!A36)&gt;0,ISNUMBER('Assets'!G36)),'Assets'!G36+33/100000,"")</f>
        <v/>
      </c>
      <c r="B36">
        <f>IF(AND(LEN('Assets'!A36)&gt;0,ISNUMBER('Assets'!G36)),MAX($B$3:B35)+1,"")</f>
        <v/>
      </c>
      <c r="E36">
        <f>IFERROR(MATCH(33,$B$4:$B$503,0),"")</f>
        <v/>
      </c>
    </row>
    <row r="37">
      <c r="A37">
        <f>IF(AND(LEN('Assets'!A37)&gt;0,ISNUMBER('Assets'!G37)),'Assets'!G37+34/100000,"")</f>
        <v/>
      </c>
      <c r="B37">
        <f>IF(AND(LEN('Assets'!A37)&gt;0,ISNUMBER('Assets'!G37)),MAX($B$3:B36)+1,"")</f>
        <v/>
      </c>
      <c r="E37">
        <f>IFERROR(MATCH(34,$B$4:$B$503,0),"")</f>
        <v/>
      </c>
    </row>
    <row r="38">
      <c r="A38">
        <f>IF(AND(LEN('Assets'!A38)&gt;0,ISNUMBER('Assets'!G38)),'Assets'!G38+35/100000,"")</f>
        <v/>
      </c>
      <c r="B38">
        <f>IF(AND(LEN('Assets'!A38)&gt;0,ISNUMBER('Assets'!G38)),MAX($B$3:B37)+1,"")</f>
        <v/>
      </c>
      <c r="E38">
        <f>IFERROR(MATCH(35,$B$4:$B$503,0),"")</f>
        <v/>
      </c>
    </row>
    <row r="39">
      <c r="A39">
        <f>IF(AND(LEN('Assets'!A39)&gt;0,ISNUMBER('Assets'!G39)),'Assets'!G39+36/100000,"")</f>
        <v/>
      </c>
      <c r="B39">
        <f>IF(AND(LEN('Assets'!A39)&gt;0,ISNUMBER('Assets'!G39)),MAX($B$3:B38)+1,"")</f>
        <v/>
      </c>
      <c r="E39">
        <f>IFERROR(MATCH(36,$B$4:$B$503,0),"")</f>
        <v/>
      </c>
    </row>
    <row r="40">
      <c r="A40">
        <f>IF(AND(LEN('Assets'!A40)&gt;0,ISNUMBER('Assets'!G40)),'Assets'!G40+37/100000,"")</f>
        <v/>
      </c>
      <c r="B40">
        <f>IF(AND(LEN('Assets'!A40)&gt;0,ISNUMBER('Assets'!G40)),MAX($B$3:B39)+1,"")</f>
        <v/>
      </c>
      <c r="E40">
        <f>IFERROR(MATCH(37,$B$4:$B$503,0),"")</f>
        <v/>
      </c>
    </row>
    <row r="41">
      <c r="A41">
        <f>IF(AND(LEN('Assets'!A41)&gt;0,ISNUMBER('Assets'!G41)),'Assets'!G41+38/100000,"")</f>
        <v/>
      </c>
      <c r="B41">
        <f>IF(AND(LEN('Assets'!A41)&gt;0,ISNUMBER('Assets'!G41)),MAX($B$3:B40)+1,"")</f>
        <v/>
      </c>
      <c r="E41">
        <f>IFERROR(MATCH(38,$B$4:$B$503,0),"")</f>
        <v/>
      </c>
    </row>
    <row r="42">
      <c r="A42">
        <f>IF(AND(LEN('Assets'!A42)&gt;0,ISNUMBER('Assets'!G42)),'Assets'!G42+39/100000,"")</f>
        <v/>
      </c>
      <c r="B42">
        <f>IF(AND(LEN('Assets'!A42)&gt;0,ISNUMBER('Assets'!G42)),MAX($B$3:B41)+1,"")</f>
        <v/>
      </c>
      <c r="E42">
        <f>IFERROR(MATCH(39,$B$4:$B$503,0),"")</f>
        <v/>
      </c>
    </row>
    <row r="43">
      <c r="A43">
        <f>IF(AND(LEN('Assets'!A43)&gt;0,ISNUMBER('Assets'!G43)),'Assets'!G43+40/100000,"")</f>
        <v/>
      </c>
      <c r="B43">
        <f>IF(AND(LEN('Assets'!A43)&gt;0,ISNUMBER('Assets'!G43)),MAX($B$3:B42)+1,"")</f>
        <v/>
      </c>
      <c r="E43">
        <f>IFERROR(MATCH(40,$B$4:$B$503,0),"")</f>
        <v/>
      </c>
    </row>
    <row r="44">
      <c r="A44">
        <f>IF(AND(LEN('Assets'!A44)&gt;0,ISNUMBER('Assets'!G44)),'Assets'!G44+41/100000,"")</f>
        <v/>
      </c>
      <c r="B44">
        <f>IF(AND(LEN('Assets'!A44)&gt;0,ISNUMBER('Assets'!G44)),MAX($B$3:B43)+1,"")</f>
        <v/>
      </c>
      <c r="E44">
        <f>IFERROR(MATCH(41,$B$4:$B$503,0),"")</f>
        <v/>
      </c>
    </row>
    <row r="45">
      <c r="A45">
        <f>IF(AND(LEN('Assets'!A45)&gt;0,ISNUMBER('Assets'!G45)),'Assets'!G45+42/100000,"")</f>
        <v/>
      </c>
      <c r="B45">
        <f>IF(AND(LEN('Assets'!A45)&gt;0,ISNUMBER('Assets'!G45)),MAX($B$3:B44)+1,"")</f>
        <v/>
      </c>
      <c r="E45">
        <f>IFERROR(MATCH(42,$B$4:$B$503,0),"")</f>
        <v/>
      </c>
    </row>
    <row r="46">
      <c r="A46">
        <f>IF(AND(LEN('Assets'!A46)&gt;0,ISNUMBER('Assets'!G46)),'Assets'!G46+43/100000,"")</f>
        <v/>
      </c>
      <c r="B46">
        <f>IF(AND(LEN('Assets'!A46)&gt;0,ISNUMBER('Assets'!G46)),MAX($B$3:B45)+1,"")</f>
        <v/>
      </c>
      <c r="E46">
        <f>IFERROR(MATCH(43,$B$4:$B$503,0),"")</f>
        <v/>
      </c>
    </row>
    <row r="47">
      <c r="A47">
        <f>IF(AND(LEN('Assets'!A47)&gt;0,ISNUMBER('Assets'!G47)),'Assets'!G47+44/100000,"")</f>
        <v/>
      </c>
      <c r="B47">
        <f>IF(AND(LEN('Assets'!A47)&gt;0,ISNUMBER('Assets'!G47)),MAX($B$3:B46)+1,"")</f>
        <v/>
      </c>
      <c r="E47">
        <f>IFERROR(MATCH(44,$B$4:$B$503,0),"")</f>
        <v/>
      </c>
    </row>
    <row r="48">
      <c r="A48">
        <f>IF(AND(LEN('Assets'!A48)&gt;0,ISNUMBER('Assets'!G48)),'Assets'!G48+45/100000,"")</f>
        <v/>
      </c>
      <c r="B48">
        <f>IF(AND(LEN('Assets'!A48)&gt;0,ISNUMBER('Assets'!G48)),MAX($B$3:B47)+1,"")</f>
        <v/>
      </c>
      <c r="E48">
        <f>IFERROR(MATCH(45,$B$4:$B$503,0),"")</f>
        <v/>
      </c>
    </row>
    <row r="49">
      <c r="A49">
        <f>IF(AND(LEN('Assets'!A49)&gt;0,ISNUMBER('Assets'!G49)),'Assets'!G49+46/100000,"")</f>
        <v/>
      </c>
      <c r="B49">
        <f>IF(AND(LEN('Assets'!A49)&gt;0,ISNUMBER('Assets'!G49)),MAX($B$3:B48)+1,"")</f>
        <v/>
      </c>
      <c r="E49">
        <f>IFERROR(MATCH(46,$B$4:$B$503,0),"")</f>
        <v/>
      </c>
    </row>
    <row r="50">
      <c r="A50">
        <f>IF(AND(LEN('Assets'!A50)&gt;0,ISNUMBER('Assets'!G50)),'Assets'!G50+47/100000,"")</f>
        <v/>
      </c>
      <c r="B50">
        <f>IF(AND(LEN('Assets'!A50)&gt;0,ISNUMBER('Assets'!G50)),MAX($B$3:B49)+1,"")</f>
        <v/>
      </c>
      <c r="E50">
        <f>IFERROR(MATCH(47,$B$4:$B$503,0),"")</f>
        <v/>
      </c>
    </row>
    <row r="51">
      <c r="A51">
        <f>IF(AND(LEN('Assets'!A51)&gt;0,ISNUMBER('Assets'!G51)),'Assets'!G51+48/100000,"")</f>
        <v/>
      </c>
      <c r="B51">
        <f>IF(AND(LEN('Assets'!A51)&gt;0,ISNUMBER('Assets'!G51)),MAX($B$3:B50)+1,"")</f>
        <v/>
      </c>
      <c r="E51">
        <f>IFERROR(MATCH(48,$B$4:$B$503,0),"")</f>
        <v/>
      </c>
    </row>
    <row r="52">
      <c r="A52">
        <f>IF(AND(LEN('Assets'!A52)&gt;0,ISNUMBER('Assets'!G52)),'Assets'!G52+49/100000,"")</f>
        <v/>
      </c>
      <c r="B52">
        <f>IF(AND(LEN('Assets'!A52)&gt;0,ISNUMBER('Assets'!G52)),MAX($B$3:B51)+1,"")</f>
        <v/>
      </c>
      <c r="E52">
        <f>IFERROR(MATCH(49,$B$4:$B$503,0),"")</f>
        <v/>
      </c>
    </row>
    <row r="53">
      <c r="A53">
        <f>IF(AND(LEN('Assets'!A53)&gt;0,ISNUMBER('Assets'!G53)),'Assets'!G53+50/100000,"")</f>
        <v/>
      </c>
      <c r="B53">
        <f>IF(AND(LEN('Assets'!A53)&gt;0,ISNUMBER('Assets'!G53)),MAX($B$3:B52)+1,"")</f>
        <v/>
      </c>
      <c r="E53">
        <f>IFERROR(MATCH(50,$B$4:$B$503,0),"")</f>
        <v/>
      </c>
    </row>
    <row r="54">
      <c r="A54">
        <f>IF(AND(LEN('Assets'!A54)&gt;0,ISNUMBER('Assets'!G54)),'Assets'!G54+51/100000,"")</f>
        <v/>
      </c>
      <c r="B54">
        <f>IF(AND(LEN('Assets'!A54)&gt;0,ISNUMBER('Assets'!G54)),MAX($B$3:B53)+1,"")</f>
        <v/>
      </c>
      <c r="E54">
        <f>IFERROR(MATCH(51,$B$4:$B$503,0),"")</f>
        <v/>
      </c>
    </row>
    <row r="55">
      <c r="A55">
        <f>IF(AND(LEN('Assets'!A55)&gt;0,ISNUMBER('Assets'!G55)),'Assets'!G55+52/100000,"")</f>
        <v/>
      </c>
      <c r="B55">
        <f>IF(AND(LEN('Assets'!A55)&gt;0,ISNUMBER('Assets'!G55)),MAX($B$3:B54)+1,"")</f>
        <v/>
      </c>
      <c r="E55">
        <f>IFERROR(MATCH(52,$B$4:$B$503,0),"")</f>
        <v/>
      </c>
    </row>
    <row r="56">
      <c r="A56">
        <f>IF(AND(LEN('Assets'!A56)&gt;0,ISNUMBER('Assets'!G56)),'Assets'!G56+53/100000,"")</f>
        <v/>
      </c>
      <c r="B56">
        <f>IF(AND(LEN('Assets'!A56)&gt;0,ISNUMBER('Assets'!G56)),MAX($B$3:B55)+1,"")</f>
        <v/>
      </c>
      <c r="E56">
        <f>IFERROR(MATCH(53,$B$4:$B$503,0),"")</f>
        <v/>
      </c>
    </row>
    <row r="57">
      <c r="A57">
        <f>IF(AND(LEN('Assets'!A57)&gt;0,ISNUMBER('Assets'!G57)),'Assets'!G57+54/100000,"")</f>
        <v/>
      </c>
      <c r="B57">
        <f>IF(AND(LEN('Assets'!A57)&gt;0,ISNUMBER('Assets'!G57)),MAX($B$3:B56)+1,"")</f>
        <v/>
      </c>
      <c r="E57">
        <f>IFERROR(MATCH(54,$B$4:$B$503,0),"")</f>
        <v/>
      </c>
    </row>
    <row r="58">
      <c r="A58">
        <f>IF(AND(LEN('Assets'!A58)&gt;0,ISNUMBER('Assets'!G58)),'Assets'!G58+55/100000,"")</f>
        <v/>
      </c>
      <c r="B58">
        <f>IF(AND(LEN('Assets'!A58)&gt;0,ISNUMBER('Assets'!G58)),MAX($B$3:B57)+1,"")</f>
        <v/>
      </c>
      <c r="E58">
        <f>IFERROR(MATCH(55,$B$4:$B$503,0),"")</f>
        <v/>
      </c>
    </row>
    <row r="59">
      <c r="A59">
        <f>IF(AND(LEN('Assets'!A59)&gt;0,ISNUMBER('Assets'!G59)),'Assets'!G59+56/100000,"")</f>
        <v/>
      </c>
      <c r="B59">
        <f>IF(AND(LEN('Assets'!A59)&gt;0,ISNUMBER('Assets'!G59)),MAX($B$3:B58)+1,"")</f>
        <v/>
      </c>
      <c r="E59">
        <f>IFERROR(MATCH(56,$B$4:$B$503,0),"")</f>
        <v/>
      </c>
    </row>
    <row r="60">
      <c r="A60">
        <f>IF(AND(LEN('Assets'!A60)&gt;0,ISNUMBER('Assets'!G60)),'Assets'!G60+57/100000,"")</f>
        <v/>
      </c>
      <c r="B60">
        <f>IF(AND(LEN('Assets'!A60)&gt;0,ISNUMBER('Assets'!G60)),MAX($B$3:B59)+1,"")</f>
        <v/>
      </c>
      <c r="E60">
        <f>IFERROR(MATCH(57,$B$4:$B$503,0),"")</f>
        <v/>
      </c>
    </row>
    <row r="61">
      <c r="A61">
        <f>IF(AND(LEN('Assets'!A61)&gt;0,ISNUMBER('Assets'!G61)),'Assets'!G61+58/100000,"")</f>
        <v/>
      </c>
      <c r="B61">
        <f>IF(AND(LEN('Assets'!A61)&gt;0,ISNUMBER('Assets'!G61)),MAX($B$3:B60)+1,"")</f>
        <v/>
      </c>
      <c r="E61">
        <f>IFERROR(MATCH(58,$B$4:$B$503,0),"")</f>
        <v/>
      </c>
    </row>
    <row r="62">
      <c r="A62">
        <f>IF(AND(LEN('Assets'!A62)&gt;0,ISNUMBER('Assets'!G62)),'Assets'!G62+59/100000,"")</f>
        <v/>
      </c>
      <c r="B62">
        <f>IF(AND(LEN('Assets'!A62)&gt;0,ISNUMBER('Assets'!G62)),MAX($B$3:B61)+1,"")</f>
        <v/>
      </c>
      <c r="E62">
        <f>IFERROR(MATCH(59,$B$4:$B$503,0),"")</f>
        <v/>
      </c>
    </row>
    <row r="63">
      <c r="A63">
        <f>IF(AND(LEN('Assets'!A63)&gt;0,ISNUMBER('Assets'!G63)),'Assets'!G63+60/100000,"")</f>
        <v/>
      </c>
      <c r="B63">
        <f>IF(AND(LEN('Assets'!A63)&gt;0,ISNUMBER('Assets'!G63)),MAX($B$3:B62)+1,"")</f>
        <v/>
      </c>
      <c r="E63">
        <f>IFERROR(MATCH(60,$B$4:$B$503,0),"")</f>
        <v/>
      </c>
    </row>
    <row r="64">
      <c r="A64">
        <f>IF(AND(LEN('Assets'!A64)&gt;0,ISNUMBER('Assets'!G64)),'Assets'!G64+61/100000,"")</f>
        <v/>
      </c>
      <c r="B64">
        <f>IF(AND(LEN('Assets'!A64)&gt;0,ISNUMBER('Assets'!G64)),MAX($B$3:B63)+1,"")</f>
        <v/>
      </c>
      <c r="E64">
        <f>IFERROR(MATCH(61,$B$4:$B$503,0),"")</f>
        <v/>
      </c>
    </row>
    <row r="65">
      <c r="A65">
        <f>IF(AND(LEN('Assets'!A65)&gt;0,ISNUMBER('Assets'!G65)),'Assets'!G65+62/100000,"")</f>
        <v/>
      </c>
      <c r="B65">
        <f>IF(AND(LEN('Assets'!A65)&gt;0,ISNUMBER('Assets'!G65)),MAX($B$3:B64)+1,"")</f>
        <v/>
      </c>
      <c r="E65">
        <f>IFERROR(MATCH(62,$B$4:$B$503,0),"")</f>
        <v/>
      </c>
    </row>
    <row r="66">
      <c r="A66">
        <f>IF(AND(LEN('Assets'!A66)&gt;0,ISNUMBER('Assets'!G66)),'Assets'!G66+63/100000,"")</f>
        <v/>
      </c>
      <c r="B66">
        <f>IF(AND(LEN('Assets'!A66)&gt;0,ISNUMBER('Assets'!G66)),MAX($B$3:B65)+1,"")</f>
        <v/>
      </c>
      <c r="E66">
        <f>IFERROR(MATCH(63,$B$4:$B$503,0),"")</f>
        <v/>
      </c>
    </row>
    <row r="67">
      <c r="A67">
        <f>IF(AND(LEN('Assets'!A67)&gt;0,ISNUMBER('Assets'!G67)),'Assets'!G67+64/100000,"")</f>
        <v/>
      </c>
      <c r="B67">
        <f>IF(AND(LEN('Assets'!A67)&gt;0,ISNUMBER('Assets'!G67)),MAX($B$3:B66)+1,"")</f>
        <v/>
      </c>
      <c r="E67">
        <f>IFERROR(MATCH(64,$B$4:$B$503,0),"")</f>
        <v/>
      </c>
    </row>
    <row r="68">
      <c r="A68">
        <f>IF(AND(LEN('Assets'!A68)&gt;0,ISNUMBER('Assets'!G68)),'Assets'!G68+65/100000,"")</f>
        <v/>
      </c>
      <c r="B68">
        <f>IF(AND(LEN('Assets'!A68)&gt;0,ISNUMBER('Assets'!G68)),MAX($B$3:B67)+1,"")</f>
        <v/>
      </c>
      <c r="E68">
        <f>IFERROR(MATCH(65,$B$4:$B$503,0),"")</f>
        <v/>
      </c>
    </row>
    <row r="69">
      <c r="A69">
        <f>IF(AND(LEN('Assets'!A69)&gt;0,ISNUMBER('Assets'!G69)),'Assets'!G69+66/100000,"")</f>
        <v/>
      </c>
      <c r="B69">
        <f>IF(AND(LEN('Assets'!A69)&gt;0,ISNUMBER('Assets'!G69)),MAX($B$3:B68)+1,"")</f>
        <v/>
      </c>
      <c r="E69">
        <f>IFERROR(MATCH(66,$B$4:$B$503,0),"")</f>
        <v/>
      </c>
    </row>
    <row r="70">
      <c r="A70">
        <f>IF(AND(LEN('Assets'!A70)&gt;0,ISNUMBER('Assets'!G70)),'Assets'!G70+67/100000,"")</f>
        <v/>
      </c>
      <c r="B70">
        <f>IF(AND(LEN('Assets'!A70)&gt;0,ISNUMBER('Assets'!G70)),MAX($B$3:B69)+1,"")</f>
        <v/>
      </c>
      <c r="E70">
        <f>IFERROR(MATCH(67,$B$4:$B$503,0),"")</f>
        <v/>
      </c>
    </row>
    <row r="71">
      <c r="A71">
        <f>IF(AND(LEN('Assets'!A71)&gt;0,ISNUMBER('Assets'!G71)),'Assets'!G71+68/100000,"")</f>
        <v/>
      </c>
      <c r="B71">
        <f>IF(AND(LEN('Assets'!A71)&gt;0,ISNUMBER('Assets'!G71)),MAX($B$3:B70)+1,"")</f>
        <v/>
      </c>
      <c r="E71">
        <f>IFERROR(MATCH(68,$B$4:$B$503,0),"")</f>
        <v/>
      </c>
    </row>
    <row r="72">
      <c r="A72">
        <f>IF(AND(LEN('Assets'!A72)&gt;0,ISNUMBER('Assets'!G72)),'Assets'!G72+69/100000,"")</f>
        <v/>
      </c>
      <c r="B72">
        <f>IF(AND(LEN('Assets'!A72)&gt;0,ISNUMBER('Assets'!G72)),MAX($B$3:B71)+1,"")</f>
        <v/>
      </c>
      <c r="E72">
        <f>IFERROR(MATCH(69,$B$4:$B$503,0),"")</f>
        <v/>
      </c>
    </row>
    <row r="73">
      <c r="A73">
        <f>IF(AND(LEN('Assets'!A73)&gt;0,ISNUMBER('Assets'!G73)),'Assets'!G73+70/100000,"")</f>
        <v/>
      </c>
      <c r="B73">
        <f>IF(AND(LEN('Assets'!A73)&gt;0,ISNUMBER('Assets'!G73)),MAX($B$3:B72)+1,"")</f>
        <v/>
      </c>
      <c r="E73">
        <f>IFERROR(MATCH(70,$B$4:$B$503,0),"")</f>
        <v/>
      </c>
    </row>
    <row r="74">
      <c r="A74">
        <f>IF(AND(LEN('Assets'!A74)&gt;0,ISNUMBER('Assets'!G74)),'Assets'!G74+71/100000,"")</f>
        <v/>
      </c>
      <c r="B74">
        <f>IF(AND(LEN('Assets'!A74)&gt;0,ISNUMBER('Assets'!G74)),MAX($B$3:B73)+1,"")</f>
        <v/>
      </c>
      <c r="E74">
        <f>IFERROR(MATCH(71,$B$4:$B$503,0),"")</f>
        <v/>
      </c>
    </row>
    <row r="75">
      <c r="A75">
        <f>IF(AND(LEN('Assets'!A75)&gt;0,ISNUMBER('Assets'!G75)),'Assets'!G75+72/100000,"")</f>
        <v/>
      </c>
      <c r="B75">
        <f>IF(AND(LEN('Assets'!A75)&gt;0,ISNUMBER('Assets'!G75)),MAX($B$3:B74)+1,"")</f>
        <v/>
      </c>
      <c r="E75">
        <f>IFERROR(MATCH(72,$B$4:$B$503,0),"")</f>
        <v/>
      </c>
    </row>
    <row r="76">
      <c r="A76">
        <f>IF(AND(LEN('Assets'!A76)&gt;0,ISNUMBER('Assets'!G76)),'Assets'!G76+73/100000,"")</f>
        <v/>
      </c>
      <c r="B76">
        <f>IF(AND(LEN('Assets'!A76)&gt;0,ISNUMBER('Assets'!G76)),MAX($B$3:B75)+1,"")</f>
        <v/>
      </c>
      <c r="E76">
        <f>IFERROR(MATCH(73,$B$4:$B$503,0),"")</f>
        <v/>
      </c>
    </row>
    <row r="77">
      <c r="A77">
        <f>IF(AND(LEN('Assets'!A77)&gt;0,ISNUMBER('Assets'!G77)),'Assets'!G77+74/100000,"")</f>
        <v/>
      </c>
      <c r="B77">
        <f>IF(AND(LEN('Assets'!A77)&gt;0,ISNUMBER('Assets'!G77)),MAX($B$3:B76)+1,"")</f>
        <v/>
      </c>
      <c r="E77">
        <f>IFERROR(MATCH(74,$B$4:$B$503,0),"")</f>
        <v/>
      </c>
    </row>
    <row r="78">
      <c r="A78">
        <f>IF(AND(LEN('Assets'!A78)&gt;0,ISNUMBER('Assets'!G78)),'Assets'!G78+75/100000,"")</f>
        <v/>
      </c>
      <c r="B78">
        <f>IF(AND(LEN('Assets'!A78)&gt;0,ISNUMBER('Assets'!G78)),MAX($B$3:B77)+1,"")</f>
        <v/>
      </c>
      <c r="E78">
        <f>IFERROR(MATCH(75,$B$4:$B$503,0),"")</f>
        <v/>
      </c>
    </row>
    <row r="79">
      <c r="A79">
        <f>IF(AND(LEN('Assets'!A79)&gt;0,ISNUMBER('Assets'!G79)),'Assets'!G79+76/100000,"")</f>
        <v/>
      </c>
      <c r="B79">
        <f>IF(AND(LEN('Assets'!A79)&gt;0,ISNUMBER('Assets'!G79)),MAX($B$3:B78)+1,"")</f>
        <v/>
      </c>
      <c r="E79">
        <f>IFERROR(MATCH(76,$B$4:$B$503,0),"")</f>
        <v/>
      </c>
    </row>
    <row r="80">
      <c r="A80">
        <f>IF(AND(LEN('Assets'!A80)&gt;0,ISNUMBER('Assets'!G80)),'Assets'!G80+77/100000,"")</f>
        <v/>
      </c>
      <c r="B80">
        <f>IF(AND(LEN('Assets'!A80)&gt;0,ISNUMBER('Assets'!G80)),MAX($B$3:B79)+1,"")</f>
        <v/>
      </c>
      <c r="E80">
        <f>IFERROR(MATCH(77,$B$4:$B$503,0),"")</f>
        <v/>
      </c>
    </row>
    <row r="81">
      <c r="A81">
        <f>IF(AND(LEN('Assets'!A81)&gt;0,ISNUMBER('Assets'!G81)),'Assets'!G81+78/100000,"")</f>
        <v/>
      </c>
      <c r="B81">
        <f>IF(AND(LEN('Assets'!A81)&gt;0,ISNUMBER('Assets'!G81)),MAX($B$3:B80)+1,"")</f>
        <v/>
      </c>
      <c r="E81">
        <f>IFERROR(MATCH(78,$B$4:$B$503,0),"")</f>
        <v/>
      </c>
    </row>
    <row r="82">
      <c r="A82">
        <f>IF(AND(LEN('Assets'!A82)&gt;0,ISNUMBER('Assets'!G82)),'Assets'!G82+79/100000,"")</f>
        <v/>
      </c>
      <c r="B82">
        <f>IF(AND(LEN('Assets'!A82)&gt;0,ISNUMBER('Assets'!G82)),MAX($B$3:B81)+1,"")</f>
        <v/>
      </c>
      <c r="E82">
        <f>IFERROR(MATCH(79,$B$4:$B$503,0),"")</f>
        <v/>
      </c>
    </row>
    <row r="83">
      <c r="A83">
        <f>IF(AND(LEN('Assets'!A83)&gt;0,ISNUMBER('Assets'!G83)),'Assets'!G83+80/100000,"")</f>
        <v/>
      </c>
      <c r="B83">
        <f>IF(AND(LEN('Assets'!A83)&gt;0,ISNUMBER('Assets'!G83)),MAX($B$3:B82)+1,"")</f>
        <v/>
      </c>
      <c r="E83">
        <f>IFERROR(MATCH(80,$B$4:$B$503,0),"")</f>
        <v/>
      </c>
    </row>
    <row r="84">
      <c r="A84">
        <f>IF(AND(LEN('Assets'!A84)&gt;0,ISNUMBER('Assets'!G84)),'Assets'!G84+81/100000,"")</f>
        <v/>
      </c>
      <c r="B84">
        <f>IF(AND(LEN('Assets'!A84)&gt;0,ISNUMBER('Assets'!G84)),MAX($B$3:B83)+1,"")</f>
        <v/>
      </c>
      <c r="E84">
        <f>IFERROR(MATCH(81,$B$4:$B$503,0),"")</f>
        <v/>
      </c>
    </row>
    <row r="85">
      <c r="A85">
        <f>IF(AND(LEN('Assets'!A85)&gt;0,ISNUMBER('Assets'!G85)),'Assets'!G85+82/100000,"")</f>
        <v/>
      </c>
      <c r="B85">
        <f>IF(AND(LEN('Assets'!A85)&gt;0,ISNUMBER('Assets'!G85)),MAX($B$3:B84)+1,"")</f>
        <v/>
      </c>
      <c r="E85">
        <f>IFERROR(MATCH(82,$B$4:$B$503,0),"")</f>
        <v/>
      </c>
    </row>
    <row r="86">
      <c r="A86">
        <f>IF(AND(LEN('Assets'!A86)&gt;0,ISNUMBER('Assets'!G86)),'Assets'!G86+83/100000,"")</f>
        <v/>
      </c>
      <c r="B86">
        <f>IF(AND(LEN('Assets'!A86)&gt;0,ISNUMBER('Assets'!G86)),MAX($B$3:B85)+1,"")</f>
        <v/>
      </c>
      <c r="E86">
        <f>IFERROR(MATCH(83,$B$4:$B$503,0),"")</f>
        <v/>
      </c>
    </row>
    <row r="87">
      <c r="A87">
        <f>IF(AND(LEN('Assets'!A87)&gt;0,ISNUMBER('Assets'!G87)),'Assets'!G87+84/100000,"")</f>
        <v/>
      </c>
      <c r="B87">
        <f>IF(AND(LEN('Assets'!A87)&gt;0,ISNUMBER('Assets'!G87)),MAX($B$3:B86)+1,"")</f>
        <v/>
      </c>
      <c r="E87">
        <f>IFERROR(MATCH(84,$B$4:$B$503,0),"")</f>
        <v/>
      </c>
    </row>
    <row r="88">
      <c r="A88">
        <f>IF(AND(LEN('Assets'!A88)&gt;0,ISNUMBER('Assets'!G88)),'Assets'!G88+85/100000,"")</f>
        <v/>
      </c>
      <c r="B88">
        <f>IF(AND(LEN('Assets'!A88)&gt;0,ISNUMBER('Assets'!G88)),MAX($B$3:B87)+1,"")</f>
        <v/>
      </c>
      <c r="E88">
        <f>IFERROR(MATCH(85,$B$4:$B$503,0),"")</f>
        <v/>
      </c>
    </row>
    <row r="89">
      <c r="A89">
        <f>IF(AND(LEN('Assets'!A89)&gt;0,ISNUMBER('Assets'!G89)),'Assets'!G89+86/100000,"")</f>
        <v/>
      </c>
      <c r="B89">
        <f>IF(AND(LEN('Assets'!A89)&gt;0,ISNUMBER('Assets'!G89)),MAX($B$3:B88)+1,"")</f>
        <v/>
      </c>
      <c r="E89">
        <f>IFERROR(MATCH(86,$B$4:$B$503,0),"")</f>
        <v/>
      </c>
    </row>
    <row r="90">
      <c r="A90">
        <f>IF(AND(LEN('Assets'!A90)&gt;0,ISNUMBER('Assets'!G90)),'Assets'!G90+87/100000,"")</f>
        <v/>
      </c>
      <c r="B90">
        <f>IF(AND(LEN('Assets'!A90)&gt;0,ISNUMBER('Assets'!G90)),MAX($B$3:B89)+1,"")</f>
        <v/>
      </c>
      <c r="E90">
        <f>IFERROR(MATCH(87,$B$4:$B$503,0),"")</f>
        <v/>
      </c>
    </row>
    <row r="91">
      <c r="A91">
        <f>IF(AND(LEN('Assets'!A91)&gt;0,ISNUMBER('Assets'!G91)),'Assets'!G91+88/100000,"")</f>
        <v/>
      </c>
      <c r="B91">
        <f>IF(AND(LEN('Assets'!A91)&gt;0,ISNUMBER('Assets'!G91)),MAX($B$3:B90)+1,"")</f>
        <v/>
      </c>
      <c r="E91">
        <f>IFERROR(MATCH(88,$B$4:$B$503,0),"")</f>
        <v/>
      </c>
    </row>
    <row r="92">
      <c r="A92">
        <f>IF(AND(LEN('Assets'!A92)&gt;0,ISNUMBER('Assets'!G92)),'Assets'!G92+89/100000,"")</f>
        <v/>
      </c>
      <c r="B92">
        <f>IF(AND(LEN('Assets'!A92)&gt;0,ISNUMBER('Assets'!G92)),MAX($B$3:B91)+1,"")</f>
        <v/>
      </c>
      <c r="E92">
        <f>IFERROR(MATCH(89,$B$4:$B$503,0),"")</f>
        <v/>
      </c>
    </row>
    <row r="93">
      <c r="A93">
        <f>IF(AND(LEN('Assets'!A93)&gt;0,ISNUMBER('Assets'!G93)),'Assets'!G93+90/100000,"")</f>
        <v/>
      </c>
      <c r="B93">
        <f>IF(AND(LEN('Assets'!A93)&gt;0,ISNUMBER('Assets'!G93)),MAX($B$3:B92)+1,"")</f>
        <v/>
      </c>
      <c r="E93">
        <f>IFERROR(MATCH(90,$B$4:$B$503,0),"")</f>
        <v/>
      </c>
    </row>
    <row r="94">
      <c r="A94">
        <f>IF(AND(LEN('Assets'!A94)&gt;0,ISNUMBER('Assets'!G94)),'Assets'!G94+91/100000,"")</f>
        <v/>
      </c>
      <c r="B94">
        <f>IF(AND(LEN('Assets'!A94)&gt;0,ISNUMBER('Assets'!G94)),MAX($B$3:B93)+1,"")</f>
        <v/>
      </c>
      <c r="E94">
        <f>IFERROR(MATCH(91,$B$4:$B$503,0),"")</f>
        <v/>
      </c>
    </row>
    <row r="95">
      <c r="A95">
        <f>IF(AND(LEN('Assets'!A95)&gt;0,ISNUMBER('Assets'!G95)),'Assets'!G95+92/100000,"")</f>
        <v/>
      </c>
      <c r="B95">
        <f>IF(AND(LEN('Assets'!A95)&gt;0,ISNUMBER('Assets'!G95)),MAX($B$3:B94)+1,"")</f>
        <v/>
      </c>
      <c r="E95">
        <f>IFERROR(MATCH(92,$B$4:$B$503,0),"")</f>
        <v/>
      </c>
    </row>
    <row r="96">
      <c r="A96">
        <f>IF(AND(LEN('Assets'!A96)&gt;0,ISNUMBER('Assets'!G96)),'Assets'!G96+93/100000,"")</f>
        <v/>
      </c>
      <c r="B96">
        <f>IF(AND(LEN('Assets'!A96)&gt;0,ISNUMBER('Assets'!G96)),MAX($B$3:B95)+1,"")</f>
        <v/>
      </c>
      <c r="E96">
        <f>IFERROR(MATCH(93,$B$4:$B$503,0),"")</f>
        <v/>
      </c>
    </row>
    <row r="97">
      <c r="A97">
        <f>IF(AND(LEN('Assets'!A97)&gt;0,ISNUMBER('Assets'!G97)),'Assets'!G97+94/100000,"")</f>
        <v/>
      </c>
      <c r="B97">
        <f>IF(AND(LEN('Assets'!A97)&gt;0,ISNUMBER('Assets'!G97)),MAX($B$3:B96)+1,"")</f>
        <v/>
      </c>
      <c r="E97">
        <f>IFERROR(MATCH(94,$B$4:$B$503,0),"")</f>
        <v/>
      </c>
    </row>
    <row r="98">
      <c r="A98">
        <f>IF(AND(LEN('Assets'!A98)&gt;0,ISNUMBER('Assets'!G98)),'Assets'!G98+95/100000,"")</f>
        <v/>
      </c>
      <c r="B98">
        <f>IF(AND(LEN('Assets'!A98)&gt;0,ISNUMBER('Assets'!G98)),MAX($B$3:B97)+1,"")</f>
        <v/>
      </c>
      <c r="E98">
        <f>IFERROR(MATCH(95,$B$4:$B$503,0),"")</f>
        <v/>
      </c>
    </row>
    <row r="99">
      <c r="A99">
        <f>IF(AND(LEN('Assets'!A99)&gt;0,ISNUMBER('Assets'!G99)),'Assets'!G99+96/100000,"")</f>
        <v/>
      </c>
      <c r="B99">
        <f>IF(AND(LEN('Assets'!A99)&gt;0,ISNUMBER('Assets'!G99)),MAX($B$3:B98)+1,"")</f>
        <v/>
      </c>
      <c r="E99">
        <f>IFERROR(MATCH(96,$B$4:$B$503,0),"")</f>
        <v/>
      </c>
    </row>
    <row r="100">
      <c r="A100">
        <f>IF(AND(LEN('Assets'!A100)&gt;0,ISNUMBER('Assets'!G100)),'Assets'!G100+97/100000,"")</f>
        <v/>
      </c>
      <c r="B100">
        <f>IF(AND(LEN('Assets'!A100)&gt;0,ISNUMBER('Assets'!G100)),MAX($B$3:B99)+1,"")</f>
        <v/>
      </c>
      <c r="E100">
        <f>IFERROR(MATCH(97,$B$4:$B$503,0),"")</f>
        <v/>
      </c>
    </row>
    <row r="101">
      <c r="A101">
        <f>IF(AND(LEN('Assets'!A101)&gt;0,ISNUMBER('Assets'!G101)),'Assets'!G101+98/100000,"")</f>
        <v/>
      </c>
      <c r="B101">
        <f>IF(AND(LEN('Assets'!A101)&gt;0,ISNUMBER('Assets'!G101)),MAX($B$3:B100)+1,"")</f>
        <v/>
      </c>
      <c r="E101">
        <f>IFERROR(MATCH(98,$B$4:$B$503,0),"")</f>
        <v/>
      </c>
    </row>
    <row r="102">
      <c r="A102">
        <f>IF(AND(LEN('Assets'!A102)&gt;0,ISNUMBER('Assets'!G102)),'Assets'!G102+99/100000,"")</f>
        <v/>
      </c>
      <c r="B102">
        <f>IF(AND(LEN('Assets'!A102)&gt;0,ISNUMBER('Assets'!G102)),MAX($B$3:B101)+1,"")</f>
        <v/>
      </c>
      <c r="E102">
        <f>IFERROR(MATCH(99,$B$4:$B$503,0),"")</f>
        <v/>
      </c>
    </row>
    <row r="103">
      <c r="A103">
        <f>IF(AND(LEN('Assets'!A103)&gt;0,ISNUMBER('Assets'!G103)),'Assets'!G103+100/100000,"")</f>
        <v/>
      </c>
      <c r="B103">
        <f>IF(AND(LEN('Assets'!A103)&gt;0,ISNUMBER('Assets'!G103)),MAX($B$3:B102)+1,"")</f>
        <v/>
      </c>
      <c r="E103">
        <f>IFERROR(MATCH(100,$B$4:$B$503,0),"")</f>
        <v/>
      </c>
    </row>
    <row r="104">
      <c r="A104">
        <f>IF(AND(LEN('Assets'!A104)&gt;0,ISNUMBER('Assets'!G104)),'Assets'!G104+101/100000,"")</f>
        <v/>
      </c>
      <c r="B104">
        <f>IF(AND(LEN('Assets'!A104)&gt;0,ISNUMBER('Assets'!G104)),MAX($B$3:B103)+1,"")</f>
        <v/>
      </c>
      <c r="E104">
        <f>IFERROR(MATCH(101,$B$4:$B$503,0),"")</f>
        <v/>
      </c>
    </row>
    <row r="105">
      <c r="A105">
        <f>IF(AND(LEN('Assets'!A105)&gt;0,ISNUMBER('Assets'!G105)),'Assets'!G105+102/100000,"")</f>
        <v/>
      </c>
      <c r="B105">
        <f>IF(AND(LEN('Assets'!A105)&gt;0,ISNUMBER('Assets'!G105)),MAX($B$3:B104)+1,"")</f>
        <v/>
      </c>
      <c r="E105">
        <f>IFERROR(MATCH(102,$B$4:$B$503,0),"")</f>
        <v/>
      </c>
    </row>
    <row r="106">
      <c r="A106">
        <f>IF(AND(LEN('Assets'!A106)&gt;0,ISNUMBER('Assets'!G106)),'Assets'!G106+103/100000,"")</f>
        <v/>
      </c>
      <c r="B106">
        <f>IF(AND(LEN('Assets'!A106)&gt;0,ISNUMBER('Assets'!G106)),MAX($B$3:B105)+1,"")</f>
        <v/>
      </c>
      <c r="E106">
        <f>IFERROR(MATCH(103,$B$4:$B$503,0),"")</f>
        <v/>
      </c>
    </row>
    <row r="107">
      <c r="A107">
        <f>IF(AND(LEN('Assets'!A107)&gt;0,ISNUMBER('Assets'!G107)),'Assets'!G107+104/100000,"")</f>
        <v/>
      </c>
      <c r="B107">
        <f>IF(AND(LEN('Assets'!A107)&gt;0,ISNUMBER('Assets'!G107)),MAX($B$3:B106)+1,"")</f>
        <v/>
      </c>
      <c r="E107">
        <f>IFERROR(MATCH(104,$B$4:$B$503,0),"")</f>
        <v/>
      </c>
    </row>
    <row r="108">
      <c r="A108">
        <f>IF(AND(LEN('Assets'!A108)&gt;0,ISNUMBER('Assets'!G108)),'Assets'!G108+105/100000,"")</f>
        <v/>
      </c>
      <c r="B108">
        <f>IF(AND(LEN('Assets'!A108)&gt;0,ISNUMBER('Assets'!G108)),MAX($B$3:B107)+1,"")</f>
        <v/>
      </c>
      <c r="E108">
        <f>IFERROR(MATCH(105,$B$4:$B$503,0),"")</f>
        <v/>
      </c>
    </row>
    <row r="109">
      <c r="A109">
        <f>IF(AND(LEN('Assets'!A109)&gt;0,ISNUMBER('Assets'!G109)),'Assets'!G109+106/100000,"")</f>
        <v/>
      </c>
      <c r="B109">
        <f>IF(AND(LEN('Assets'!A109)&gt;0,ISNUMBER('Assets'!G109)),MAX($B$3:B108)+1,"")</f>
        <v/>
      </c>
      <c r="E109">
        <f>IFERROR(MATCH(106,$B$4:$B$503,0),"")</f>
        <v/>
      </c>
    </row>
    <row r="110">
      <c r="A110">
        <f>IF(AND(LEN('Assets'!A110)&gt;0,ISNUMBER('Assets'!G110)),'Assets'!G110+107/100000,"")</f>
        <v/>
      </c>
      <c r="B110">
        <f>IF(AND(LEN('Assets'!A110)&gt;0,ISNUMBER('Assets'!G110)),MAX($B$3:B109)+1,"")</f>
        <v/>
      </c>
      <c r="E110">
        <f>IFERROR(MATCH(107,$B$4:$B$503,0),"")</f>
        <v/>
      </c>
    </row>
    <row r="111">
      <c r="A111">
        <f>IF(AND(LEN('Assets'!A111)&gt;0,ISNUMBER('Assets'!G111)),'Assets'!G111+108/100000,"")</f>
        <v/>
      </c>
      <c r="B111">
        <f>IF(AND(LEN('Assets'!A111)&gt;0,ISNUMBER('Assets'!G111)),MAX($B$3:B110)+1,"")</f>
        <v/>
      </c>
      <c r="E111">
        <f>IFERROR(MATCH(108,$B$4:$B$503,0),"")</f>
        <v/>
      </c>
    </row>
    <row r="112">
      <c r="A112">
        <f>IF(AND(LEN('Assets'!A112)&gt;0,ISNUMBER('Assets'!G112)),'Assets'!G112+109/100000,"")</f>
        <v/>
      </c>
      <c r="B112">
        <f>IF(AND(LEN('Assets'!A112)&gt;0,ISNUMBER('Assets'!G112)),MAX($B$3:B111)+1,"")</f>
        <v/>
      </c>
      <c r="E112">
        <f>IFERROR(MATCH(109,$B$4:$B$503,0),"")</f>
        <v/>
      </c>
    </row>
    <row r="113">
      <c r="A113">
        <f>IF(AND(LEN('Assets'!A113)&gt;0,ISNUMBER('Assets'!G113)),'Assets'!G113+110/100000,"")</f>
        <v/>
      </c>
      <c r="B113">
        <f>IF(AND(LEN('Assets'!A113)&gt;0,ISNUMBER('Assets'!G113)),MAX($B$3:B112)+1,"")</f>
        <v/>
      </c>
      <c r="E113">
        <f>IFERROR(MATCH(110,$B$4:$B$503,0),"")</f>
        <v/>
      </c>
    </row>
    <row r="114">
      <c r="A114">
        <f>IF(AND(LEN('Assets'!A114)&gt;0,ISNUMBER('Assets'!G114)),'Assets'!G114+111/100000,"")</f>
        <v/>
      </c>
      <c r="B114">
        <f>IF(AND(LEN('Assets'!A114)&gt;0,ISNUMBER('Assets'!G114)),MAX($B$3:B113)+1,"")</f>
        <v/>
      </c>
      <c r="E114">
        <f>IFERROR(MATCH(111,$B$4:$B$503,0),"")</f>
        <v/>
      </c>
    </row>
    <row r="115">
      <c r="A115">
        <f>IF(AND(LEN('Assets'!A115)&gt;0,ISNUMBER('Assets'!G115)),'Assets'!G115+112/100000,"")</f>
        <v/>
      </c>
      <c r="B115">
        <f>IF(AND(LEN('Assets'!A115)&gt;0,ISNUMBER('Assets'!G115)),MAX($B$3:B114)+1,"")</f>
        <v/>
      </c>
      <c r="E115">
        <f>IFERROR(MATCH(112,$B$4:$B$503,0),"")</f>
        <v/>
      </c>
    </row>
    <row r="116">
      <c r="A116">
        <f>IF(AND(LEN('Assets'!A116)&gt;0,ISNUMBER('Assets'!G116)),'Assets'!G116+113/100000,"")</f>
        <v/>
      </c>
      <c r="B116">
        <f>IF(AND(LEN('Assets'!A116)&gt;0,ISNUMBER('Assets'!G116)),MAX($B$3:B115)+1,"")</f>
        <v/>
      </c>
      <c r="E116">
        <f>IFERROR(MATCH(113,$B$4:$B$503,0),"")</f>
        <v/>
      </c>
    </row>
    <row r="117">
      <c r="A117">
        <f>IF(AND(LEN('Assets'!A117)&gt;0,ISNUMBER('Assets'!G117)),'Assets'!G117+114/100000,"")</f>
        <v/>
      </c>
      <c r="B117">
        <f>IF(AND(LEN('Assets'!A117)&gt;0,ISNUMBER('Assets'!G117)),MAX($B$3:B116)+1,"")</f>
        <v/>
      </c>
      <c r="E117">
        <f>IFERROR(MATCH(114,$B$4:$B$503,0),"")</f>
        <v/>
      </c>
    </row>
    <row r="118">
      <c r="A118">
        <f>IF(AND(LEN('Assets'!A118)&gt;0,ISNUMBER('Assets'!G118)),'Assets'!G118+115/100000,"")</f>
        <v/>
      </c>
      <c r="B118">
        <f>IF(AND(LEN('Assets'!A118)&gt;0,ISNUMBER('Assets'!G118)),MAX($B$3:B117)+1,"")</f>
        <v/>
      </c>
      <c r="E118">
        <f>IFERROR(MATCH(115,$B$4:$B$503,0),"")</f>
        <v/>
      </c>
    </row>
    <row r="119">
      <c r="A119">
        <f>IF(AND(LEN('Assets'!A119)&gt;0,ISNUMBER('Assets'!G119)),'Assets'!G119+116/100000,"")</f>
        <v/>
      </c>
      <c r="B119">
        <f>IF(AND(LEN('Assets'!A119)&gt;0,ISNUMBER('Assets'!G119)),MAX($B$3:B118)+1,"")</f>
        <v/>
      </c>
      <c r="E119">
        <f>IFERROR(MATCH(116,$B$4:$B$503,0),"")</f>
        <v/>
      </c>
    </row>
    <row r="120">
      <c r="A120">
        <f>IF(AND(LEN('Assets'!A120)&gt;0,ISNUMBER('Assets'!G120)),'Assets'!G120+117/100000,"")</f>
        <v/>
      </c>
      <c r="B120">
        <f>IF(AND(LEN('Assets'!A120)&gt;0,ISNUMBER('Assets'!G120)),MAX($B$3:B119)+1,"")</f>
        <v/>
      </c>
      <c r="E120">
        <f>IFERROR(MATCH(117,$B$4:$B$503,0),"")</f>
        <v/>
      </c>
    </row>
    <row r="121">
      <c r="A121">
        <f>IF(AND(LEN('Assets'!A121)&gt;0,ISNUMBER('Assets'!G121)),'Assets'!G121+118/100000,"")</f>
        <v/>
      </c>
      <c r="B121">
        <f>IF(AND(LEN('Assets'!A121)&gt;0,ISNUMBER('Assets'!G121)),MAX($B$3:B120)+1,"")</f>
        <v/>
      </c>
      <c r="E121">
        <f>IFERROR(MATCH(118,$B$4:$B$503,0),"")</f>
        <v/>
      </c>
    </row>
    <row r="122">
      <c r="A122">
        <f>IF(AND(LEN('Assets'!A122)&gt;0,ISNUMBER('Assets'!G122)),'Assets'!G122+119/100000,"")</f>
        <v/>
      </c>
      <c r="B122">
        <f>IF(AND(LEN('Assets'!A122)&gt;0,ISNUMBER('Assets'!G122)),MAX($B$3:B121)+1,"")</f>
        <v/>
      </c>
      <c r="E122">
        <f>IFERROR(MATCH(119,$B$4:$B$503,0),"")</f>
        <v/>
      </c>
    </row>
    <row r="123">
      <c r="A123">
        <f>IF(AND(LEN('Assets'!A123)&gt;0,ISNUMBER('Assets'!G123)),'Assets'!G123+120/100000,"")</f>
        <v/>
      </c>
      <c r="B123">
        <f>IF(AND(LEN('Assets'!A123)&gt;0,ISNUMBER('Assets'!G123)),MAX($B$3:B122)+1,"")</f>
        <v/>
      </c>
      <c r="E123">
        <f>IFERROR(MATCH(120,$B$4:$B$503,0),"")</f>
        <v/>
      </c>
    </row>
    <row r="124">
      <c r="A124">
        <f>IF(AND(LEN('Assets'!A124)&gt;0,ISNUMBER('Assets'!G124)),'Assets'!G124+121/100000,"")</f>
        <v/>
      </c>
      <c r="B124">
        <f>IF(AND(LEN('Assets'!A124)&gt;0,ISNUMBER('Assets'!G124)),MAX($B$3:B123)+1,"")</f>
        <v/>
      </c>
      <c r="E124">
        <f>IFERROR(MATCH(121,$B$4:$B$503,0),"")</f>
        <v/>
      </c>
    </row>
    <row r="125">
      <c r="A125">
        <f>IF(AND(LEN('Assets'!A125)&gt;0,ISNUMBER('Assets'!G125)),'Assets'!G125+122/100000,"")</f>
        <v/>
      </c>
      <c r="B125">
        <f>IF(AND(LEN('Assets'!A125)&gt;0,ISNUMBER('Assets'!G125)),MAX($B$3:B124)+1,"")</f>
        <v/>
      </c>
      <c r="E125">
        <f>IFERROR(MATCH(122,$B$4:$B$503,0),"")</f>
        <v/>
      </c>
    </row>
    <row r="126">
      <c r="A126">
        <f>IF(AND(LEN('Assets'!A126)&gt;0,ISNUMBER('Assets'!G126)),'Assets'!G126+123/100000,"")</f>
        <v/>
      </c>
      <c r="B126">
        <f>IF(AND(LEN('Assets'!A126)&gt;0,ISNUMBER('Assets'!G126)),MAX($B$3:B125)+1,"")</f>
        <v/>
      </c>
      <c r="E126">
        <f>IFERROR(MATCH(123,$B$4:$B$503,0),"")</f>
        <v/>
      </c>
    </row>
    <row r="127">
      <c r="A127">
        <f>IF(AND(LEN('Assets'!A127)&gt;0,ISNUMBER('Assets'!G127)),'Assets'!G127+124/100000,"")</f>
        <v/>
      </c>
      <c r="B127">
        <f>IF(AND(LEN('Assets'!A127)&gt;0,ISNUMBER('Assets'!G127)),MAX($B$3:B126)+1,"")</f>
        <v/>
      </c>
      <c r="E127">
        <f>IFERROR(MATCH(124,$B$4:$B$503,0),"")</f>
        <v/>
      </c>
    </row>
    <row r="128">
      <c r="A128">
        <f>IF(AND(LEN('Assets'!A128)&gt;0,ISNUMBER('Assets'!G128)),'Assets'!G128+125/100000,"")</f>
        <v/>
      </c>
      <c r="B128">
        <f>IF(AND(LEN('Assets'!A128)&gt;0,ISNUMBER('Assets'!G128)),MAX($B$3:B127)+1,"")</f>
        <v/>
      </c>
      <c r="E128">
        <f>IFERROR(MATCH(125,$B$4:$B$503,0),"")</f>
        <v/>
      </c>
    </row>
    <row r="129">
      <c r="A129">
        <f>IF(AND(LEN('Assets'!A129)&gt;0,ISNUMBER('Assets'!G129)),'Assets'!G129+126/100000,"")</f>
        <v/>
      </c>
      <c r="B129">
        <f>IF(AND(LEN('Assets'!A129)&gt;0,ISNUMBER('Assets'!G129)),MAX($B$3:B128)+1,"")</f>
        <v/>
      </c>
      <c r="E129">
        <f>IFERROR(MATCH(126,$B$4:$B$503,0),"")</f>
        <v/>
      </c>
    </row>
    <row r="130">
      <c r="A130">
        <f>IF(AND(LEN('Assets'!A130)&gt;0,ISNUMBER('Assets'!G130)),'Assets'!G130+127/100000,"")</f>
        <v/>
      </c>
      <c r="B130">
        <f>IF(AND(LEN('Assets'!A130)&gt;0,ISNUMBER('Assets'!G130)),MAX($B$3:B129)+1,"")</f>
        <v/>
      </c>
      <c r="E130">
        <f>IFERROR(MATCH(127,$B$4:$B$503,0),"")</f>
        <v/>
      </c>
    </row>
    <row r="131">
      <c r="A131">
        <f>IF(AND(LEN('Assets'!A131)&gt;0,ISNUMBER('Assets'!G131)),'Assets'!G131+128/100000,"")</f>
        <v/>
      </c>
      <c r="B131">
        <f>IF(AND(LEN('Assets'!A131)&gt;0,ISNUMBER('Assets'!G131)),MAX($B$3:B130)+1,"")</f>
        <v/>
      </c>
      <c r="E131">
        <f>IFERROR(MATCH(128,$B$4:$B$503,0),"")</f>
        <v/>
      </c>
    </row>
    <row r="132">
      <c r="A132">
        <f>IF(AND(LEN('Assets'!A132)&gt;0,ISNUMBER('Assets'!G132)),'Assets'!G132+129/100000,"")</f>
        <v/>
      </c>
      <c r="B132">
        <f>IF(AND(LEN('Assets'!A132)&gt;0,ISNUMBER('Assets'!G132)),MAX($B$3:B131)+1,"")</f>
        <v/>
      </c>
      <c r="E132">
        <f>IFERROR(MATCH(129,$B$4:$B$503,0),"")</f>
        <v/>
      </c>
    </row>
    <row r="133">
      <c r="A133">
        <f>IF(AND(LEN('Assets'!A133)&gt;0,ISNUMBER('Assets'!G133)),'Assets'!G133+130/100000,"")</f>
        <v/>
      </c>
      <c r="B133">
        <f>IF(AND(LEN('Assets'!A133)&gt;0,ISNUMBER('Assets'!G133)),MAX($B$3:B132)+1,"")</f>
        <v/>
      </c>
      <c r="E133">
        <f>IFERROR(MATCH(130,$B$4:$B$503,0),"")</f>
        <v/>
      </c>
    </row>
    <row r="134">
      <c r="A134">
        <f>IF(AND(LEN('Assets'!A134)&gt;0,ISNUMBER('Assets'!G134)),'Assets'!G134+131/100000,"")</f>
        <v/>
      </c>
      <c r="B134">
        <f>IF(AND(LEN('Assets'!A134)&gt;0,ISNUMBER('Assets'!G134)),MAX($B$3:B133)+1,"")</f>
        <v/>
      </c>
      <c r="E134">
        <f>IFERROR(MATCH(131,$B$4:$B$503,0),"")</f>
        <v/>
      </c>
    </row>
    <row r="135">
      <c r="A135">
        <f>IF(AND(LEN('Assets'!A135)&gt;0,ISNUMBER('Assets'!G135)),'Assets'!G135+132/100000,"")</f>
        <v/>
      </c>
      <c r="B135">
        <f>IF(AND(LEN('Assets'!A135)&gt;0,ISNUMBER('Assets'!G135)),MAX($B$3:B134)+1,"")</f>
        <v/>
      </c>
      <c r="E135">
        <f>IFERROR(MATCH(132,$B$4:$B$503,0),"")</f>
        <v/>
      </c>
    </row>
    <row r="136">
      <c r="A136">
        <f>IF(AND(LEN('Assets'!A136)&gt;0,ISNUMBER('Assets'!G136)),'Assets'!G136+133/100000,"")</f>
        <v/>
      </c>
      <c r="B136">
        <f>IF(AND(LEN('Assets'!A136)&gt;0,ISNUMBER('Assets'!G136)),MAX($B$3:B135)+1,"")</f>
        <v/>
      </c>
      <c r="E136">
        <f>IFERROR(MATCH(133,$B$4:$B$503,0),"")</f>
        <v/>
      </c>
    </row>
    <row r="137">
      <c r="A137">
        <f>IF(AND(LEN('Assets'!A137)&gt;0,ISNUMBER('Assets'!G137)),'Assets'!G137+134/100000,"")</f>
        <v/>
      </c>
      <c r="B137">
        <f>IF(AND(LEN('Assets'!A137)&gt;0,ISNUMBER('Assets'!G137)),MAX($B$3:B136)+1,"")</f>
        <v/>
      </c>
      <c r="E137">
        <f>IFERROR(MATCH(134,$B$4:$B$503,0),"")</f>
        <v/>
      </c>
    </row>
    <row r="138">
      <c r="A138">
        <f>IF(AND(LEN('Assets'!A138)&gt;0,ISNUMBER('Assets'!G138)),'Assets'!G138+135/100000,"")</f>
        <v/>
      </c>
      <c r="B138">
        <f>IF(AND(LEN('Assets'!A138)&gt;0,ISNUMBER('Assets'!G138)),MAX($B$3:B137)+1,"")</f>
        <v/>
      </c>
      <c r="E138">
        <f>IFERROR(MATCH(135,$B$4:$B$503,0),"")</f>
        <v/>
      </c>
    </row>
    <row r="139">
      <c r="A139">
        <f>IF(AND(LEN('Assets'!A139)&gt;0,ISNUMBER('Assets'!G139)),'Assets'!G139+136/100000,"")</f>
        <v/>
      </c>
      <c r="B139">
        <f>IF(AND(LEN('Assets'!A139)&gt;0,ISNUMBER('Assets'!G139)),MAX($B$3:B138)+1,"")</f>
        <v/>
      </c>
      <c r="E139">
        <f>IFERROR(MATCH(136,$B$4:$B$503,0),"")</f>
        <v/>
      </c>
    </row>
    <row r="140">
      <c r="A140">
        <f>IF(AND(LEN('Assets'!A140)&gt;0,ISNUMBER('Assets'!G140)),'Assets'!G140+137/100000,"")</f>
        <v/>
      </c>
      <c r="B140">
        <f>IF(AND(LEN('Assets'!A140)&gt;0,ISNUMBER('Assets'!G140)),MAX($B$3:B139)+1,"")</f>
        <v/>
      </c>
      <c r="E140">
        <f>IFERROR(MATCH(137,$B$4:$B$503,0),"")</f>
        <v/>
      </c>
    </row>
    <row r="141">
      <c r="A141">
        <f>IF(AND(LEN('Assets'!A141)&gt;0,ISNUMBER('Assets'!G141)),'Assets'!G141+138/100000,"")</f>
        <v/>
      </c>
      <c r="B141">
        <f>IF(AND(LEN('Assets'!A141)&gt;0,ISNUMBER('Assets'!G141)),MAX($B$3:B140)+1,"")</f>
        <v/>
      </c>
      <c r="E141">
        <f>IFERROR(MATCH(138,$B$4:$B$503,0),"")</f>
        <v/>
      </c>
    </row>
    <row r="142">
      <c r="A142">
        <f>IF(AND(LEN('Assets'!A142)&gt;0,ISNUMBER('Assets'!G142)),'Assets'!G142+139/100000,"")</f>
        <v/>
      </c>
      <c r="B142">
        <f>IF(AND(LEN('Assets'!A142)&gt;0,ISNUMBER('Assets'!G142)),MAX($B$3:B141)+1,"")</f>
        <v/>
      </c>
      <c r="E142">
        <f>IFERROR(MATCH(139,$B$4:$B$503,0),"")</f>
        <v/>
      </c>
    </row>
    <row r="143">
      <c r="A143">
        <f>IF(AND(LEN('Assets'!A143)&gt;0,ISNUMBER('Assets'!G143)),'Assets'!G143+140/100000,"")</f>
        <v/>
      </c>
      <c r="B143">
        <f>IF(AND(LEN('Assets'!A143)&gt;0,ISNUMBER('Assets'!G143)),MAX($B$3:B142)+1,"")</f>
        <v/>
      </c>
      <c r="E143">
        <f>IFERROR(MATCH(140,$B$4:$B$503,0),"")</f>
        <v/>
      </c>
    </row>
    <row r="144">
      <c r="A144">
        <f>IF(AND(LEN('Assets'!A144)&gt;0,ISNUMBER('Assets'!G144)),'Assets'!G144+141/100000,"")</f>
        <v/>
      </c>
      <c r="B144">
        <f>IF(AND(LEN('Assets'!A144)&gt;0,ISNUMBER('Assets'!G144)),MAX($B$3:B143)+1,"")</f>
        <v/>
      </c>
      <c r="E144">
        <f>IFERROR(MATCH(141,$B$4:$B$503,0),"")</f>
        <v/>
      </c>
    </row>
    <row r="145">
      <c r="A145">
        <f>IF(AND(LEN('Assets'!A145)&gt;0,ISNUMBER('Assets'!G145)),'Assets'!G145+142/100000,"")</f>
        <v/>
      </c>
      <c r="B145">
        <f>IF(AND(LEN('Assets'!A145)&gt;0,ISNUMBER('Assets'!G145)),MAX($B$3:B144)+1,"")</f>
        <v/>
      </c>
      <c r="E145">
        <f>IFERROR(MATCH(142,$B$4:$B$503,0),"")</f>
        <v/>
      </c>
    </row>
    <row r="146">
      <c r="A146">
        <f>IF(AND(LEN('Assets'!A146)&gt;0,ISNUMBER('Assets'!G146)),'Assets'!G146+143/100000,"")</f>
        <v/>
      </c>
      <c r="B146">
        <f>IF(AND(LEN('Assets'!A146)&gt;0,ISNUMBER('Assets'!G146)),MAX($B$3:B145)+1,"")</f>
        <v/>
      </c>
      <c r="E146">
        <f>IFERROR(MATCH(143,$B$4:$B$503,0),"")</f>
        <v/>
      </c>
    </row>
    <row r="147">
      <c r="A147">
        <f>IF(AND(LEN('Assets'!A147)&gt;0,ISNUMBER('Assets'!G147)),'Assets'!G147+144/100000,"")</f>
        <v/>
      </c>
      <c r="B147">
        <f>IF(AND(LEN('Assets'!A147)&gt;0,ISNUMBER('Assets'!G147)),MAX($B$3:B146)+1,"")</f>
        <v/>
      </c>
      <c r="E147">
        <f>IFERROR(MATCH(144,$B$4:$B$503,0),"")</f>
        <v/>
      </c>
    </row>
    <row r="148">
      <c r="A148">
        <f>IF(AND(LEN('Assets'!A148)&gt;0,ISNUMBER('Assets'!G148)),'Assets'!G148+145/100000,"")</f>
        <v/>
      </c>
      <c r="B148">
        <f>IF(AND(LEN('Assets'!A148)&gt;0,ISNUMBER('Assets'!G148)),MAX($B$3:B147)+1,"")</f>
        <v/>
      </c>
      <c r="E148">
        <f>IFERROR(MATCH(145,$B$4:$B$503,0),"")</f>
        <v/>
      </c>
    </row>
    <row r="149">
      <c r="A149">
        <f>IF(AND(LEN('Assets'!A149)&gt;0,ISNUMBER('Assets'!G149)),'Assets'!G149+146/100000,"")</f>
        <v/>
      </c>
      <c r="B149">
        <f>IF(AND(LEN('Assets'!A149)&gt;0,ISNUMBER('Assets'!G149)),MAX($B$3:B148)+1,"")</f>
        <v/>
      </c>
      <c r="E149">
        <f>IFERROR(MATCH(146,$B$4:$B$503,0),"")</f>
        <v/>
      </c>
    </row>
    <row r="150">
      <c r="A150">
        <f>IF(AND(LEN('Assets'!A150)&gt;0,ISNUMBER('Assets'!G150)),'Assets'!G150+147/100000,"")</f>
        <v/>
      </c>
      <c r="B150">
        <f>IF(AND(LEN('Assets'!A150)&gt;0,ISNUMBER('Assets'!G150)),MAX($B$3:B149)+1,"")</f>
        <v/>
      </c>
      <c r="E150">
        <f>IFERROR(MATCH(147,$B$4:$B$503,0),"")</f>
        <v/>
      </c>
    </row>
    <row r="151">
      <c r="A151">
        <f>IF(AND(LEN('Assets'!A151)&gt;0,ISNUMBER('Assets'!G151)),'Assets'!G151+148/100000,"")</f>
        <v/>
      </c>
      <c r="B151">
        <f>IF(AND(LEN('Assets'!A151)&gt;0,ISNUMBER('Assets'!G151)),MAX($B$3:B150)+1,"")</f>
        <v/>
      </c>
      <c r="E151">
        <f>IFERROR(MATCH(148,$B$4:$B$503,0),"")</f>
        <v/>
      </c>
    </row>
    <row r="152">
      <c r="A152">
        <f>IF(AND(LEN('Assets'!A152)&gt;0,ISNUMBER('Assets'!G152)),'Assets'!G152+149/100000,"")</f>
        <v/>
      </c>
      <c r="B152">
        <f>IF(AND(LEN('Assets'!A152)&gt;0,ISNUMBER('Assets'!G152)),MAX($B$3:B151)+1,"")</f>
        <v/>
      </c>
      <c r="E152">
        <f>IFERROR(MATCH(149,$B$4:$B$503,0),"")</f>
        <v/>
      </c>
    </row>
    <row r="153">
      <c r="A153">
        <f>IF(AND(LEN('Assets'!A153)&gt;0,ISNUMBER('Assets'!G153)),'Assets'!G153+150/100000,"")</f>
        <v/>
      </c>
      <c r="B153">
        <f>IF(AND(LEN('Assets'!A153)&gt;0,ISNUMBER('Assets'!G153)),MAX($B$3:B152)+1,"")</f>
        <v/>
      </c>
      <c r="E153">
        <f>IFERROR(MATCH(150,$B$4:$B$503,0),"")</f>
        <v/>
      </c>
    </row>
    <row r="154">
      <c r="A154">
        <f>IF(AND(LEN('Assets'!A154)&gt;0,ISNUMBER('Assets'!G154)),'Assets'!G154+151/100000,"")</f>
        <v/>
      </c>
      <c r="B154">
        <f>IF(AND(LEN('Assets'!A154)&gt;0,ISNUMBER('Assets'!G154)),MAX($B$3:B153)+1,"")</f>
        <v/>
      </c>
      <c r="E154">
        <f>IFERROR(MATCH(151,$B$4:$B$503,0),"")</f>
        <v/>
      </c>
    </row>
    <row r="155">
      <c r="A155">
        <f>IF(AND(LEN('Assets'!A155)&gt;0,ISNUMBER('Assets'!G155)),'Assets'!G155+152/100000,"")</f>
        <v/>
      </c>
      <c r="B155">
        <f>IF(AND(LEN('Assets'!A155)&gt;0,ISNUMBER('Assets'!G155)),MAX($B$3:B154)+1,"")</f>
        <v/>
      </c>
      <c r="E155">
        <f>IFERROR(MATCH(152,$B$4:$B$503,0),"")</f>
        <v/>
      </c>
    </row>
    <row r="156">
      <c r="A156">
        <f>IF(AND(LEN('Assets'!A156)&gt;0,ISNUMBER('Assets'!G156)),'Assets'!G156+153/100000,"")</f>
        <v/>
      </c>
      <c r="B156">
        <f>IF(AND(LEN('Assets'!A156)&gt;0,ISNUMBER('Assets'!G156)),MAX($B$3:B155)+1,"")</f>
        <v/>
      </c>
      <c r="E156">
        <f>IFERROR(MATCH(153,$B$4:$B$503,0),"")</f>
        <v/>
      </c>
    </row>
    <row r="157">
      <c r="A157">
        <f>IF(AND(LEN('Assets'!A157)&gt;0,ISNUMBER('Assets'!G157)),'Assets'!G157+154/100000,"")</f>
        <v/>
      </c>
      <c r="B157">
        <f>IF(AND(LEN('Assets'!A157)&gt;0,ISNUMBER('Assets'!G157)),MAX($B$3:B156)+1,"")</f>
        <v/>
      </c>
      <c r="E157">
        <f>IFERROR(MATCH(154,$B$4:$B$503,0),"")</f>
        <v/>
      </c>
    </row>
    <row r="158">
      <c r="A158">
        <f>IF(AND(LEN('Assets'!A158)&gt;0,ISNUMBER('Assets'!G158)),'Assets'!G158+155/100000,"")</f>
        <v/>
      </c>
      <c r="B158">
        <f>IF(AND(LEN('Assets'!A158)&gt;0,ISNUMBER('Assets'!G158)),MAX($B$3:B157)+1,"")</f>
        <v/>
      </c>
      <c r="E158">
        <f>IFERROR(MATCH(155,$B$4:$B$503,0),"")</f>
        <v/>
      </c>
    </row>
    <row r="159">
      <c r="A159">
        <f>IF(AND(LEN('Assets'!A159)&gt;0,ISNUMBER('Assets'!G159)),'Assets'!G159+156/100000,"")</f>
        <v/>
      </c>
      <c r="B159">
        <f>IF(AND(LEN('Assets'!A159)&gt;0,ISNUMBER('Assets'!G159)),MAX($B$3:B158)+1,"")</f>
        <v/>
      </c>
      <c r="E159">
        <f>IFERROR(MATCH(156,$B$4:$B$503,0),"")</f>
        <v/>
      </c>
    </row>
    <row r="160">
      <c r="A160">
        <f>IF(AND(LEN('Assets'!A160)&gt;0,ISNUMBER('Assets'!G160)),'Assets'!G160+157/100000,"")</f>
        <v/>
      </c>
      <c r="B160">
        <f>IF(AND(LEN('Assets'!A160)&gt;0,ISNUMBER('Assets'!G160)),MAX($B$3:B159)+1,"")</f>
        <v/>
      </c>
      <c r="E160">
        <f>IFERROR(MATCH(157,$B$4:$B$503,0),"")</f>
        <v/>
      </c>
    </row>
    <row r="161">
      <c r="A161">
        <f>IF(AND(LEN('Assets'!A161)&gt;0,ISNUMBER('Assets'!G161)),'Assets'!G161+158/100000,"")</f>
        <v/>
      </c>
      <c r="B161">
        <f>IF(AND(LEN('Assets'!A161)&gt;0,ISNUMBER('Assets'!G161)),MAX($B$3:B160)+1,"")</f>
        <v/>
      </c>
      <c r="E161">
        <f>IFERROR(MATCH(158,$B$4:$B$503,0),"")</f>
        <v/>
      </c>
    </row>
    <row r="162">
      <c r="A162">
        <f>IF(AND(LEN('Assets'!A162)&gt;0,ISNUMBER('Assets'!G162)),'Assets'!G162+159/100000,"")</f>
        <v/>
      </c>
      <c r="B162">
        <f>IF(AND(LEN('Assets'!A162)&gt;0,ISNUMBER('Assets'!G162)),MAX($B$3:B161)+1,"")</f>
        <v/>
      </c>
      <c r="E162">
        <f>IFERROR(MATCH(159,$B$4:$B$503,0),"")</f>
        <v/>
      </c>
    </row>
    <row r="163">
      <c r="A163">
        <f>IF(AND(LEN('Assets'!A163)&gt;0,ISNUMBER('Assets'!G163)),'Assets'!G163+160/100000,"")</f>
        <v/>
      </c>
      <c r="B163">
        <f>IF(AND(LEN('Assets'!A163)&gt;0,ISNUMBER('Assets'!G163)),MAX($B$3:B162)+1,"")</f>
        <v/>
      </c>
      <c r="E163">
        <f>IFERROR(MATCH(160,$B$4:$B$503,0),"")</f>
        <v/>
      </c>
    </row>
    <row r="164">
      <c r="A164">
        <f>IF(AND(LEN('Assets'!A164)&gt;0,ISNUMBER('Assets'!G164)),'Assets'!G164+161/100000,"")</f>
        <v/>
      </c>
      <c r="B164">
        <f>IF(AND(LEN('Assets'!A164)&gt;0,ISNUMBER('Assets'!G164)),MAX($B$3:B163)+1,"")</f>
        <v/>
      </c>
      <c r="E164">
        <f>IFERROR(MATCH(161,$B$4:$B$503,0),"")</f>
        <v/>
      </c>
    </row>
    <row r="165">
      <c r="A165">
        <f>IF(AND(LEN('Assets'!A165)&gt;0,ISNUMBER('Assets'!G165)),'Assets'!G165+162/100000,"")</f>
        <v/>
      </c>
      <c r="B165">
        <f>IF(AND(LEN('Assets'!A165)&gt;0,ISNUMBER('Assets'!G165)),MAX($B$3:B164)+1,"")</f>
        <v/>
      </c>
      <c r="E165">
        <f>IFERROR(MATCH(162,$B$4:$B$503,0),"")</f>
        <v/>
      </c>
    </row>
    <row r="166">
      <c r="A166">
        <f>IF(AND(LEN('Assets'!A166)&gt;0,ISNUMBER('Assets'!G166)),'Assets'!G166+163/100000,"")</f>
        <v/>
      </c>
      <c r="B166">
        <f>IF(AND(LEN('Assets'!A166)&gt;0,ISNUMBER('Assets'!G166)),MAX($B$3:B165)+1,"")</f>
        <v/>
      </c>
      <c r="E166">
        <f>IFERROR(MATCH(163,$B$4:$B$503,0),"")</f>
        <v/>
      </c>
    </row>
    <row r="167">
      <c r="A167">
        <f>IF(AND(LEN('Assets'!A167)&gt;0,ISNUMBER('Assets'!G167)),'Assets'!G167+164/100000,"")</f>
        <v/>
      </c>
      <c r="B167">
        <f>IF(AND(LEN('Assets'!A167)&gt;0,ISNUMBER('Assets'!G167)),MAX($B$3:B166)+1,"")</f>
        <v/>
      </c>
      <c r="E167">
        <f>IFERROR(MATCH(164,$B$4:$B$503,0),"")</f>
        <v/>
      </c>
    </row>
    <row r="168">
      <c r="A168">
        <f>IF(AND(LEN('Assets'!A168)&gt;0,ISNUMBER('Assets'!G168)),'Assets'!G168+165/100000,"")</f>
        <v/>
      </c>
      <c r="B168">
        <f>IF(AND(LEN('Assets'!A168)&gt;0,ISNUMBER('Assets'!G168)),MAX($B$3:B167)+1,"")</f>
        <v/>
      </c>
      <c r="E168">
        <f>IFERROR(MATCH(165,$B$4:$B$503,0),"")</f>
        <v/>
      </c>
    </row>
    <row r="169">
      <c r="A169">
        <f>IF(AND(LEN('Assets'!A169)&gt;0,ISNUMBER('Assets'!G169)),'Assets'!G169+166/100000,"")</f>
        <v/>
      </c>
      <c r="B169">
        <f>IF(AND(LEN('Assets'!A169)&gt;0,ISNUMBER('Assets'!G169)),MAX($B$3:B168)+1,"")</f>
        <v/>
      </c>
      <c r="E169">
        <f>IFERROR(MATCH(166,$B$4:$B$503,0),"")</f>
        <v/>
      </c>
    </row>
    <row r="170">
      <c r="A170">
        <f>IF(AND(LEN('Assets'!A170)&gt;0,ISNUMBER('Assets'!G170)),'Assets'!G170+167/100000,"")</f>
        <v/>
      </c>
      <c r="B170">
        <f>IF(AND(LEN('Assets'!A170)&gt;0,ISNUMBER('Assets'!G170)),MAX($B$3:B169)+1,"")</f>
        <v/>
      </c>
      <c r="E170">
        <f>IFERROR(MATCH(167,$B$4:$B$503,0),"")</f>
        <v/>
      </c>
    </row>
    <row r="171">
      <c r="A171">
        <f>IF(AND(LEN('Assets'!A171)&gt;0,ISNUMBER('Assets'!G171)),'Assets'!G171+168/100000,"")</f>
        <v/>
      </c>
      <c r="B171">
        <f>IF(AND(LEN('Assets'!A171)&gt;0,ISNUMBER('Assets'!G171)),MAX($B$3:B170)+1,"")</f>
        <v/>
      </c>
      <c r="E171">
        <f>IFERROR(MATCH(168,$B$4:$B$503,0),"")</f>
        <v/>
      </c>
    </row>
    <row r="172">
      <c r="A172">
        <f>IF(AND(LEN('Assets'!A172)&gt;0,ISNUMBER('Assets'!G172)),'Assets'!G172+169/100000,"")</f>
        <v/>
      </c>
      <c r="B172">
        <f>IF(AND(LEN('Assets'!A172)&gt;0,ISNUMBER('Assets'!G172)),MAX($B$3:B171)+1,"")</f>
        <v/>
      </c>
      <c r="E172">
        <f>IFERROR(MATCH(169,$B$4:$B$503,0),"")</f>
        <v/>
      </c>
    </row>
    <row r="173">
      <c r="A173">
        <f>IF(AND(LEN('Assets'!A173)&gt;0,ISNUMBER('Assets'!G173)),'Assets'!G173+170/100000,"")</f>
        <v/>
      </c>
      <c r="B173">
        <f>IF(AND(LEN('Assets'!A173)&gt;0,ISNUMBER('Assets'!G173)),MAX($B$3:B172)+1,"")</f>
        <v/>
      </c>
      <c r="E173">
        <f>IFERROR(MATCH(170,$B$4:$B$503,0),"")</f>
        <v/>
      </c>
    </row>
    <row r="174">
      <c r="A174">
        <f>IF(AND(LEN('Assets'!A174)&gt;0,ISNUMBER('Assets'!G174)),'Assets'!G174+171/100000,"")</f>
        <v/>
      </c>
      <c r="B174">
        <f>IF(AND(LEN('Assets'!A174)&gt;0,ISNUMBER('Assets'!G174)),MAX($B$3:B173)+1,"")</f>
        <v/>
      </c>
      <c r="E174">
        <f>IFERROR(MATCH(171,$B$4:$B$503,0),"")</f>
        <v/>
      </c>
    </row>
    <row r="175">
      <c r="A175">
        <f>IF(AND(LEN('Assets'!A175)&gt;0,ISNUMBER('Assets'!G175)),'Assets'!G175+172/100000,"")</f>
        <v/>
      </c>
      <c r="B175">
        <f>IF(AND(LEN('Assets'!A175)&gt;0,ISNUMBER('Assets'!G175)),MAX($B$3:B174)+1,"")</f>
        <v/>
      </c>
      <c r="E175">
        <f>IFERROR(MATCH(172,$B$4:$B$503,0),"")</f>
        <v/>
      </c>
    </row>
    <row r="176">
      <c r="A176">
        <f>IF(AND(LEN('Assets'!A176)&gt;0,ISNUMBER('Assets'!G176)),'Assets'!G176+173/100000,"")</f>
        <v/>
      </c>
      <c r="B176">
        <f>IF(AND(LEN('Assets'!A176)&gt;0,ISNUMBER('Assets'!G176)),MAX($B$3:B175)+1,"")</f>
        <v/>
      </c>
      <c r="E176">
        <f>IFERROR(MATCH(173,$B$4:$B$503,0),"")</f>
        <v/>
      </c>
    </row>
    <row r="177">
      <c r="A177">
        <f>IF(AND(LEN('Assets'!A177)&gt;0,ISNUMBER('Assets'!G177)),'Assets'!G177+174/100000,"")</f>
        <v/>
      </c>
      <c r="B177">
        <f>IF(AND(LEN('Assets'!A177)&gt;0,ISNUMBER('Assets'!G177)),MAX($B$3:B176)+1,"")</f>
        <v/>
      </c>
      <c r="E177">
        <f>IFERROR(MATCH(174,$B$4:$B$503,0),"")</f>
        <v/>
      </c>
    </row>
    <row r="178">
      <c r="A178">
        <f>IF(AND(LEN('Assets'!A178)&gt;0,ISNUMBER('Assets'!G178)),'Assets'!G178+175/100000,"")</f>
        <v/>
      </c>
      <c r="B178">
        <f>IF(AND(LEN('Assets'!A178)&gt;0,ISNUMBER('Assets'!G178)),MAX($B$3:B177)+1,"")</f>
        <v/>
      </c>
      <c r="E178">
        <f>IFERROR(MATCH(175,$B$4:$B$503,0),"")</f>
        <v/>
      </c>
    </row>
    <row r="179">
      <c r="A179">
        <f>IF(AND(LEN('Assets'!A179)&gt;0,ISNUMBER('Assets'!G179)),'Assets'!G179+176/100000,"")</f>
        <v/>
      </c>
      <c r="B179">
        <f>IF(AND(LEN('Assets'!A179)&gt;0,ISNUMBER('Assets'!G179)),MAX($B$3:B178)+1,"")</f>
        <v/>
      </c>
      <c r="E179">
        <f>IFERROR(MATCH(176,$B$4:$B$503,0),"")</f>
        <v/>
      </c>
    </row>
    <row r="180">
      <c r="A180">
        <f>IF(AND(LEN('Assets'!A180)&gt;0,ISNUMBER('Assets'!G180)),'Assets'!G180+177/100000,"")</f>
        <v/>
      </c>
      <c r="B180">
        <f>IF(AND(LEN('Assets'!A180)&gt;0,ISNUMBER('Assets'!G180)),MAX($B$3:B179)+1,"")</f>
        <v/>
      </c>
      <c r="E180">
        <f>IFERROR(MATCH(177,$B$4:$B$503,0),"")</f>
        <v/>
      </c>
    </row>
    <row r="181">
      <c r="A181">
        <f>IF(AND(LEN('Assets'!A181)&gt;0,ISNUMBER('Assets'!G181)),'Assets'!G181+178/100000,"")</f>
        <v/>
      </c>
      <c r="B181">
        <f>IF(AND(LEN('Assets'!A181)&gt;0,ISNUMBER('Assets'!G181)),MAX($B$3:B180)+1,"")</f>
        <v/>
      </c>
      <c r="E181">
        <f>IFERROR(MATCH(178,$B$4:$B$503,0),"")</f>
        <v/>
      </c>
    </row>
    <row r="182">
      <c r="A182">
        <f>IF(AND(LEN('Assets'!A182)&gt;0,ISNUMBER('Assets'!G182)),'Assets'!G182+179/100000,"")</f>
        <v/>
      </c>
      <c r="B182">
        <f>IF(AND(LEN('Assets'!A182)&gt;0,ISNUMBER('Assets'!G182)),MAX($B$3:B181)+1,"")</f>
        <v/>
      </c>
      <c r="E182">
        <f>IFERROR(MATCH(179,$B$4:$B$503,0),"")</f>
        <v/>
      </c>
    </row>
    <row r="183">
      <c r="A183">
        <f>IF(AND(LEN('Assets'!A183)&gt;0,ISNUMBER('Assets'!G183)),'Assets'!G183+180/100000,"")</f>
        <v/>
      </c>
      <c r="B183">
        <f>IF(AND(LEN('Assets'!A183)&gt;0,ISNUMBER('Assets'!G183)),MAX($B$3:B182)+1,"")</f>
        <v/>
      </c>
      <c r="E183">
        <f>IFERROR(MATCH(180,$B$4:$B$503,0),"")</f>
        <v/>
      </c>
    </row>
    <row r="184">
      <c r="A184">
        <f>IF(AND(LEN('Assets'!A184)&gt;0,ISNUMBER('Assets'!G184)),'Assets'!G184+181/100000,"")</f>
        <v/>
      </c>
      <c r="B184">
        <f>IF(AND(LEN('Assets'!A184)&gt;0,ISNUMBER('Assets'!G184)),MAX($B$3:B183)+1,"")</f>
        <v/>
      </c>
      <c r="E184">
        <f>IFERROR(MATCH(181,$B$4:$B$503,0),"")</f>
        <v/>
      </c>
    </row>
    <row r="185">
      <c r="A185">
        <f>IF(AND(LEN('Assets'!A185)&gt;0,ISNUMBER('Assets'!G185)),'Assets'!G185+182/100000,"")</f>
        <v/>
      </c>
      <c r="B185">
        <f>IF(AND(LEN('Assets'!A185)&gt;0,ISNUMBER('Assets'!G185)),MAX($B$3:B184)+1,"")</f>
        <v/>
      </c>
      <c r="E185">
        <f>IFERROR(MATCH(182,$B$4:$B$503,0),"")</f>
        <v/>
      </c>
    </row>
    <row r="186">
      <c r="A186">
        <f>IF(AND(LEN('Assets'!A186)&gt;0,ISNUMBER('Assets'!G186)),'Assets'!G186+183/100000,"")</f>
        <v/>
      </c>
      <c r="B186">
        <f>IF(AND(LEN('Assets'!A186)&gt;0,ISNUMBER('Assets'!G186)),MAX($B$3:B185)+1,"")</f>
        <v/>
      </c>
      <c r="E186">
        <f>IFERROR(MATCH(183,$B$4:$B$503,0),"")</f>
        <v/>
      </c>
    </row>
    <row r="187">
      <c r="A187">
        <f>IF(AND(LEN('Assets'!A187)&gt;0,ISNUMBER('Assets'!G187)),'Assets'!G187+184/100000,"")</f>
        <v/>
      </c>
      <c r="B187">
        <f>IF(AND(LEN('Assets'!A187)&gt;0,ISNUMBER('Assets'!G187)),MAX($B$3:B186)+1,"")</f>
        <v/>
      </c>
      <c r="E187">
        <f>IFERROR(MATCH(184,$B$4:$B$503,0),"")</f>
        <v/>
      </c>
    </row>
    <row r="188">
      <c r="A188">
        <f>IF(AND(LEN('Assets'!A188)&gt;0,ISNUMBER('Assets'!G188)),'Assets'!G188+185/100000,"")</f>
        <v/>
      </c>
      <c r="B188">
        <f>IF(AND(LEN('Assets'!A188)&gt;0,ISNUMBER('Assets'!G188)),MAX($B$3:B187)+1,"")</f>
        <v/>
      </c>
      <c r="E188">
        <f>IFERROR(MATCH(185,$B$4:$B$503,0),"")</f>
        <v/>
      </c>
    </row>
    <row r="189">
      <c r="A189">
        <f>IF(AND(LEN('Assets'!A189)&gt;0,ISNUMBER('Assets'!G189)),'Assets'!G189+186/100000,"")</f>
        <v/>
      </c>
      <c r="B189">
        <f>IF(AND(LEN('Assets'!A189)&gt;0,ISNUMBER('Assets'!G189)),MAX($B$3:B188)+1,"")</f>
        <v/>
      </c>
      <c r="E189">
        <f>IFERROR(MATCH(186,$B$4:$B$503,0),"")</f>
        <v/>
      </c>
    </row>
    <row r="190">
      <c r="A190">
        <f>IF(AND(LEN('Assets'!A190)&gt;0,ISNUMBER('Assets'!G190)),'Assets'!G190+187/100000,"")</f>
        <v/>
      </c>
      <c r="B190">
        <f>IF(AND(LEN('Assets'!A190)&gt;0,ISNUMBER('Assets'!G190)),MAX($B$3:B189)+1,"")</f>
        <v/>
      </c>
      <c r="E190">
        <f>IFERROR(MATCH(187,$B$4:$B$503,0),"")</f>
        <v/>
      </c>
    </row>
    <row r="191">
      <c r="A191">
        <f>IF(AND(LEN('Assets'!A191)&gt;0,ISNUMBER('Assets'!G191)),'Assets'!G191+188/100000,"")</f>
        <v/>
      </c>
      <c r="B191">
        <f>IF(AND(LEN('Assets'!A191)&gt;0,ISNUMBER('Assets'!G191)),MAX($B$3:B190)+1,"")</f>
        <v/>
      </c>
      <c r="E191">
        <f>IFERROR(MATCH(188,$B$4:$B$503,0),"")</f>
        <v/>
      </c>
    </row>
    <row r="192">
      <c r="A192">
        <f>IF(AND(LEN('Assets'!A192)&gt;0,ISNUMBER('Assets'!G192)),'Assets'!G192+189/100000,"")</f>
        <v/>
      </c>
      <c r="B192">
        <f>IF(AND(LEN('Assets'!A192)&gt;0,ISNUMBER('Assets'!G192)),MAX($B$3:B191)+1,"")</f>
        <v/>
      </c>
      <c r="E192">
        <f>IFERROR(MATCH(189,$B$4:$B$503,0),"")</f>
        <v/>
      </c>
    </row>
    <row r="193">
      <c r="A193">
        <f>IF(AND(LEN('Assets'!A193)&gt;0,ISNUMBER('Assets'!G193)),'Assets'!G193+190/100000,"")</f>
        <v/>
      </c>
      <c r="B193">
        <f>IF(AND(LEN('Assets'!A193)&gt;0,ISNUMBER('Assets'!G193)),MAX($B$3:B192)+1,"")</f>
        <v/>
      </c>
      <c r="E193">
        <f>IFERROR(MATCH(190,$B$4:$B$503,0),"")</f>
        <v/>
      </c>
    </row>
    <row r="194">
      <c r="A194">
        <f>IF(AND(LEN('Assets'!A194)&gt;0,ISNUMBER('Assets'!G194)),'Assets'!G194+191/100000,"")</f>
        <v/>
      </c>
      <c r="B194">
        <f>IF(AND(LEN('Assets'!A194)&gt;0,ISNUMBER('Assets'!G194)),MAX($B$3:B193)+1,"")</f>
        <v/>
      </c>
      <c r="E194">
        <f>IFERROR(MATCH(191,$B$4:$B$503,0),"")</f>
        <v/>
      </c>
    </row>
    <row r="195">
      <c r="A195">
        <f>IF(AND(LEN('Assets'!A195)&gt;0,ISNUMBER('Assets'!G195)),'Assets'!G195+192/100000,"")</f>
        <v/>
      </c>
      <c r="B195">
        <f>IF(AND(LEN('Assets'!A195)&gt;0,ISNUMBER('Assets'!G195)),MAX($B$3:B194)+1,"")</f>
        <v/>
      </c>
      <c r="E195">
        <f>IFERROR(MATCH(192,$B$4:$B$503,0),"")</f>
        <v/>
      </c>
    </row>
    <row r="196">
      <c r="A196">
        <f>IF(AND(LEN('Assets'!A196)&gt;0,ISNUMBER('Assets'!G196)),'Assets'!G196+193/100000,"")</f>
        <v/>
      </c>
      <c r="B196">
        <f>IF(AND(LEN('Assets'!A196)&gt;0,ISNUMBER('Assets'!G196)),MAX($B$3:B195)+1,"")</f>
        <v/>
      </c>
      <c r="E196">
        <f>IFERROR(MATCH(193,$B$4:$B$503,0),"")</f>
        <v/>
      </c>
    </row>
    <row r="197">
      <c r="A197">
        <f>IF(AND(LEN('Assets'!A197)&gt;0,ISNUMBER('Assets'!G197)),'Assets'!G197+194/100000,"")</f>
        <v/>
      </c>
      <c r="B197">
        <f>IF(AND(LEN('Assets'!A197)&gt;0,ISNUMBER('Assets'!G197)),MAX($B$3:B196)+1,"")</f>
        <v/>
      </c>
      <c r="E197">
        <f>IFERROR(MATCH(194,$B$4:$B$503,0),"")</f>
        <v/>
      </c>
    </row>
    <row r="198">
      <c r="A198">
        <f>IF(AND(LEN('Assets'!A198)&gt;0,ISNUMBER('Assets'!G198)),'Assets'!G198+195/100000,"")</f>
        <v/>
      </c>
      <c r="B198">
        <f>IF(AND(LEN('Assets'!A198)&gt;0,ISNUMBER('Assets'!G198)),MAX($B$3:B197)+1,"")</f>
        <v/>
      </c>
      <c r="E198">
        <f>IFERROR(MATCH(195,$B$4:$B$503,0),"")</f>
        <v/>
      </c>
    </row>
    <row r="199">
      <c r="A199">
        <f>IF(AND(LEN('Assets'!A199)&gt;0,ISNUMBER('Assets'!G199)),'Assets'!G199+196/100000,"")</f>
        <v/>
      </c>
      <c r="B199">
        <f>IF(AND(LEN('Assets'!A199)&gt;0,ISNUMBER('Assets'!G199)),MAX($B$3:B198)+1,"")</f>
        <v/>
      </c>
      <c r="E199">
        <f>IFERROR(MATCH(196,$B$4:$B$503,0),"")</f>
        <v/>
      </c>
    </row>
    <row r="200">
      <c r="A200">
        <f>IF(AND(LEN('Assets'!A200)&gt;0,ISNUMBER('Assets'!G200)),'Assets'!G200+197/100000,"")</f>
        <v/>
      </c>
      <c r="B200">
        <f>IF(AND(LEN('Assets'!A200)&gt;0,ISNUMBER('Assets'!G200)),MAX($B$3:B199)+1,"")</f>
        <v/>
      </c>
      <c r="E200">
        <f>IFERROR(MATCH(197,$B$4:$B$503,0),"")</f>
        <v/>
      </c>
    </row>
    <row r="201">
      <c r="A201">
        <f>IF(AND(LEN('Assets'!A201)&gt;0,ISNUMBER('Assets'!G201)),'Assets'!G201+198/100000,"")</f>
        <v/>
      </c>
      <c r="B201">
        <f>IF(AND(LEN('Assets'!A201)&gt;0,ISNUMBER('Assets'!G201)),MAX($B$3:B200)+1,"")</f>
        <v/>
      </c>
      <c r="E201">
        <f>IFERROR(MATCH(198,$B$4:$B$503,0),"")</f>
        <v/>
      </c>
    </row>
    <row r="202">
      <c r="A202">
        <f>IF(AND(LEN('Assets'!A202)&gt;0,ISNUMBER('Assets'!G202)),'Assets'!G202+199/100000,"")</f>
        <v/>
      </c>
      <c r="B202">
        <f>IF(AND(LEN('Assets'!A202)&gt;0,ISNUMBER('Assets'!G202)),MAX($B$3:B201)+1,"")</f>
        <v/>
      </c>
      <c r="E202">
        <f>IFERROR(MATCH(199,$B$4:$B$503,0),"")</f>
        <v/>
      </c>
    </row>
    <row r="203">
      <c r="A203">
        <f>IF(AND(LEN('Assets'!A203)&gt;0,ISNUMBER('Assets'!G203)),'Assets'!G203+200/100000,"")</f>
        <v/>
      </c>
      <c r="B203">
        <f>IF(AND(LEN('Assets'!A203)&gt;0,ISNUMBER('Assets'!G203)),MAX($B$3:B202)+1,"")</f>
        <v/>
      </c>
      <c r="E203">
        <f>IFERROR(MATCH(200,$B$4:$B$503,0),"")</f>
        <v/>
      </c>
    </row>
    <row r="204">
      <c r="A204">
        <f>IF(AND(LEN('Assets'!A204)&gt;0,ISNUMBER('Assets'!G204)),'Assets'!G204+201/100000,"")</f>
        <v/>
      </c>
      <c r="B204">
        <f>IF(AND(LEN('Assets'!A204)&gt;0,ISNUMBER('Assets'!G204)),MAX($B$3:B203)+1,"")</f>
        <v/>
      </c>
      <c r="E204">
        <f>IFERROR(MATCH(201,$B$4:$B$503,0),"")</f>
        <v/>
      </c>
    </row>
    <row r="205">
      <c r="A205">
        <f>IF(AND(LEN('Assets'!A205)&gt;0,ISNUMBER('Assets'!G205)),'Assets'!G205+202/100000,"")</f>
        <v/>
      </c>
      <c r="B205">
        <f>IF(AND(LEN('Assets'!A205)&gt;0,ISNUMBER('Assets'!G205)),MAX($B$3:B204)+1,"")</f>
        <v/>
      </c>
      <c r="E205">
        <f>IFERROR(MATCH(202,$B$4:$B$503,0),"")</f>
        <v/>
      </c>
    </row>
    <row r="206">
      <c r="A206">
        <f>IF(AND(LEN('Assets'!A206)&gt;0,ISNUMBER('Assets'!G206)),'Assets'!G206+203/100000,"")</f>
        <v/>
      </c>
      <c r="B206">
        <f>IF(AND(LEN('Assets'!A206)&gt;0,ISNUMBER('Assets'!G206)),MAX($B$3:B205)+1,"")</f>
        <v/>
      </c>
      <c r="E206">
        <f>IFERROR(MATCH(203,$B$4:$B$503,0),"")</f>
        <v/>
      </c>
    </row>
    <row r="207">
      <c r="A207">
        <f>IF(AND(LEN('Assets'!A207)&gt;0,ISNUMBER('Assets'!G207)),'Assets'!G207+204/100000,"")</f>
        <v/>
      </c>
      <c r="B207">
        <f>IF(AND(LEN('Assets'!A207)&gt;0,ISNUMBER('Assets'!G207)),MAX($B$3:B206)+1,"")</f>
        <v/>
      </c>
      <c r="E207">
        <f>IFERROR(MATCH(204,$B$4:$B$503,0),"")</f>
        <v/>
      </c>
    </row>
    <row r="208">
      <c r="A208">
        <f>IF(AND(LEN('Assets'!A208)&gt;0,ISNUMBER('Assets'!G208)),'Assets'!G208+205/100000,"")</f>
        <v/>
      </c>
      <c r="B208">
        <f>IF(AND(LEN('Assets'!A208)&gt;0,ISNUMBER('Assets'!G208)),MAX($B$3:B207)+1,"")</f>
        <v/>
      </c>
      <c r="E208">
        <f>IFERROR(MATCH(205,$B$4:$B$503,0),"")</f>
        <v/>
      </c>
    </row>
    <row r="209">
      <c r="A209">
        <f>IF(AND(LEN('Assets'!A209)&gt;0,ISNUMBER('Assets'!G209)),'Assets'!G209+206/100000,"")</f>
        <v/>
      </c>
      <c r="B209">
        <f>IF(AND(LEN('Assets'!A209)&gt;0,ISNUMBER('Assets'!G209)),MAX($B$3:B208)+1,"")</f>
        <v/>
      </c>
      <c r="E209">
        <f>IFERROR(MATCH(206,$B$4:$B$503,0),"")</f>
        <v/>
      </c>
    </row>
    <row r="210">
      <c r="A210">
        <f>IF(AND(LEN('Assets'!A210)&gt;0,ISNUMBER('Assets'!G210)),'Assets'!G210+207/100000,"")</f>
        <v/>
      </c>
      <c r="B210">
        <f>IF(AND(LEN('Assets'!A210)&gt;0,ISNUMBER('Assets'!G210)),MAX($B$3:B209)+1,"")</f>
        <v/>
      </c>
      <c r="E210">
        <f>IFERROR(MATCH(207,$B$4:$B$503,0),"")</f>
        <v/>
      </c>
    </row>
    <row r="211">
      <c r="A211">
        <f>IF(AND(LEN('Assets'!A211)&gt;0,ISNUMBER('Assets'!G211)),'Assets'!G211+208/100000,"")</f>
        <v/>
      </c>
      <c r="B211">
        <f>IF(AND(LEN('Assets'!A211)&gt;0,ISNUMBER('Assets'!G211)),MAX($B$3:B210)+1,"")</f>
        <v/>
      </c>
      <c r="E211">
        <f>IFERROR(MATCH(208,$B$4:$B$503,0),"")</f>
        <v/>
      </c>
    </row>
    <row r="212">
      <c r="A212">
        <f>IF(AND(LEN('Assets'!A212)&gt;0,ISNUMBER('Assets'!G212)),'Assets'!G212+209/100000,"")</f>
        <v/>
      </c>
      <c r="B212">
        <f>IF(AND(LEN('Assets'!A212)&gt;0,ISNUMBER('Assets'!G212)),MAX($B$3:B211)+1,"")</f>
        <v/>
      </c>
      <c r="E212">
        <f>IFERROR(MATCH(209,$B$4:$B$503,0),"")</f>
        <v/>
      </c>
    </row>
    <row r="213">
      <c r="A213">
        <f>IF(AND(LEN('Assets'!A213)&gt;0,ISNUMBER('Assets'!G213)),'Assets'!G213+210/100000,"")</f>
        <v/>
      </c>
      <c r="B213">
        <f>IF(AND(LEN('Assets'!A213)&gt;0,ISNUMBER('Assets'!G213)),MAX($B$3:B212)+1,"")</f>
        <v/>
      </c>
      <c r="E213">
        <f>IFERROR(MATCH(210,$B$4:$B$503,0),"")</f>
        <v/>
      </c>
    </row>
    <row r="214">
      <c r="A214">
        <f>IF(AND(LEN('Assets'!A214)&gt;0,ISNUMBER('Assets'!G214)),'Assets'!G214+211/100000,"")</f>
        <v/>
      </c>
      <c r="B214">
        <f>IF(AND(LEN('Assets'!A214)&gt;0,ISNUMBER('Assets'!G214)),MAX($B$3:B213)+1,"")</f>
        <v/>
      </c>
      <c r="E214">
        <f>IFERROR(MATCH(211,$B$4:$B$503,0),"")</f>
        <v/>
      </c>
    </row>
    <row r="215">
      <c r="A215">
        <f>IF(AND(LEN('Assets'!A215)&gt;0,ISNUMBER('Assets'!G215)),'Assets'!G215+212/100000,"")</f>
        <v/>
      </c>
      <c r="B215">
        <f>IF(AND(LEN('Assets'!A215)&gt;0,ISNUMBER('Assets'!G215)),MAX($B$3:B214)+1,"")</f>
        <v/>
      </c>
      <c r="E215">
        <f>IFERROR(MATCH(212,$B$4:$B$503,0),"")</f>
        <v/>
      </c>
    </row>
    <row r="216">
      <c r="A216">
        <f>IF(AND(LEN('Assets'!A216)&gt;0,ISNUMBER('Assets'!G216)),'Assets'!G216+213/100000,"")</f>
        <v/>
      </c>
      <c r="B216">
        <f>IF(AND(LEN('Assets'!A216)&gt;0,ISNUMBER('Assets'!G216)),MAX($B$3:B215)+1,"")</f>
        <v/>
      </c>
      <c r="E216">
        <f>IFERROR(MATCH(213,$B$4:$B$503,0),"")</f>
        <v/>
      </c>
    </row>
    <row r="217">
      <c r="A217">
        <f>IF(AND(LEN('Assets'!A217)&gt;0,ISNUMBER('Assets'!G217)),'Assets'!G217+214/100000,"")</f>
        <v/>
      </c>
      <c r="B217">
        <f>IF(AND(LEN('Assets'!A217)&gt;0,ISNUMBER('Assets'!G217)),MAX($B$3:B216)+1,"")</f>
        <v/>
      </c>
      <c r="E217">
        <f>IFERROR(MATCH(214,$B$4:$B$503,0),"")</f>
        <v/>
      </c>
    </row>
    <row r="218">
      <c r="A218">
        <f>IF(AND(LEN('Assets'!A218)&gt;0,ISNUMBER('Assets'!G218)),'Assets'!G218+215/100000,"")</f>
        <v/>
      </c>
      <c r="B218">
        <f>IF(AND(LEN('Assets'!A218)&gt;0,ISNUMBER('Assets'!G218)),MAX($B$3:B217)+1,"")</f>
        <v/>
      </c>
      <c r="E218">
        <f>IFERROR(MATCH(215,$B$4:$B$503,0),"")</f>
        <v/>
      </c>
    </row>
    <row r="219">
      <c r="A219">
        <f>IF(AND(LEN('Assets'!A219)&gt;0,ISNUMBER('Assets'!G219)),'Assets'!G219+216/100000,"")</f>
        <v/>
      </c>
      <c r="B219">
        <f>IF(AND(LEN('Assets'!A219)&gt;0,ISNUMBER('Assets'!G219)),MAX($B$3:B218)+1,"")</f>
        <v/>
      </c>
      <c r="E219">
        <f>IFERROR(MATCH(216,$B$4:$B$503,0),"")</f>
        <v/>
      </c>
    </row>
    <row r="220">
      <c r="A220">
        <f>IF(AND(LEN('Assets'!A220)&gt;0,ISNUMBER('Assets'!G220)),'Assets'!G220+217/100000,"")</f>
        <v/>
      </c>
      <c r="B220">
        <f>IF(AND(LEN('Assets'!A220)&gt;0,ISNUMBER('Assets'!G220)),MAX($B$3:B219)+1,"")</f>
        <v/>
      </c>
      <c r="E220">
        <f>IFERROR(MATCH(217,$B$4:$B$503,0),"")</f>
        <v/>
      </c>
    </row>
    <row r="221">
      <c r="A221">
        <f>IF(AND(LEN('Assets'!A221)&gt;0,ISNUMBER('Assets'!G221)),'Assets'!G221+218/100000,"")</f>
        <v/>
      </c>
      <c r="B221">
        <f>IF(AND(LEN('Assets'!A221)&gt;0,ISNUMBER('Assets'!G221)),MAX($B$3:B220)+1,"")</f>
        <v/>
      </c>
      <c r="E221">
        <f>IFERROR(MATCH(218,$B$4:$B$503,0),"")</f>
        <v/>
      </c>
    </row>
    <row r="222">
      <c r="A222">
        <f>IF(AND(LEN('Assets'!A222)&gt;0,ISNUMBER('Assets'!G222)),'Assets'!G222+219/100000,"")</f>
        <v/>
      </c>
      <c r="B222">
        <f>IF(AND(LEN('Assets'!A222)&gt;0,ISNUMBER('Assets'!G222)),MAX($B$3:B221)+1,"")</f>
        <v/>
      </c>
      <c r="E222">
        <f>IFERROR(MATCH(219,$B$4:$B$503,0),"")</f>
        <v/>
      </c>
    </row>
    <row r="223">
      <c r="A223">
        <f>IF(AND(LEN('Assets'!A223)&gt;0,ISNUMBER('Assets'!G223)),'Assets'!G223+220/100000,"")</f>
        <v/>
      </c>
      <c r="B223">
        <f>IF(AND(LEN('Assets'!A223)&gt;0,ISNUMBER('Assets'!G223)),MAX($B$3:B222)+1,"")</f>
        <v/>
      </c>
      <c r="E223">
        <f>IFERROR(MATCH(220,$B$4:$B$503,0),"")</f>
        <v/>
      </c>
    </row>
    <row r="224">
      <c r="A224">
        <f>IF(AND(LEN('Assets'!A224)&gt;0,ISNUMBER('Assets'!G224)),'Assets'!G224+221/100000,"")</f>
        <v/>
      </c>
      <c r="B224">
        <f>IF(AND(LEN('Assets'!A224)&gt;0,ISNUMBER('Assets'!G224)),MAX($B$3:B223)+1,"")</f>
        <v/>
      </c>
      <c r="E224">
        <f>IFERROR(MATCH(221,$B$4:$B$503,0),"")</f>
        <v/>
      </c>
    </row>
    <row r="225">
      <c r="A225">
        <f>IF(AND(LEN('Assets'!A225)&gt;0,ISNUMBER('Assets'!G225)),'Assets'!G225+222/100000,"")</f>
        <v/>
      </c>
      <c r="B225">
        <f>IF(AND(LEN('Assets'!A225)&gt;0,ISNUMBER('Assets'!G225)),MAX($B$3:B224)+1,"")</f>
        <v/>
      </c>
      <c r="E225">
        <f>IFERROR(MATCH(222,$B$4:$B$503,0),"")</f>
        <v/>
      </c>
    </row>
    <row r="226">
      <c r="A226">
        <f>IF(AND(LEN('Assets'!A226)&gt;0,ISNUMBER('Assets'!G226)),'Assets'!G226+223/100000,"")</f>
        <v/>
      </c>
      <c r="B226">
        <f>IF(AND(LEN('Assets'!A226)&gt;0,ISNUMBER('Assets'!G226)),MAX($B$3:B225)+1,"")</f>
        <v/>
      </c>
      <c r="E226">
        <f>IFERROR(MATCH(223,$B$4:$B$503,0),"")</f>
        <v/>
      </c>
    </row>
    <row r="227">
      <c r="A227">
        <f>IF(AND(LEN('Assets'!A227)&gt;0,ISNUMBER('Assets'!G227)),'Assets'!G227+224/100000,"")</f>
        <v/>
      </c>
      <c r="B227">
        <f>IF(AND(LEN('Assets'!A227)&gt;0,ISNUMBER('Assets'!G227)),MAX($B$3:B226)+1,"")</f>
        <v/>
      </c>
      <c r="E227">
        <f>IFERROR(MATCH(224,$B$4:$B$503,0),"")</f>
        <v/>
      </c>
    </row>
    <row r="228">
      <c r="A228">
        <f>IF(AND(LEN('Assets'!A228)&gt;0,ISNUMBER('Assets'!G228)),'Assets'!G228+225/100000,"")</f>
        <v/>
      </c>
      <c r="B228">
        <f>IF(AND(LEN('Assets'!A228)&gt;0,ISNUMBER('Assets'!G228)),MAX($B$3:B227)+1,"")</f>
        <v/>
      </c>
      <c r="E228">
        <f>IFERROR(MATCH(225,$B$4:$B$503,0),"")</f>
        <v/>
      </c>
    </row>
    <row r="229">
      <c r="A229">
        <f>IF(AND(LEN('Assets'!A229)&gt;0,ISNUMBER('Assets'!G229)),'Assets'!G229+226/100000,"")</f>
        <v/>
      </c>
      <c r="B229">
        <f>IF(AND(LEN('Assets'!A229)&gt;0,ISNUMBER('Assets'!G229)),MAX($B$3:B228)+1,"")</f>
        <v/>
      </c>
      <c r="E229">
        <f>IFERROR(MATCH(226,$B$4:$B$503,0),"")</f>
        <v/>
      </c>
    </row>
    <row r="230">
      <c r="A230">
        <f>IF(AND(LEN('Assets'!A230)&gt;0,ISNUMBER('Assets'!G230)),'Assets'!G230+227/100000,"")</f>
        <v/>
      </c>
      <c r="B230">
        <f>IF(AND(LEN('Assets'!A230)&gt;0,ISNUMBER('Assets'!G230)),MAX($B$3:B229)+1,"")</f>
        <v/>
      </c>
      <c r="E230">
        <f>IFERROR(MATCH(227,$B$4:$B$503,0),"")</f>
        <v/>
      </c>
    </row>
    <row r="231">
      <c r="A231">
        <f>IF(AND(LEN('Assets'!A231)&gt;0,ISNUMBER('Assets'!G231)),'Assets'!G231+228/100000,"")</f>
        <v/>
      </c>
      <c r="B231">
        <f>IF(AND(LEN('Assets'!A231)&gt;0,ISNUMBER('Assets'!G231)),MAX($B$3:B230)+1,"")</f>
        <v/>
      </c>
      <c r="E231">
        <f>IFERROR(MATCH(228,$B$4:$B$503,0),"")</f>
        <v/>
      </c>
    </row>
    <row r="232">
      <c r="A232">
        <f>IF(AND(LEN('Assets'!A232)&gt;0,ISNUMBER('Assets'!G232)),'Assets'!G232+229/100000,"")</f>
        <v/>
      </c>
      <c r="B232">
        <f>IF(AND(LEN('Assets'!A232)&gt;0,ISNUMBER('Assets'!G232)),MAX($B$3:B231)+1,"")</f>
        <v/>
      </c>
      <c r="E232">
        <f>IFERROR(MATCH(229,$B$4:$B$503,0),"")</f>
        <v/>
      </c>
    </row>
    <row r="233">
      <c r="A233">
        <f>IF(AND(LEN('Assets'!A233)&gt;0,ISNUMBER('Assets'!G233)),'Assets'!G233+230/100000,"")</f>
        <v/>
      </c>
      <c r="B233">
        <f>IF(AND(LEN('Assets'!A233)&gt;0,ISNUMBER('Assets'!G233)),MAX($B$3:B232)+1,"")</f>
        <v/>
      </c>
      <c r="E233">
        <f>IFERROR(MATCH(230,$B$4:$B$503,0),"")</f>
        <v/>
      </c>
    </row>
    <row r="234">
      <c r="A234">
        <f>IF(AND(LEN('Assets'!A234)&gt;0,ISNUMBER('Assets'!G234)),'Assets'!G234+231/100000,"")</f>
        <v/>
      </c>
      <c r="B234">
        <f>IF(AND(LEN('Assets'!A234)&gt;0,ISNUMBER('Assets'!G234)),MAX($B$3:B233)+1,"")</f>
        <v/>
      </c>
      <c r="E234">
        <f>IFERROR(MATCH(231,$B$4:$B$503,0),"")</f>
        <v/>
      </c>
    </row>
    <row r="235">
      <c r="A235">
        <f>IF(AND(LEN('Assets'!A235)&gt;0,ISNUMBER('Assets'!G235)),'Assets'!G235+232/100000,"")</f>
        <v/>
      </c>
      <c r="B235">
        <f>IF(AND(LEN('Assets'!A235)&gt;0,ISNUMBER('Assets'!G235)),MAX($B$3:B234)+1,"")</f>
        <v/>
      </c>
      <c r="E235">
        <f>IFERROR(MATCH(232,$B$4:$B$503,0),"")</f>
        <v/>
      </c>
    </row>
    <row r="236">
      <c r="A236">
        <f>IF(AND(LEN('Assets'!A236)&gt;0,ISNUMBER('Assets'!G236)),'Assets'!G236+233/100000,"")</f>
        <v/>
      </c>
      <c r="B236">
        <f>IF(AND(LEN('Assets'!A236)&gt;0,ISNUMBER('Assets'!G236)),MAX($B$3:B235)+1,"")</f>
        <v/>
      </c>
      <c r="E236">
        <f>IFERROR(MATCH(233,$B$4:$B$503,0),"")</f>
        <v/>
      </c>
    </row>
    <row r="237">
      <c r="A237">
        <f>IF(AND(LEN('Assets'!A237)&gt;0,ISNUMBER('Assets'!G237)),'Assets'!G237+234/100000,"")</f>
        <v/>
      </c>
      <c r="B237">
        <f>IF(AND(LEN('Assets'!A237)&gt;0,ISNUMBER('Assets'!G237)),MAX($B$3:B236)+1,"")</f>
        <v/>
      </c>
      <c r="E237">
        <f>IFERROR(MATCH(234,$B$4:$B$503,0),"")</f>
        <v/>
      </c>
    </row>
    <row r="238">
      <c r="A238">
        <f>IF(AND(LEN('Assets'!A238)&gt;0,ISNUMBER('Assets'!G238)),'Assets'!G238+235/100000,"")</f>
        <v/>
      </c>
      <c r="B238">
        <f>IF(AND(LEN('Assets'!A238)&gt;0,ISNUMBER('Assets'!G238)),MAX($B$3:B237)+1,"")</f>
        <v/>
      </c>
      <c r="E238">
        <f>IFERROR(MATCH(235,$B$4:$B$503,0),"")</f>
        <v/>
      </c>
    </row>
    <row r="239">
      <c r="A239">
        <f>IF(AND(LEN('Assets'!A239)&gt;0,ISNUMBER('Assets'!G239)),'Assets'!G239+236/100000,"")</f>
        <v/>
      </c>
      <c r="B239">
        <f>IF(AND(LEN('Assets'!A239)&gt;0,ISNUMBER('Assets'!G239)),MAX($B$3:B238)+1,"")</f>
        <v/>
      </c>
      <c r="E239">
        <f>IFERROR(MATCH(236,$B$4:$B$503,0),"")</f>
        <v/>
      </c>
    </row>
    <row r="240">
      <c r="A240">
        <f>IF(AND(LEN('Assets'!A240)&gt;0,ISNUMBER('Assets'!G240)),'Assets'!G240+237/100000,"")</f>
        <v/>
      </c>
      <c r="B240">
        <f>IF(AND(LEN('Assets'!A240)&gt;0,ISNUMBER('Assets'!G240)),MAX($B$3:B239)+1,"")</f>
        <v/>
      </c>
      <c r="E240">
        <f>IFERROR(MATCH(237,$B$4:$B$503,0),"")</f>
        <v/>
      </c>
    </row>
    <row r="241">
      <c r="A241">
        <f>IF(AND(LEN('Assets'!A241)&gt;0,ISNUMBER('Assets'!G241)),'Assets'!G241+238/100000,"")</f>
        <v/>
      </c>
      <c r="B241">
        <f>IF(AND(LEN('Assets'!A241)&gt;0,ISNUMBER('Assets'!G241)),MAX($B$3:B240)+1,"")</f>
        <v/>
      </c>
      <c r="E241">
        <f>IFERROR(MATCH(238,$B$4:$B$503,0),"")</f>
        <v/>
      </c>
    </row>
    <row r="242">
      <c r="A242">
        <f>IF(AND(LEN('Assets'!A242)&gt;0,ISNUMBER('Assets'!G242)),'Assets'!G242+239/100000,"")</f>
        <v/>
      </c>
      <c r="B242">
        <f>IF(AND(LEN('Assets'!A242)&gt;0,ISNUMBER('Assets'!G242)),MAX($B$3:B241)+1,"")</f>
        <v/>
      </c>
      <c r="E242">
        <f>IFERROR(MATCH(239,$B$4:$B$503,0),"")</f>
        <v/>
      </c>
    </row>
    <row r="243">
      <c r="A243">
        <f>IF(AND(LEN('Assets'!A243)&gt;0,ISNUMBER('Assets'!G243)),'Assets'!G243+240/100000,"")</f>
        <v/>
      </c>
      <c r="B243">
        <f>IF(AND(LEN('Assets'!A243)&gt;0,ISNUMBER('Assets'!G243)),MAX($B$3:B242)+1,"")</f>
        <v/>
      </c>
      <c r="E243">
        <f>IFERROR(MATCH(240,$B$4:$B$503,0),"")</f>
        <v/>
      </c>
    </row>
    <row r="244">
      <c r="A244">
        <f>IF(AND(LEN('Assets'!A244)&gt;0,ISNUMBER('Assets'!G244)),'Assets'!G244+241/100000,"")</f>
        <v/>
      </c>
      <c r="B244">
        <f>IF(AND(LEN('Assets'!A244)&gt;0,ISNUMBER('Assets'!G244)),MAX($B$3:B243)+1,"")</f>
        <v/>
      </c>
      <c r="E244">
        <f>IFERROR(MATCH(241,$B$4:$B$503,0),"")</f>
        <v/>
      </c>
    </row>
    <row r="245">
      <c r="A245">
        <f>IF(AND(LEN('Assets'!A245)&gt;0,ISNUMBER('Assets'!G245)),'Assets'!G245+242/100000,"")</f>
        <v/>
      </c>
      <c r="B245">
        <f>IF(AND(LEN('Assets'!A245)&gt;0,ISNUMBER('Assets'!G245)),MAX($B$3:B244)+1,"")</f>
        <v/>
      </c>
      <c r="E245">
        <f>IFERROR(MATCH(242,$B$4:$B$503,0),"")</f>
        <v/>
      </c>
    </row>
    <row r="246">
      <c r="A246">
        <f>IF(AND(LEN('Assets'!A246)&gt;0,ISNUMBER('Assets'!G246)),'Assets'!G246+243/100000,"")</f>
        <v/>
      </c>
      <c r="B246">
        <f>IF(AND(LEN('Assets'!A246)&gt;0,ISNUMBER('Assets'!G246)),MAX($B$3:B245)+1,"")</f>
        <v/>
      </c>
      <c r="E246">
        <f>IFERROR(MATCH(243,$B$4:$B$503,0),"")</f>
        <v/>
      </c>
    </row>
    <row r="247">
      <c r="A247">
        <f>IF(AND(LEN('Assets'!A247)&gt;0,ISNUMBER('Assets'!G247)),'Assets'!G247+244/100000,"")</f>
        <v/>
      </c>
      <c r="B247">
        <f>IF(AND(LEN('Assets'!A247)&gt;0,ISNUMBER('Assets'!G247)),MAX($B$3:B246)+1,"")</f>
        <v/>
      </c>
      <c r="E247">
        <f>IFERROR(MATCH(244,$B$4:$B$503,0),"")</f>
        <v/>
      </c>
    </row>
    <row r="248">
      <c r="A248">
        <f>IF(AND(LEN('Assets'!A248)&gt;0,ISNUMBER('Assets'!G248)),'Assets'!G248+245/100000,"")</f>
        <v/>
      </c>
      <c r="B248">
        <f>IF(AND(LEN('Assets'!A248)&gt;0,ISNUMBER('Assets'!G248)),MAX($B$3:B247)+1,"")</f>
        <v/>
      </c>
      <c r="E248">
        <f>IFERROR(MATCH(245,$B$4:$B$503,0),"")</f>
        <v/>
      </c>
    </row>
    <row r="249">
      <c r="A249">
        <f>IF(AND(LEN('Assets'!A249)&gt;0,ISNUMBER('Assets'!G249)),'Assets'!G249+246/100000,"")</f>
        <v/>
      </c>
      <c r="B249">
        <f>IF(AND(LEN('Assets'!A249)&gt;0,ISNUMBER('Assets'!G249)),MAX($B$3:B248)+1,"")</f>
        <v/>
      </c>
      <c r="E249">
        <f>IFERROR(MATCH(246,$B$4:$B$503,0),"")</f>
        <v/>
      </c>
    </row>
    <row r="250">
      <c r="A250">
        <f>IF(AND(LEN('Assets'!A250)&gt;0,ISNUMBER('Assets'!G250)),'Assets'!G250+247/100000,"")</f>
        <v/>
      </c>
      <c r="B250">
        <f>IF(AND(LEN('Assets'!A250)&gt;0,ISNUMBER('Assets'!G250)),MAX($B$3:B249)+1,"")</f>
        <v/>
      </c>
      <c r="E250">
        <f>IFERROR(MATCH(247,$B$4:$B$503,0),"")</f>
        <v/>
      </c>
    </row>
    <row r="251">
      <c r="A251">
        <f>IF(AND(LEN('Assets'!A251)&gt;0,ISNUMBER('Assets'!G251)),'Assets'!G251+248/100000,"")</f>
        <v/>
      </c>
      <c r="B251">
        <f>IF(AND(LEN('Assets'!A251)&gt;0,ISNUMBER('Assets'!G251)),MAX($B$3:B250)+1,"")</f>
        <v/>
      </c>
      <c r="E251">
        <f>IFERROR(MATCH(248,$B$4:$B$503,0),"")</f>
        <v/>
      </c>
    </row>
    <row r="252">
      <c r="A252">
        <f>IF(AND(LEN('Assets'!A252)&gt;0,ISNUMBER('Assets'!G252)),'Assets'!G252+249/100000,"")</f>
        <v/>
      </c>
      <c r="B252">
        <f>IF(AND(LEN('Assets'!A252)&gt;0,ISNUMBER('Assets'!G252)),MAX($B$3:B251)+1,"")</f>
        <v/>
      </c>
      <c r="E252">
        <f>IFERROR(MATCH(249,$B$4:$B$503,0),"")</f>
        <v/>
      </c>
    </row>
    <row r="253">
      <c r="A253">
        <f>IF(AND(LEN('Assets'!A253)&gt;0,ISNUMBER('Assets'!G253)),'Assets'!G253+250/100000,"")</f>
        <v/>
      </c>
      <c r="B253">
        <f>IF(AND(LEN('Assets'!A253)&gt;0,ISNUMBER('Assets'!G253)),MAX($B$3:B252)+1,"")</f>
        <v/>
      </c>
      <c r="E253">
        <f>IFERROR(MATCH(250,$B$4:$B$503,0),"")</f>
        <v/>
      </c>
    </row>
    <row r="254">
      <c r="A254">
        <f>IF(AND(LEN('Assets'!A254)&gt;0,ISNUMBER('Assets'!G254)),'Assets'!G254+251/100000,"")</f>
        <v/>
      </c>
      <c r="B254">
        <f>IF(AND(LEN('Assets'!A254)&gt;0,ISNUMBER('Assets'!G254)),MAX($B$3:B253)+1,"")</f>
        <v/>
      </c>
      <c r="E254">
        <f>IFERROR(MATCH(251,$B$4:$B$503,0),"")</f>
        <v/>
      </c>
    </row>
    <row r="255">
      <c r="A255">
        <f>IF(AND(LEN('Assets'!A255)&gt;0,ISNUMBER('Assets'!G255)),'Assets'!G255+252/100000,"")</f>
        <v/>
      </c>
      <c r="B255">
        <f>IF(AND(LEN('Assets'!A255)&gt;0,ISNUMBER('Assets'!G255)),MAX($B$3:B254)+1,"")</f>
        <v/>
      </c>
      <c r="E255">
        <f>IFERROR(MATCH(252,$B$4:$B$503,0),"")</f>
        <v/>
      </c>
    </row>
    <row r="256">
      <c r="A256">
        <f>IF(AND(LEN('Assets'!A256)&gt;0,ISNUMBER('Assets'!G256)),'Assets'!G256+253/100000,"")</f>
        <v/>
      </c>
      <c r="B256">
        <f>IF(AND(LEN('Assets'!A256)&gt;0,ISNUMBER('Assets'!G256)),MAX($B$3:B255)+1,"")</f>
        <v/>
      </c>
      <c r="E256">
        <f>IFERROR(MATCH(253,$B$4:$B$503,0),"")</f>
        <v/>
      </c>
    </row>
    <row r="257">
      <c r="A257">
        <f>IF(AND(LEN('Assets'!A257)&gt;0,ISNUMBER('Assets'!G257)),'Assets'!G257+254/100000,"")</f>
        <v/>
      </c>
      <c r="B257">
        <f>IF(AND(LEN('Assets'!A257)&gt;0,ISNUMBER('Assets'!G257)),MAX($B$3:B256)+1,"")</f>
        <v/>
      </c>
      <c r="E257">
        <f>IFERROR(MATCH(254,$B$4:$B$503,0),"")</f>
        <v/>
      </c>
    </row>
    <row r="258">
      <c r="A258">
        <f>IF(AND(LEN('Assets'!A258)&gt;0,ISNUMBER('Assets'!G258)),'Assets'!G258+255/100000,"")</f>
        <v/>
      </c>
      <c r="B258">
        <f>IF(AND(LEN('Assets'!A258)&gt;0,ISNUMBER('Assets'!G258)),MAX($B$3:B257)+1,"")</f>
        <v/>
      </c>
      <c r="E258">
        <f>IFERROR(MATCH(255,$B$4:$B$503,0),"")</f>
        <v/>
      </c>
    </row>
    <row r="259">
      <c r="A259">
        <f>IF(AND(LEN('Assets'!A259)&gt;0,ISNUMBER('Assets'!G259)),'Assets'!G259+256/100000,"")</f>
        <v/>
      </c>
      <c r="B259">
        <f>IF(AND(LEN('Assets'!A259)&gt;0,ISNUMBER('Assets'!G259)),MAX($B$3:B258)+1,"")</f>
        <v/>
      </c>
      <c r="E259">
        <f>IFERROR(MATCH(256,$B$4:$B$503,0),"")</f>
        <v/>
      </c>
    </row>
    <row r="260">
      <c r="A260">
        <f>IF(AND(LEN('Assets'!A260)&gt;0,ISNUMBER('Assets'!G260)),'Assets'!G260+257/100000,"")</f>
        <v/>
      </c>
      <c r="B260">
        <f>IF(AND(LEN('Assets'!A260)&gt;0,ISNUMBER('Assets'!G260)),MAX($B$3:B259)+1,"")</f>
        <v/>
      </c>
      <c r="E260">
        <f>IFERROR(MATCH(257,$B$4:$B$503,0),"")</f>
        <v/>
      </c>
    </row>
    <row r="261">
      <c r="A261">
        <f>IF(AND(LEN('Assets'!A261)&gt;0,ISNUMBER('Assets'!G261)),'Assets'!G261+258/100000,"")</f>
        <v/>
      </c>
      <c r="B261">
        <f>IF(AND(LEN('Assets'!A261)&gt;0,ISNUMBER('Assets'!G261)),MAX($B$3:B260)+1,"")</f>
        <v/>
      </c>
      <c r="E261">
        <f>IFERROR(MATCH(258,$B$4:$B$503,0),"")</f>
        <v/>
      </c>
    </row>
    <row r="262">
      <c r="A262">
        <f>IF(AND(LEN('Assets'!A262)&gt;0,ISNUMBER('Assets'!G262)),'Assets'!G262+259/100000,"")</f>
        <v/>
      </c>
      <c r="B262">
        <f>IF(AND(LEN('Assets'!A262)&gt;0,ISNUMBER('Assets'!G262)),MAX($B$3:B261)+1,"")</f>
        <v/>
      </c>
      <c r="E262">
        <f>IFERROR(MATCH(259,$B$4:$B$503,0),"")</f>
        <v/>
      </c>
    </row>
    <row r="263">
      <c r="A263">
        <f>IF(AND(LEN('Assets'!A263)&gt;0,ISNUMBER('Assets'!G263)),'Assets'!G263+260/100000,"")</f>
        <v/>
      </c>
      <c r="B263">
        <f>IF(AND(LEN('Assets'!A263)&gt;0,ISNUMBER('Assets'!G263)),MAX($B$3:B262)+1,"")</f>
        <v/>
      </c>
      <c r="E263">
        <f>IFERROR(MATCH(260,$B$4:$B$503,0),"")</f>
        <v/>
      </c>
    </row>
    <row r="264">
      <c r="A264">
        <f>IF(AND(LEN('Assets'!A264)&gt;0,ISNUMBER('Assets'!G264)),'Assets'!G264+261/100000,"")</f>
        <v/>
      </c>
      <c r="B264">
        <f>IF(AND(LEN('Assets'!A264)&gt;0,ISNUMBER('Assets'!G264)),MAX($B$3:B263)+1,"")</f>
        <v/>
      </c>
      <c r="E264">
        <f>IFERROR(MATCH(261,$B$4:$B$503,0),"")</f>
        <v/>
      </c>
    </row>
    <row r="265">
      <c r="A265">
        <f>IF(AND(LEN('Assets'!A265)&gt;0,ISNUMBER('Assets'!G265)),'Assets'!G265+262/100000,"")</f>
        <v/>
      </c>
      <c r="B265">
        <f>IF(AND(LEN('Assets'!A265)&gt;0,ISNUMBER('Assets'!G265)),MAX($B$3:B264)+1,"")</f>
        <v/>
      </c>
      <c r="E265">
        <f>IFERROR(MATCH(262,$B$4:$B$503,0),"")</f>
        <v/>
      </c>
    </row>
    <row r="266">
      <c r="A266">
        <f>IF(AND(LEN('Assets'!A266)&gt;0,ISNUMBER('Assets'!G266)),'Assets'!G266+263/100000,"")</f>
        <v/>
      </c>
      <c r="B266">
        <f>IF(AND(LEN('Assets'!A266)&gt;0,ISNUMBER('Assets'!G266)),MAX($B$3:B265)+1,"")</f>
        <v/>
      </c>
      <c r="E266">
        <f>IFERROR(MATCH(263,$B$4:$B$503,0),"")</f>
        <v/>
      </c>
    </row>
    <row r="267">
      <c r="A267">
        <f>IF(AND(LEN('Assets'!A267)&gt;0,ISNUMBER('Assets'!G267)),'Assets'!G267+264/100000,"")</f>
        <v/>
      </c>
      <c r="B267">
        <f>IF(AND(LEN('Assets'!A267)&gt;0,ISNUMBER('Assets'!G267)),MAX($B$3:B266)+1,"")</f>
        <v/>
      </c>
      <c r="E267">
        <f>IFERROR(MATCH(264,$B$4:$B$503,0),"")</f>
        <v/>
      </c>
    </row>
    <row r="268">
      <c r="A268">
        <f>IF(AND(LEN('Assets'!A268)&gt;0,ISNUMBER('Assets'!G268)),'Assets'!G268+265/100000,"")</f>
        <v/>
      </c>
      <c r="B268">
        <f>IF(AND(LEN('Assets'!A268)&gt;0,ISNUMBER('Assets'!G268)),MAX($B$3:B267)+1,"")</f>
        <v/>
      </c>
      <c r="E268">
        <f>IFERROR(MATCH(265,$B$4:$B$503,0),"")</f>
        <v/>
      </c>
    </row>
    <row r="269">
      <c r="A269">
        <f>IF(AND(LEN('Assets'!A269)&gt;0,ISNUMBER('Assets'!G269)),'Assets'!G269+266/100000,"")</f>
        <v/>
      </c>
      <c r="B269">
        <f>IF(AND(LEN('Assets'!A269)&gt;0,ISNUMBER('Assets'!G269)),MAX($B$3:B268)+1,"")</f>
        <v/>
      </c>
      <c r="E269">
        <f>IFERROR(MATCH(266,$B$4:$B$503,0),"")</f>
        <v/>
      </c>
    </row>
    <row r="270">
      <c r="A270">
        <f>IF(AND(LEN('Assets'!A270)&gt;0,ISNUMBER('Assets'!G270)),'Assets'!G270+267/100000,"")</f>
        <v/>
      </c>
      <c r="B270">
        <f>IF(AND(LEN('Assets'!A270)&gt;0,ISNUMBER('Assets'!G270)),MAX($B$3:B269)+1,"")</f>
        <v/>
      </c>
      <c r="E270">
        <f>IFERROR(MATCH(267,$B$4:$B$503,0),"")</f>
        <v/>
      </c>
    </row>
    <row r="271">
      <c r="A271">
        <f>IF(AND(LEN('Assets'!A271)&gt;0,ISNUMBER('Assets'!G271)),'Assets'!G271+268/100000,"")</f>
        <v/>
      </c>
      <c r="B271">
        <f>IF(AND(LEN('Assets'!A271)&gt;0,ISNUMBER('Assets'!G271)),MAX($B$3:B270)+1,"")</f>
        <v/>
      </c>
      <c r="E271">
        <f>IFERROR(MATCH(268,$B$4:$B$503,0),"")</f>
        <v/>
      </c>
    </row>
    <row r="272">
      <c r="A272">
        <f>IF(AND(LEN('Assets'!A272)&gt;0,ISNUMBER('Assets'!G272)),'Assets'!G272+269/100000,"")</f>
        <v/>
      </c>
      <c r="B272">
        <f>IF(AND(LEN('Assets'!A272)&gt;0,ISNUMBER('Assets'!G272)),MAX($B$3:B271)+1,"")</f>
        <v/>
      </c>
      <c r="E272">
        <f>IFERROR(MATCH(269,$B$4:$B$503,0),"")</f>
        <v/>
      </c>
    </row>
    <row r="273">
      <c r="A273">
        <f>IF(AND(LEN('Assets'!A273)&gt;0,ISNUMBER('Assets'!G273)),'Assets'!G273+270/100000,"")</f>
        <v/>
      </c>
      <c r="B273">
        <f>IF(AND(LEN('Assets'!A273)&gt;0,ISNUMBER('Assets'!G273)),MAX($B$3:B272)+1,"")</f>
        <v/>
      </c>
      <c r="E273">
        <f>IFERROR(MATCH(270,$B$4:$B$503,0),"")</f>
        <v/>
      </c>
    </row>
    <row r="274">
      <c r="A274">
        <f>IF(AND(LEN('Assets'!A274)&gt;0,ISNUMBER('Assets'!G274)),'Assets'!G274+271/100000,"")</f>
        <v/>
      </c>
      <c r="B274">
        <f>IF(AND(LEN('Assets'!A274)&gt;0,ISNUMBER('Assets'!G274)),MAX($B$3:B273)+1,"")</f>
        <v/>
      </c>
      <c r="E274">
        <f>IFERROR(MATCH(271,$B$4:$B$503,0),"")</f>
        <v/>
      </c>
    </row>
    <row r="275">
      <c r="A275">
        <f>IF(AND(LEN('Assets'!A275)&gt;0,ISNUMBER('Assets'!G275)),'Assets'!G275+272/100000,"")</f>
        <v/>
      </c>
      <c r="B275">
        <f>IF(AND(LEN('Assets'!A275)&gt;0,ISNUMBER('Assets'!G275)),MAX($B$3:B274)+1,"")</f>
        <v/>
      </c>
      <c r="E275">
        <f>IFERROR(MATCH(272,$B$4:$B$503,0),"")</f>
        <v/>
      </c>
    </row>
    <row r="276">
      <c r="A276">
        <f>IF(AND(LEN('Assets'!A276)&gt;0,ISNUMBER('Assets'!G276)),'Assets'!G276+273/100000,"")</f>
        <v/>
      </c>
      <c r="B276">
        <f>IF(AND(LEN('Assets'!A276)&gt;0,ISNUMBER('Assets'!G276)),MAX($B$3:B275)+1,"")</f>
        <v/>
      </c>
      <c r="E276">
        <f>IFERROR(MATCH(273,$B$4:$B$503,0),"")</f>
        <v/>
      </c>
    </row>
    <row r="277">
      <c r="A277">
        <f>IF(AND(LEN('Assets'!A277)&gt;0,ISNUMBER('Assets'!G277)),'Assets'!G277+274/100000,"")</f>
        <v/>
      </c>
      <c r="B277">
        <f>IF(AND(LEN('Assets'!A277)&gt;0,ISNUMBER('Assets'!G277)),MAX($B$3:B276)+1,"")</f>
        <v/>
      </c>
      <c r="E277">
        <f>IFERROR(MATCH(274,$B$4:$B$503,0),"")</f>
        <v/>
      </c>
    </row>
    <row r="278">
      <c r="A278">
        <f>IF(AND(LEN('Assets'!A278)&gt;0,ISNUMBER('Assets'!G278)),'Assets'!G278+275/100000,"")</f>
        <v/>
      </c>
      <c r="B278">
        <f>IF(AND(LEN('Assets'!A278)&gt;0,ISNUMBER('Assets'!G278)),MAX($B$3:B277)+1,"")</f>
        <v/>
      </c>
      <c r="E278">
        <f>IFERROR(MATCH(275,$B$4:$B$503,0),"")</f>
        <v/>
      </c>
    </row>
    <row r="279">
      <c r="A279">
        <f>IF(AND(LEN('Assets'!A279)&gt;0,ISNUMBER('Assets'!G279)),'Assets'!G279+276/100000,"")</f>
        <v/>
      </c>
      <c r="B279">
        <f>IF(AND(LEN('Assets'!A279)&gt;0,ISNUMBER('Assets'!G279)),MAX($B$3:B278)+1,"")</f>
        <v/>
      </c>
      <c r="E279">
        <f>IFERROR(MATCH(276,$B$4:$B$503,0),"")</f>
        <v/>
      </c>
    </row>
    <row r="280">
      <c r="A280">
        <f>IF(AND(LEN('Assets'!A280)&gt;0,ISNUMBER('Assets'!G280)),'Assets'!G280+277/100000,"")</f>
        <v/>
      </c>
      <c r="B280">
        <f>IF(AND(LEN('Assets'!A280)&gt;0,ISNUMBER('Assets'!G280)),MAX($B$3:B279)+1,"")</f>
        <v/>
      </c>
      <c r="E280">
        <f>IFERROR(MATCH(277,$B$4:$B$503,0),"")</f>
        <v/>
      </c>
    </row>
    <row r="281">
      <c r="A281">
        <f>IF(AND(LEN('Assets'!A281)&gt;0,ISNUMBER('Assets'!G281)),'Assets'!G281+278/100000,"")</f>
        <v/>
      </c>
      <c r="B281">
        <f>IF(AND(LEN('Assets'!A281)&gt;0,ISNUMBER('Assets'!G281)),MAX($B$3:B280)+1,"")</f>
        <v/>
      </c>
      <c r="E281">
        <f>IFERROR(MATCH(278,$B$4:$B$503,0),"")</f>
        <v/>
      </c>
    </row>
    <row r="282">
      <c r="A282">
        <f>IF(AND(LEN('Assets'!A282)&gt;0,ISNUMBER('Assets'!G282)),'Assets'!G282+279/100000,"")</f>
        <v/>
      </c>
      <c r="B282">
        <f>IF(AND(LEN('Assets'!A282)&gt;0,ISNUMBER('Assets'!G282)),MAX($B$3:B281)+1,"")</f>
        <v/>
      </c>
      <c r="E282">
        <f>IFERROR(MATCH(279,$B$4:$B$503,0),"")</f>
        <v/>
      </c>
    </row>
    <row r="283">
      <c r="A283">
        <f>IF(AND(LEN('Assets'!A283)&gt;0,ISNUMBER('Assets'!G283)),'Assets'!G283+280/100000,"")</f>
        <v/>
      </c>
      <c r="B283">
        <f>IF(AND(LEN('Assets'!A283)&gt;0,ISNUMBER('Assets'!G283)),MAX($B$3:B282)+1,"")</f>
        <v/>
      </c>
      <c r="E283">
        <f>IFERROR(MATCH(280,$B$4:$B$503,0),"")</f>
        <v/>
      </c>
    </row>
    <row r="284">
      <c r="A284">
        <f>IF(AND(LEN('Assets'!A284)&gt;0,ISNUMBER('Assets'!G284)),'Assets'!G284+281/100000,"")</f>
        <v/>
      </c>
      <c r="B284">
        <f>IF(AND(LEN('Assets'!A284)&gt;0,ISNUMBER('Assets'!G284)),MAX($B$3:B283)+1,"")</f>
        <v/>
      </c>
      <c r="E284">
        <f>IFERROR(MATCH(281,$B$4:$B$503,0),"")</f>
        <v/>
      </c>
    </row>
    <row r="285">
      <c r="A285">
        <f>IF(AND(LEN('Assets'!A285)&gt;0,ISNUMBER('Assets'!G285)),'Assets'!G285+282/100000,"")</f>
        <v/>
      </c>
      <c r="B285">
        <f>IF(AND(LEN('Assets'!A285)&gt;0,ISNUMBER('Assets'!G285)),MAX($B$3:B284)+1,"")</f>
        <v/>
      </c>
      <c r="E285">
        <f>IFERROR(MATCH(282,$B$4:$B$503,0),"")</f>
        <v/>
      </c>
    </row>
    <row r="286">
      <c r="A286">
        <f>IF(AND(LEN('Assets'!A286)&gt;0,ISNUMBER('Assets'!G286)),'Assets'!G286+283/100000,"")</f>
        <v/>
      </c>
      <c r="B286">
        <f>IF(AND(LEN('Assets'!A286)&gt;0,ISNUMBER('Assets'!G286)),MAX($B$3:B285)+1,"")</f>
        <v/>
      </c>
      <c r="E286">
        <f>IFERROR(MATCH(283,$B$4:$B$503,0),"")</f>
        <v/>
      </c>
    </row>
    <row r="287">
      <c r="A287">
        <f>IF(AND(LEN('Assets'!A287)&gt;0,ISNUMBER('Assets'!G287)),'Assets'!G287+284/100000,"")</f>
        <v/>
      </c>
      <c r="B287">
        <f>IF(AND(LEN('Assets'!A287)&gt;0,ISNUMBER('Assets'!G287)),MAX($B$3:B286)+1,"")</f>
        <v/>
      </c>
      <c r="E287">
        <f>IFERROR(MATCH(284,$B$4:$B$503,0),"")</f>
        <v/>
      </c>
    </row>
    <row r="288">
      <c r="A288">
        <f>IF(AND(LEN('Assets'!A288)&gt;0,ISNUMBER('Assets'!G288)),'Assets'!G288+285/100000,"")</f>
        <v/>
      </c>
      <c r="B288">
        <f>IF(AND(LEN('Assets'!A288)&gt;0,ISNUMBER('Assets'!G288)),MAX($B$3:B287)+1,"")</f>
        <v/>
      </c>
      <c r="E288">
        <f>IFERROR(MATCH(285,$B$4:$B$503,0),"")</f>
        <v/>
      </c>
    </row>
    <row r="289">
      <c r="A289">
        <f>IF(AND(LEN('Assets'!A289)&gt;0,ISNUMBER('Assets'!G289)),'Assets'!G289+286/100000,"")</f>
        <v/>
      </c>
      <c r="B289">
        <f>IF(AND(LEN('Assets'!A289)&gt;0,ISNUMBER('Assets'!G289)),MAX($B$3:B288)+1,"")</f>
        <v/>
      </c>
      <c r="E289">
        <f>IFERROR(MATCH(286,$B$4:$B$503,0),"")</f>
        <v/>
      </c>
    </row>
    <row r="290">
      <c r="A290">
        <f>IF(AND(LEN('Assets'!A290)&gt;0,ISNUMBER('Assets'!G290)),'Assets'!G290+287/100000,"")</f>
        <v/>
      </c>
      <c r="B290">
        <f>IF(AND(LEN('Assets'!A290)&gt;0,ISNUMBER('Assets'!G290)),MAX($B$3:B289)+1,"")</f>
        <v/>
      </c>
      <c r="E290">
        <f>IFERROR(MATCH(287,$B$4:$B$503,0),"")</f>
        <v/>
      </c>
    </row>
    <row r="291">
      <c r="A291">
        <f>IF(AND(LEN('Assets'!A291)&gt;0,ISNUMBER('Assets'!G291)),'Assets'!G291+288/100000,"")</f>
        <v/>
      </c>
      <c r="B291">
        <f>IF(AND(LEN('Assets'!A291)&gt;0,ISNUMBER('Assets'!G291)),MAX($B$3:B290)+1,"")</f>
        <v/>
      </c>
      <c r="E291">
        <f>IFERROR(MATCH(288,$B$4:$B$503,0),"")</f>
        <v/>
      </c>
    </row>
    <row r="292">
      <c r="A292">
        <f>IF(AND(LEN('Assets'!A292)&gt;0,ISNUMBER('Assets'!G292)),'Assets'!G292+289/100000,"")</f>
        <v/>
      </c>
      <c r="B292">
        <f>IF(AND(LEN('Assets'!A292)&gt;0,ISNUMBER('Assets'!G292)),MAX($B$3:B291)+1,"")</f>
        <v/>
      </c>
      <c r="E292">
        <f>IFERROR(MATCH(289,$B$4:$B$503,0),"")</f>
        <v/>
      </c>
    </row>
    <row r="293">
      <c r="A293">
        <f>IF(AND(LEN('Assets'!A293)&gt;0,ISNUMBER('Assets'!G293)),'Assets'!G293+290/100000,"")</f>
        <v/>
      </c>
      <c r="B293">
        <f>IF(AND(LEN('Assets'!A293)&gt;0,ISNUMBER('Assets'!G293)),MAX($B$3:B292)+1,"")</f>
        <v/>
      </c>
      <c r="E293">
        <f>IFERROR(MATCH(290,$B$4:$B$503,0),"")</f>
        <v/>
      </c>
    </row>
    <row r="294">
      <c r="A294">
        <f>IF(AND(LEN('Assets'!A294)&gt;0,ISNUMBER('Assets'!G294)),'Assets'!G294+291/100000,"")</f>
        <v/>
      </c>
      <c r="B294">
        <f>IF(AND(LEN('Assets'!A294)&gt;0,ISNUMBER('Assets'!G294)),MAX($B$3:B293)+1,"")</f>
        <v/>
      </c>
      <c r="E294">
        <f>IFERROR(MATCH(291,$B$4:$B$503,0),"")</f>
        <v/>
      </c>
    </row>
    <row r="295">
      <c r="A295">
        <f>IF(AND(LEN('Assets'!A295)&gt;0,ISNUMBER('Assets'!G295)),'Assets'!G295+292/100000,"")</f>
        <v/>
      </c>
      <c r="B295">
        <f>IF(AND(LEN('Assets'!A295)&gt;0,ISNUMBER('Assets'!G295)),MAX($B$3:B294)+1,"")</f>
        <v/>
      </c>
      <c r="E295">
        <f>IFERROR(MATCH(292,$B$4:$B$503,0),"")</f>
        <v/>
      </c>
    </row>
    <row r="296">
      <c r="A296">
        <f>IF(AND(LEN('Assets'!A296)&gt;0,ISNUMBER('Assets'!G296)),'Assets'!G296+293/100000,"")</f>
        <v/>
      </c>
      <c r="B296">
        <f>IF(AND(LEN('Assets'!A296)&gt;0,ISNUMBER('Assets'!G296)),MAX($B$3:B295)+1,"")</f>
        <v/>
      </c>
      <c r="E296">
        <f>IFERROR(MATCH(293,$B$4:$B$503,0),"")</f>
        <v/>
      </c>
    </row>
    <row r="297">
      <c r="A297">
        <f>IF(AND(LEN('Assets'!A297)&gt;0,ISNUMBER('Assets'!G297)),'Assets'!G297+294/100000,"")</f>
        <v/>
      </c>
      <c r="B297">
        <f>IF(AND(LEN('Assets'!A297)&gt;0,ISNUMBER('Assets'!G297)),MAX($B$3:B296)+1,"")</f>
        <v/>
      </c>
      <c r="E297">
        <f>IFERROR(MATCH(294,$B$4:$B$503,0),"")</f>
        <v/>
      </c>
    </row>
    <row r="298">
      <c r="A298">
        <f>IF(AND(LEN('Assets'!A298)&gt;0,ISNUMBER('Assets'!G298)),'Assets'!G298+295/100000,"")</f>
        <v/>
      </c>
      <c r="B298">
        <f>IF(AND(LEN('Assets'!A298)&gt;0,ISNUMBER('Assets'!G298)),MAX($B$3:B297)+1,"")</f>
        <v/>
      </c>
      <c r="E298">
        <f>IFERROR(MATCH(295,$B$4:$B$503,0),"")</f>
        <v/>
      </c>
    </row>
    <row r="299">
      <c r="A299">
        <f>IF(AND(LEN('Assets'!A299)&gt;0,ISNUMBER('Assets'!G299)),'Assets'!G299+296/100000,"")</f>
        <v/>
      </c>
      <c r="B299">
        <f>IF(AND(LEN('Assets'!A299)&gt;0,ISNUMBER('Assets'!G299)),MAX($B$3:B298)+1,"")</f>
        <v/>
      </c>
      <c r="E299">
        <f>IFERROR(MATCH(296,$B$4:$B$503,0),"")</f>
        <v/>
      </c>
    </row>
    <row r="300">
      <c r="A300">
        <f>IF(AND(LEN('Assets'!A300)&gt;0,ISNUMBER('Assets'!G300)),'Assets'!G300+297/100000,"")</f>
        <v/>
      </c>
      <c r="B300">
        <f>IF(AND(LEN('Assets'!A300)&gt;0,ISNUMBER('Assets'!G300)),MAX($B$3:B299)+1,"")</f>
        <v/>
      </c>
      <c r="E300">
        <f>IFERROR(MATCH(297,$B$4:$B$503,0),"")</f>
        <v/>
      </c>
    </row>
    <row r="301">
      <c r="A301">
        <f>IF(AND(LEN('Assets'!A301)&gt;0,ISNUMBER('Assets'!G301)),'Assets'!G301+298/100000,"")</f>
        <v/>
      </c>
      <c r="B301">
        <f>IF(AND(LEN('Assets'!A301)&gt;0,ISNUMBER('Assets'!G301)),MAX($B$3:B300)+1,"")</f>
        <v/>
      </c>
      <c r="E301">
        <f>IFERROR(MATCH(298,$B$4:$B$503,0),"")</f>
        <v/>
      </c>
    </row>
    <row r="302">
      <c r="A302">
        <f>IF(AND(LEN('Assets'!A302)&gt;0,ISNUMBER('Assets'!G302)),'Assets'!G302+299/100000,"")</f>
        <v/>
      </c>
      <c r="B302">
        <f>IF(AND(LEN('Assets'!A302)&gt;0,ISNUMBER('Assets'!G302)),MAX($B$3:B301)+1,"")</f>
        <v/>
      </c>
      <c r="E302">
        <f>IFERROR(MATCH(299,$B$4:$B$503,0),"")</f>
        <v/>
      </c>
    </row>
    <row r="303">
      <c r="A303">
        <f>IF(AND(LEN('Assets'!A303)&gt;0,ISNUMBER('Assets'!G303)),'Assets'!G303+300/100000,"")</f>
        <v/>
      </c>
      <c r="B303">
        <f>IF(AND(LEN('Assets'!A303)&gt;0,ISNUMBER('Assets'!G303)),MAX($B$3:B302)+1,"")</f>
        <v/>
      </c>
      <c r="E303">
        <f>IFERROR(MATCH(300,$B$4:$B$503,0),"")</f>
        <v/>
      </c>
    </row>
    <row r="304">
      <c r="A304">
        <f>IF(AND(LEN('Assets'!A304)&gt;0,ISNUMBER('Assets'!G304)),'Assets'!G304+301/100000,"")</f>
        <v/>
      </c>
      <c r="B304">
        <f>IF(AND(LEN('Assets'!A304)&gt;0,ISNUMBER('Assets'!G304)),MAX($B$3:B303)+1,"")</f>
        <v/>
      </c>
      <c r="E304">
        <f>IFERROR(MATCH(301,$B$4:$B$503,0),"")</f>
        <v/>
      </c>
    </row>
    <row r="305">
      <c r="A305">
        <f>IF(AND(LEN('Assets'!A305)&gt;0,ISNUMBER('Assets'!G305)),'Assets'!G305+302/100000,"")</f>
        <v/>
      </c>
      <c r="B305">
        <f>IF(AND(LEN('Assets'!A305)&gt;0,ISNUMBER('Assets'!G305)),MAX($B$3:B304)+1,"")</f>
        <v/>
      </c>
      <c r="E305">
        <f>IFERROR(MATCH(302,$B$4:$B$503,0),"")</f>
        <v/>
      </c>
    </row>
    <row r="306">
      <c r="A306">
        <f>IF(AND(LEN('Assets'!A306)&gt;0,ISNUMBER('Assets'!G306)),'Assets'!G306+303/100000,"")</f>
        <v/>
      </c>
      <c r="B306">
        <f>IF(AND(LEN('Assets'!A306)&gt;0,ISNUMBER('Assets'!G306)),MAX($B$3:B305)+1,"")</f>
        <v/>
      </c>
      <c r="E306">
        <f>IFERROR(MATCH(303,$B$4:$B$503,0),"")</f>
        <v/>
      </c>
    </row>
    <row r="307">
      <c r="A307">
        <f>IF(AND(LEN('Assets'!A307)&gt;0,ISNUMBER('Assets'!G307)),'Assets'!G307+304/100000,"")</f>
        <v/>
      </c>
      <c r="B307">
        <f>IF(AND(LEN('Assets'!A307)&gt;0,ISNUMBER('Assets'!G307)),MAX($B$3:B306)+1,"")</f>
        <v/>
      </c>
      <c r="E307">
        <f>IFERROR(MATCH(304,$B$4:$B$503,0),"")</f>
        <v/>
      </c>
    </row>
    <row r="308">
      <c r="A308">
        <f>IF(AND(LEN('Assets'!A308)&gt;0,ISNUMBER('Assets'!G308)),'Assets'!G308+305/100000,"")</f>
        <v/>
      </c>
      <c r="B308">
        <f>IF(AND(LEN('Assets'!A308)&gt;0,ISNUMBER('Assets'!G308)),MAX($B$3:B307)+1,"")</f>
        <v/>
      </c>
      <c r="E308">
        <f>IFERROR(MATCH(305,$B$4:$B$503,0),"")</f>
        <v/>
      </c>
    </row>
    <row r="309">
      <c r="A309">
        <f>IF(AND(LEN('Assets'!A309)&gt;0,ISNUMBER('Assets'!G309)),'Assets'!G309+306/100000,"")</f>
        <v/>
      </c>
      <c r="B309">
        <f>IF(AND(LEN('Assets'!A309)&gt;0,ISNUMBER('Assets'!G309)),MAX($B$3:B308)+1,"")</f>
        <v/>
      </c>
      <c r="E309">
        <f>IFERROR(MATCH(306,$B$4:$B$503,0),"")</f>
        <v/>
      </c>
    </row>
    <row r="310">
      <c r="A310">
        <f>IF(AND(LEN('Assets'!A310)&gt;0,ISNUMBER('Assets'!G310)),'Assets'!G310+307/100000,"")</f>
        <v/>
      </c>
      <c r="B310">
        <f>IF(AND(LEN('Assets'!A310)&gt;0,ISNUMBER('Assets'!G310)),MAX($B$3:B309)+1,"")</f>
        <v/>
      </c>
      <c r="E310">
        <f>IFERROR(MATCH(307,$B$4:$B$503,0),"")</f>
        <v/>
      </c>
    </row>
    <row r="311">
      <c r="A311">
        <f>IF(AND(LEN('Assets'!A311)&gt;0,ISNUMBER('Assets'!G311)),'Assets'!G311+308/100000,"")</f>
        <v/>
      </c>
      <c r="B311">
        <f>IF(AND(LEN('Assets'!A311)&gt;0,ISNUMBER('Assets'!G311)),MAX($B$3:B310)+1,"")</f>
        <v/>
      </c>
      <c r="E311">
        <f>IFERROR(MATCH(308,$B$4:$B$503,0),"")</f>
        <v/>
      </c>
    </row>
    <row r="312">
      <c r="A312">
        <f>IF(AND(LEN('Assets'!A312)&gt;0,ISNUMBER('Assets'!G312)),'Assets'!G312+309/100000,"")</f>
        <v/>
      </c>
      <c r="B312">
        <f>IF(AND(LEN('Assets'!A312)&gt;0,ISNUMBER('Assets'!G312)),MAX($B$3:B311)+1,"")</f>
        <v/>
      </c>
      <c r="E312">
        <f>IFERROR(MATCH(309,$B$4:$B$503,0),"")</f>
        <v/>
      </c>
    </row>
    <row r="313">
      <c r="A313">
        <f>IF(AND(LEN('Assets'!A313)&gt;0,ISNUMBER('Assets'!G313)),'Assets'!G313+310/100000,"")</f>
        <v/>
      </c>
      <c r="B313">
        <f>IF(AND(LEN('Assets'!A313)&gt;0,ISNUMBER('Assets'!G313)),MAX($B$3:B312)+1,"")</f>
        <v/>
      </c>
      <c r="E313">
        <f>IFERROR(MATCH(310,$B$4:$B$503,0),"")</f>
        <v/>
      </c>
    </row>
    <row r="314">
      <c r="A314">
        <f>IF(AND(LEN('Assets'!A314)&gt;0,ISNUMBER('Assets'!G314)),'Assets'!G314+311/100000,"")</f>
        <v/>
      </c>
      <c r="B314">
        <f>IF(AND(LEN('Assets'!A314)&gt;0,ISNUMBER('Assets'!G314)),MAX($B$3:B313)+1,"")</f>
        <v/>
      </c>
      <c r="E314">
        <f>IFERROR(MATCH(311,$B$4:$B$503,0),"")</f>
        <v/>
      </c>
    </row>
    <row r="315">
      <c r="A315">
        <f>IF(AND(LEN('Assets'!A315)&gt;0,ISNUMBER('Assets'!G315)),'Assets'!G315+312/100000,"")</f>
        <v/>
      </c>
      <c r="B315">
        <f>IF(AND(LEN('Assets'!A315)&gt;0,ISNUMBER('Assets'!G315)),MAX($B$3:B314)+1,"")</f>
        <v/>
      </c>
      <c r="E315">
        <f>IFERROR(MATCH(312,$B$4:$B$503,0),"")</f>
        <v/>
      </c>
    </row>
    <row r="316">
      <c r="A316">
        <f>IF(AND(LEN('Assets'!A316)&gt;0,ISNUMBER('Assets'!G316)),'Assets'!G316+313/100000,"")</f>
        <v/>
      </c>
      <c r="B316">
        <f>IF(AND(LEN('Assets'!A316)&gt;0,ISNUMBER('Assets'!G316)),MAX($B$3:B315)+1,"")</f>
        <v/>
      </c>
      <c r="E316">
        <f>IFERROR(MATCH(313,$B$4:$B$503,0),"")</f>
        <v/>
      </c>
    </row>
    <row r="317">
      <c r="A317">
        <f>IF(AND(LEN('Assets'!A317)&gt;0,ISNUMBER('Assets'!G317)),'Assets'!G317+314/100000,"")</f>
        <v/>
      </c>
      <c r="B317">
        <f>IF(AND(LEN('Assets'!A317)&gt;0,ISNUMBER('Assets'!G317)),MAX($B$3:B316)+1,"")</f>
        <v/>
      </c>
      <c r="E317">
        <f>IFERROR(MATCH(314,$B$4:$B$503,0),"")</f>
        <v/>
      </c>
    </row>
    <row r="318">
      <c r="A318">
        <f>IF(AND(LEN('Assets'!A318)&gt;0,ISNUMBER('Assets'!G318)),'Assets'!G318+315/100000,"")</f>
        <v/>
      </c>
      <c r="B318">
        <f>IF(AND(LEN('Assets'!A318)&gt;0,ISNUMBER('Assets'!G318)),MAX($B$3:B317)+1,"")</f>
        <v/>
      </c>
      <c r="E318">
        <f>IFERROR(MATCH(315,$B$4:$B$503,0),"")</f>
        <v/>
      </c>
    </row>
    <row r="319">
      <c r="A319">
        <f>IF(AND(LEN('Assets'!A319)&gt;0,ISNUMBER('Assets'!G319)),'Assets'!G319+316/100000,"")</f>
        <v/>
      </c>
      <c r="B319">
        <f>IF(AND(LEN('Assets'!A319)&gt;0,ISNUMBER('Assets'!G319)),MAX($B$3:B318)+1,"")</f>
        <v/>
      </c>
      <c r="E319">
        <f>IFERROR(MATCH(316,$B$4:$B$503,0),"")</f>
        <v/>
      </c>
    </row>
    <row r="320">
      <c r="A320">
        <f>IF(AND(LEN('Assets'!A320)&gt;0,ISNUMBER('Assets'!G320)),'Assets'!G320+317/100000,"")</f>
        <v/>
      </c>
      <c r="B320">
        <f>IF(AND(LEN('Assets'!A320)&gt;0,ISNUMBER('Assets'!G320)),MAX($B$3:B319)+1,"")</f>
        <v/>
      </c>
      <c r="E320">
        <f>IFERROR(MATCH(317,$B$4:$B$503,0),"")</f>
        <v/>
      </c>
    </row>
    <row r="321">
      <c r="A321">
        <f>IF(AND(LEN('Assets'!A321)&gt;0,ISNUMBER('Assets'!G321)),'Assets'!G321+318/100000,"")</f>
        <v/>
      </c>
      <c r="B321">
        <f>IF(AND(LEN('Assets'!A321)&gt;0,ISNUMBER('Assets'!G321)),MAX($B$3:B320)+1,"")</f>
        <v/>
      </c>
      <c r="E321">
        <f>IFERROR(MATCH(318,$B$4:$B$503,0),"")</f>
        <v/>
      </c>
    </row>
    <row r="322">
      <c r="A322">
        <f>IF(AND(LEN('Assets'!A322)&gt;0,ISNUMBER('Assets'!G322)),'Assets'!G322+319/100000,"")</f>
        <v/>
      </c>
      <c r="B322">
        <f>IF(AND(LEN('Assets'!A322)&gt;0,ISNUMBER('Assets'!G322)),MAX($B$3:B321)+1,"")</f>
        <v/>
      </c>
      <c r="E322">
        <f>IFERROR(MATCH(319,$B$4:$B$503,0),"")</f>
        <v/>
      </c>
    </row>
    <row r="323">
      <c r="A323">
        <f>IF(AND(LEN('Assets'!A323)&gt;0,ISNUMBER('Assets'!G323)),'Assets'!G323+320/100000,"")</f>
        <v/>
      </c>
      <c r="B323">
        <f>IF(AND(LEN('Assets'!A323)&gt;0,ISNUMBER('Assets'!G323)),MAX($B$3:B322)+1,"")</f>
        <v/>
      </c>
      <c r="E323">
        <f>IFERROR(MATCH(320,$B$4:$B$503,0),"")</f>
        <v/>
      </c>
    </row>
    <row r="324">
      <c r="A324">
        <f>IF(AND(LEN('Assets'!A324)&gt;0,ISNUMBER('Assets'!G324)),'Assets'!G324+321/100000,"")</f>
        <v/>
      </c>
      <c r="B324">
        <f>IF(AND(LEN('Assets'!A324)&gt;0,ISNUMBER('Assets'!G324)),MAX($B$3:B323)+1,"")</f>
        <v/>
      </c>
      <c r="E324">
        <f>IFERROR(MATCH(321,$B$4:$B$503,0),"")</f>
        <v/>
      </c>
    </row>
    <row r="325">
      <c r="A325">
        <f>IF(AND(LEN('Assets'!A325)&gt;0,ISNUMBER('Assets'!G325)),'Assets'!G325+322/100000,"")</f>
        <v/>
      </c>
      <c r="B325">
        <f>IF(AND(LEN('Assets'!A325)&gt;0,ISNUMBER('Assets'!G325)),MAX($B$3:B324)+1,"")</f>
        <v/>
      </c>
      <c r="E325">
        <f>IFERROR(MATCH(322,$B$4:$B$503,0),"")</f>
        <v/>
      </c>
    </row>
    <row r="326">
      <c r="A326">
        <f>IF(AND(LEN('Assets'!A326)&gt;0,ISNUMBER('Assets'!G326)),'Assets'!G326+323/100000,"")</f>
        <v/>
      </c>
      <c r="B326">
        <f>IF(AND(LEN('Assets'!A326)&gt;0,ISNUMBER('Assets'!G326)),MAX($B$3:B325)+1,"")</f>
        <v/>
      </c>
      <c r="E326">
        <f>IFERROR(MATCH(323,$B$4:$B$503,0),"")</f>
        <v/>
      </c>
    </row>
    <row r="327">
      <c r="A327">
        <f>IF(AND(LEN('Assets'!A327)&gt;0,ISNUMBER('Assets'!G327)),'Assets'!G327+324/100000,"")</f>
        <v/>
      </c>
      <c r="B327">
        <f>IF(AND(LEN('Assets'!A327)&gt;0,ISNUMBER('Assets'!G327)),MAX($B$3:B326)+1,"")</f>
        <v/>
      </c>
      <c r="E327">
        <f>IFERROR(MATCH(324,$B$4:$B$503,0),"")</f>
        <v/>
      </c>
    </row>
    <row r="328">
      <c r="A328">
        <f>IF(AND(LEN('Assets'!A328)&gt;0,ISNUMBER('Assets'!G328)),'Assets'!G328+325/100000,"")</f>
        <v/>
      </c>
      <c r="B328">
        <f>IF(AND(LEN('Assets'!A328)&gt;0,ISNUMBER('Assets'!G328)),MAX($B$3:B327)+1,"")</f>
        <v/>
      </c>
      <c r="E328">
        <f>IFERROR(MATCH(325,$B$4:$B$503,0),"")</f>
        <v/>
      </c>
    </row>
    <row r="329">
      <c r="A329">
        <f>IF(AND(LEN('Assets'!A329)&gt;0,ISNUMBER('Assets'!G329)),'Assets'!G329+326/100000,"")</f>
        <v/>
      </c>
      <c r="B329">
        <f>IF(AND(LEN('Assets'!A329)&gt;0,ISNUMBER('Assets'!G329)),MAX($B$3:B328)+1,"")</f>
        <v/>
      </c>
      <c r="E329">
        <f>IFERROR(MATCH(326,$B$4:$B$503,0),"")</f>
        <v/>
      </c>
    </row>
    <row r="330">
      <c r="A330">
        <f>IF(AND(LEN('Assets'!A330)&gt;0,ISNUMBER('Assets'!G330)),'Assets'!G330+327/100000,"")</f>
        <v/>
      </c>
      <c r="B330">
        <f>IF(AND(LEN('Assets'!A330)&gt;0,ISNUMBER('Assets'!G330)),MAX($B$3:B329)+1,"")</f>
        <v/>
      </c>
      <c r="E330">
        <f>IFERROR(MATCH(327,$B$4:$B$503,0),"")</f>
        <v/>
      </c>
    </row>
    <row r="331">
      <c r="A331">
        <f>IF(AND(LEN('Assets'!A331)&gt;0,ISNUMBER('Assets'!G331)),'Assets'!G331+328/100000,"")</f>
        <v/>
      </c>
      <c r="B331">
        <f>IF(AND(LEN('Assets'!A331)&gt;0,ISNUMBER('Assets'!G331)),MAX($B$3:B330)+1,"")</f>
        <v/>
      </c>
      <c r="E331">
        <f>IFERROR(MATCH(328,$B$4:$B$503,0),"")</f>
        <v/>
      </c>
    </row>
    <row r="332">
      <c r="A332">
        <f>IF(AND(LEN('Assets'!A332)&gt;0,ISNUMBER('Assets'!G332)),'Assets'!G332+329/100000,"")</f>
        <v/>
      </c>
      <c r="B332">
        <f>IF(AND(LEN('Assets'!A332)&gt;0,ISNUMBER('Assets'!G332)),MAX($B$3:B331)+1,"")</f>
        <v/>
      </c>
      <c r="E332">
        <f>IFERROR(MATCH(329,$B$4:$B$503,0),"")</f>
        <v/>
      </c>
    </row>
    <row r="333">
      <c r="A333">
        <f>IF(AND(LEN('Assets'!A333)&gt;0,ISNUMBER('Assets'!G333)),'Assets'!G333+330/100000,"")</f>
        <v/>
      </c>
      <c r="B333">
        <f>IF(AND(LEN('Assets'!A333)&gt;0,ISNUMBER('Assets'!G333)),MAX($B$3:B332)+1,"")</f>
        <v/>
      </c>
      <c r="E333">
        <f>IFERROR(MATCH(330,$B$4:$B$503,0),"")</f>
        <v/>
      </c>
    </row>
    <row r="334">
      <c r="A334">
        <f>IF(AND(LEN('Assets'!A334)&gt;0,ISNUMBER('Assets'!G334)),'Assets'!G334+331/100000,"")</f>
        <v/>
      </c>
      <c r="B334">
        <f>IF(AND(LEN('Assets'!A334)&gt;0,ISNUMBER('Assets'!G334)),MAX($B$3:B333)+1,"")</f>
        <v/>
      </c>
      <c r="E334">
        <f>IFERROR(MATCH(331,$B$4:$B$503,0),"")</f>
        <v/>
      </c>
    </row>
    <row r="335">
      <c r="A335">
        <f>IF(AND(LEN('Assets'!A335)&gt;0,ISNUMBER('Assets'!G335)),'Assets'!G335+332/100000,"")</f>
        <v/>
      </c>
      <c r="B335">
        <f>IF(AND(LEN('Assets'!A335)&gt;0,ISNUMBER('Assets'!G335)),MAX($B$3:B334)+1,"")</f>
        <v/>
      </c>
      <c r="E335">
        <f>IFERROR(MATCH(332,$B$4:$B$503,0),"")</f>
        <v/>
      </c>
    </row>
    <row r="336">
      <c r="A336">
        <f>IF(AND(LEN('Assets'!A336)&gt;0,ISNUMBER('Assets'!G336)),'Assets'!G336+333/100000,"")</f>
        <v/>
      </c>
      <c r="B336">
        <f>IF(AND(LEN('Assets'!A336)&gt;0,ISNUMBER('Assets'!G336)),MAX($B$3:B335)+1,"")</f>
        <v/>
      </c>
      <c r="E336">
        <f>IFERROR(MATCH(333,$B$4:$B$503,0),"")</f>
        <v/>
      </c>
    </row>
    <row r="337">
      <c r="A337">
        <f>IF(AND(LEN('Assets'!A337)&gt;0,ISNUMBER('Assets'!G337)),'Assets'!G337+334/100000,"")</f>
        <v/>
      </c>
      <c r="B337">
        <f>IF(AND(LEN('Assets'!A337)&gt;0,ISNUMBER('Assets'!G337)),MAX($B$3:B336)+1,"")</f>
        <v/>
      </c>
      <c r="E337">
        <f>IFERROR(MATCH(334,$B$4:$B$503,0),"")</f>
        <v/>
      </c>
    </row>
    <row r="338">
      <c r="A338">
        <f>IF(AND(LEN('Assets'!A338)&gt;0,ISNUMBER('Assets'!G338)),'Assets'!G338+335/100000,"")</f>
        <v/>
      </c>
      <c r="B338">
        <f>IF(AND(LEN('Assets'!A338)&gt;0,ISNUMBER('Assets'!G338)),MAX($B$3:B337)+1,"")</f>
        <v/>
      </c>
      <c r="E338">
        <f>IFERROR(MATCH(335,$B$4:$B$503,0),"")</f>
        <v/>
      </c>
    </row>
    <row r="339">
      <c r="A339">
        <f>IF(AND(LEN('Assets'!A339)&gt;0,ISNUMBER('Assets'!G339)),'Assets'!G339+336/100000,"")</f>
        <v/>
      </c>
      <c r="B339">
        <f>IF(AND(LEN('Assets'!A339)&gt;0,ISNUMBER('Assets'!G339)),MAX($B$3:B338)+1,"")</f>
        <v/>
      </c>
      <c r="E339">
        <f>IFERROR(MATCH(336,$B$4:$B$503,0),"")</f>
        <v/>
      </c>
    </row>
    <row r="340">
      <c r="A340">
        <f>IF(AND(LEN('Assets'!A340)&gt;0,ISNUMBER('Assets'!G340)),'Assets'!G340+337/100000,"")</f>
        <v/>
      </c>
      <c r="B340">
        <f>IF(AND(LEN('Assets'!A340)&gt;0,ISNUMBER('Assets'!G340)),MAX($B$3:B339)+1,"")</f>
        <v/>
      </c>
      <c r="E340">
        <f>IFERROR(MATCH(337,$B$4:$B$503,0),"")</f>
        <v/>
      </c>
    </row>
    <row r="341">
      <c r="A341">
        <f>IF(AND(LEN('Assets'!A341)&gt;0,ISNUMBER('Assets'!G341)),'Assets'!G341+338/100000,"")</f>
        <v/>
      </c>
      <c r="B341">
        <f>IF(AND(LEN('Assets'!A341)&gt;0,ISNUMBER('Assets'!G341)),MAX($B$3:B340)+1,"")</f>
        <v/>
      </c>
      <c r="E341">
        <f>IFERROR(MATCH(338,$B$4:$B$503,0),"")</f>
        <v/>
      </c>
    </row>
    <row r="342">
      <c r="A342">
        <f>IF(AND(LEN('Assets'!A342)&gt;0,ISNUMBER('Assets'!G342)),'Assets'!G342+339/100000,"")</f>
        <v/>
      </c>
      <c r="B342">
        <f>IF(AND(LEN('Assets'!A342)&gt;0,ISNUMBER('Assets'!G342)),MAX($B$3:B341)+1,"")</f>
        <v/>
      </c>
      <c r="E342">
        <f>IFERROR(MATCH(339,$B$4:$B$503,0),"")</f>
        <v/>
      </c>
    </row>
    <row r="343">
      <c r="A343">
        <f>IF(AND(LEN('Assets'!A343)&gt;0,ISNUMBER('Assets'!G343)),'Assets'!G343+340/100000,"")</f>
        <v/>
      </c>
      <c r="B343">
        <f>IF(AND(LEN('Assets'!A343)&gt;0,ISNUMBER('Assets'!G343)),MAX($B$3:B342)+1,"")</f>
        <v/>
      </c>
      <c r="E343">
        <f>IFERROR(MATCH(340,$B$4:$B$503,0),"")</f>
        <v/>
      </c>
    </row>
    <row r="344">
      <c r="A344">
        <f>IF(AND(LEN('Assets'!A344)&gt;0,ISNUMBER('Assets'!G344)),'Assets'!G344+341/100000,"")</f>
        <v/>
      </c>
      <c r="B344">
        <f>IF(AND(LEN('Assets'!A344)&gt;0,ISNUMBER('Assets'!G344)),MAX($B$3:B343)+1,"")</f>
        <v/>
      </c>
      <c r="E344">
        <f>IFERROR(MATCH(341,$B$4:$B$503,0),"")</f>
        <v/>
      </c>
    </row>
    <row r="345">
      <c r="A345">
        <f>IF(AND(LEN('Assets'!A345)&gt;0,ISNUMBER('Assets'!G345)),'Assets'!G345+342/100000,"")</f>
        <v/>
      </c>
      <c r="B345">
        <f>IF(AND(LEN('Assets'!A345)&gt;0,ISNUMBER('Assets'!G345)),MAX($B$3:B344)+1,"")</f>
        <v/>
      </c>
      <c r="E345">
        <f>IFERROR(MATCH(342,$B$4:$B$503,0),"")</f>
        <v/>
      </c>
    </row>
    <row r="346">
      <c r="A346">
        <f>IF(AND(LEN('Assets'!A346)&gt;0,ISNUMBER('Assets'!G346)),'Assets'!G346+343/100000,"")</f>
        <v/>
      </c>
      <c r="B346">
        <f>IF(AND(LEN('Assets'!A346)&gt;0,ISNUMBER('Assets'!G346)),MAX($B$3:B345)+1,"")</f>
        <v/>
      </c>
      <c r="E346">
        <f>IFERROR(MATCH(343,$B$4:$B$503,0),"")</f>
        <v/>
      </c>
    </row>
    <row r="347">
      <c r="A347">
        <f>IF(AND(LEN('Assets'!A347)&gt;0,ISNUMBER('Assets'!G347)),'Assets'!G347+344/100000,"")</f>
        <v/>
      </c>
      <c r="B347">
        <f>IF(AND(LEN('Assets'!A347)&gt;0,ISNUMBER('Assets'!G347)),MAX($B$3:B346)+1,"")</f>
        <v/>
      </c>
      <c r="E347">
        <f>IFERROR(MATCH(344,$B$4:$B$503,0),"")</f>
        <v/>
      </c>
    </row>
    <row r="348">
      <c r="A348">
        <f>IF(AND(LEN('Assets'!A348)&gt;0,ISNUMBER('Assets'!G348)),'Assets'!G348+345/100000,"")</f>
        <v/>
      </c>
      <c r="B348">
        <f>IF(AND(LEN('Assets'!A348)&gt;0,ISNUMBER('Assets'!G348)),MAX($B$3:B347)+1,"")</f>
        <v/>
      </c>
      <c r="E348">
        <f>IFERROR(MATCH(345,$B$4:$B$503,0),"")</f>
        <v/>
      </c>
    </row>
    <row r="349">
      <c r="A349">
        <f>IF(AND(LEN('Assets'!A349)&gt;0,ISNUMBER('Assets'!G349)),'Assets'!G349+346/100000,"")</f>
        <v/>
      </c>
      <c r="B349">
        <f>IF(AND(LEN('Assets'!A349)&gt;0,ISNUMBER('Assets'!G349)),MAX($B$3:B348)+1,"")</f>
        <v/>
      </c>
      <c r="E349">
        <f>IFERROR(MATCH(346,$B$4:$B$503,0),"")</f>
        <v/>
      </c>
    </row>
    <row r="350">
      <c r="A350">
        <f>IF(AND(LEN('Assets'!A350)&gt;0,ISNUMBER('Assets'!G350)),'Assets'!G350+347/100000,"")</f>
        <v/>
      </c>
      <c r="B350">
        <f>IF(AND(LEN('Assets'!A350)&gt;0,ISNUMBER('Assets'!G350)),MAX($B$3:B349)+1,"")</f>
        <v/>
      </c>
      <c r="E350">
        <f>IFERROR(MATCH(347,$B$4:$B$503,0),"")</f>
        <v/>
      </c>
    </row>
    <row r="351">
      <c r="A351">
        <f>IF(AND(LEN('Assets'!A351)&gt;0,ISNUMBER('Assets'!G351)),'Assets'!G351+348/100000,"")</f>
        <v/>
      </c>
      <c r="B351">
        <f>IF(AND(LEN('Assets'!A351)&gt;0,ISNUMBER('Assets'!G351)),MAX($B$3:B350)+1,"")</f>
        <v/>
      </c>
      <c r="E351">
        <f>IFERROR(MATCH(348,$B$4:$B$503,0),"")</f>
        <v/>
      </c>
    </row>
    <row r="352">
      <c r="A352">
        <f>IF(AND(LEN('Assets'!A352)&gt;0,ISNUMBER('Assets'!G352)),'Assets'!G352+349/100000,"")</f>
        <v/>
      </c>
      <c r="B352">
        <f>IF(AND(LEN('Assets'!A352)&gt;0,ISNUMBER('Assets'!G352)),MAX($B$3:B351)+1,"")</f>
        <v/>
      </c>
      <c r="E352">
        <f>IFERROR(MATCH(349,$B$4:$B$503,0),"")</f>
        <v/>
      </c>
    </row>
    <row r="353">
      <c r="A353">
        <f>IF(AND(LEN('Assets'!A353)&gt;0,ISNUMBER('Assets'!G353)),'Assets'!G353+350/100000,"")</f>
        <v/>
      </c>
      <c r="B353">
        <f>IF(AND(LEN('Assets'!A353)&gt;0,ISNUMBER('Assets'!G353)),MAX($B$3:B352)+1,"")</f>
        <v/>
      </c>
      <c r="E353">
        <f>IFERROR(MATCH(350,$B$4:$B$503,0),"")</f>
        <v/>
      </c>
    </row>
    <row r="354">
      <c r="A354">
        <f>IF(AND(LEN('Assets'!A354)&gt;0,ISNUMBER('Assets'!G354)),'Assets'!G354+351/100000,"")</f>
        <v/>
      </c>
      <c r="B354">
        <f>IF(AND(LEN('Assets'!A354)&gt;0,ISNUMBER('Assets'!G354)),MAX($B$3:B353)+1,"")</f>
        <v/>
      </c>
      <c r="E354">
        <f>IFERROR(MATCH(351,$B$4:$B$503,0),"")</f>
        <v/>
      </c>
    </row>
    <row r="355">
      <c r="A355">
        <f>IF(AND(LEN('Assets'!A355)&gt;0,ISNUMBER('Assets'!G355)),'Assets'!G355+352/100000,"")</f>
        <v/>
      </c>
      <c r="B355">
        <f>IF(AND(LEN('Assets'!A355)&gt;0,ISNUMBER('Assets'!G355)),MAX($B$3:B354)+1,"")</f>
        <v/>
      </c>
      <c r="E355">
        <f>IFERROR(MATCH(352,$B$4:$B$503,0),"")</f>
        <v/>
      </c>
    </row>
    <row r="356">
      <c r="A356">
        <f>IF(AND(LEN('Assets'!A356)&gt;0,ISNUMBER('Assets'!G356)),'Assets'!G356+353/100000,"")</f>
        <v/>
      </c>
      <c r="B356">
        <f>IF(AND(LEN('Assets'!A356)&gt;0,ISNUMBER('Assets'!G356)),MAX($B$3:B355)+1,"")</f>
        <v/>
      </c>
      <c r="E356">
        <f>IFERROR(MATCH(353,$B$4:$B$503,0),"")</f>
        <v/>
      </c>
    </row>
    <row r="357">
      <c r="A357">
        <f>IF(AND(LEN('Assets'!A357)&gt;0,ISNUMBER('Assets'!G357)),'Assets'!G357+354/100000,"")</f>
        <v/>
      </c>
      <c r="B357">
        <f>IF(AND(LEN('Assets'!A357)&gt;0,ISNUMBER('Assets'!G357)),MAX($B$3:B356)+1,"")</f>
        <v/>
      </c>
      <c r="E357">
        <f>IFERROR(MATCH(354,$B$4:$B$503,0),"")</f>
        <v/>
      </c>
    </row>
    <row r="358">
      <c r="A358">
        <f>IF(AND(LEN('Assets'!A358)&gt;0,ISNUMBER('Assets'!G358)),'Assets'!G358+355/100000,"")</f>
        <v/>
      </c>
      <c r="B358">
        <f>IF(AND(LEN('Assets'!A358)&gt;0,ISNUMBER('Assets'!G358)),MAX($B$3:B357)+1,"")</f>
        <v/>
      </c>
      <c r="E358">
        <f>IFERROR(MATCH(355,$B$4:$B$503,0),"")</f>
        <v/>
      </c>
    </row>
    <row r="359">
      <c r="A359">
        <f>IF(AND(LEN('Assets'!A359)&gt;0,ISNUMBER('Assets'!G359)),'Assets'!G359+356/100000,"")</f>
        <v/>
      </c>
      <c r="B359">
        <f>IF(AND(LEN('Assets'!A359)&gt;0,ISNUMBER('Assets'!G359)),MAX($B$3:B358)+1,"")</f>
        <v/>
      </c>
      <c r="E359">
        <f>IFERROR(MATCH(356,$B$4:$B$503,0),"")</f>
        <v/>
      </c>
    </row>
    <row r="360">
      <c r="A360">
        <f>IF(AND(LEN('Assets'!A360)&gt;0,ISNUMBER('Assets'!G360)),'Assets'!G360+357/100000,"")</f>
        <v/>
      </c>
      <c r="B360">
        <f>IF(AND(LEN('Assets'!A360)&gt;0,ISNUMBER('Assets'!G360)),MAX($B$3:B359)+1,"")</f>
        <v/>
      </c>
      <c r="E360">
        <f>IFERROR(MATCH(357,$B$4:$B$503,0),"")</f>
        <v/>
      </c>
    </row>
    <row r="361">
      <c r="A361">
        <f>IF(AND(LEN('Assets'!A361)&gt;0,ISNUMBER('Assets'!G361)),'Assets'!G361+358/100000,"")</f>
        <v/>
      </c>
      <c r="B361">
        <f>IF(AND(LEN('Assets'!A361)&gt;0,ISNUMBER('Assets'!G361)),MAX($B$3:B360)+1,"")</f>
        <v/>
      </c>
      <c r="E361">
        <f>IFERROR(MATCH(358,$B$4:$B$503,0),"")</f>
        <v/>
      </c>
    </row>
    <row r="362">
      <c r="A362">
        <f>IF(AND(LEN('Assets'!A362)&gt;0,ISNUMBER('Assets'!G362)),'Assets'!G362+359/100000,"")</f>
        <v/>
      </c>
      <c r="B362">
        <f>IF(AND(LEN('Assets'!A362)&gt;0,ISNUMBER('Assets'!G362)),MAX($B$3:B361)+1,"")</f>
        <v/>
      </c>
      <c r="E362">
        <f>IFERROR(MATCH(359,$B$4:$B$503,0),"")</f>
        <v/>
      </c>
    </row>
    <row r="363">
      <c r="A363">
        <f>IF(AND(LEN('Assets'!A363)&gt;0,ISNUMBER('Assets'!G363)),'Assets'!G363+360/100000,"")</f>
        <v/>
      </c>
      <c r="B363">
        <f>IF(AND(LEN('Assets'!A363)&gt;0,ISNUMBER('Assets'!G363)),MAX($B$3:B362)+1,"")</f>
        <v/>
      </c>
      <c r="E363">
        <f>IFERROR(MATCH(360,$B$4:$B$503,0),"")</f>
        <v/>
      </c>
    </row>
    <row r="364">
      <c r="A364">
        <f>IF(AND(LEN('Assets'!A364)&gt;0,ISNUMBER('Assets'!G364)),'Assets'!G364+361/100000,"")</f>
        <v/>
      </c>
      <c r="B364">
        <f>IF(AND(LEN('Assets'!A364)&gt;0,ISNUMBER('Assets'!G364)),MAX($B$3:B363)+1,"")</f>
        <v/>
      </c>
      <c r="E364">
        <f>IFERROR(MATCH(361,$B$4:$B$503,0),"")</f>
        <v/>
      </c>
    </row>
    <row r="365">
      <c r="A365">
        <f>IF(AND(LEN('Assets'!A365)&gt;0,ISNUMBER('Assets'!G365)),'Assets'!G365+362/100000,"")</f>
        <v/>
      </c>
      <c r="B365">
        <f>IF(AND(LEN('Assets'!A365)&gt;0,ISNUMBER('Assets'!G365)),MAX($B$3:B364)+1,"")</f>
        <v/>
      </c>
      <c r="E365">
        <f>IFERROR(MATCH(362,$B$4:$B$503,0),"")</f>
        <v/>
      </c>
    </row>
    <row r="366">
      <c r="A366">
        <f>IF(AND(LEN('Assets'!A366)&gt;0,ISNUMBER('Assets'!G366)),'Assets'!G366+363/100000,"")</f>
        <v/>
      </c>
      <c r="B366">
        <f>IF(AND(LEN('Assets'!A366)&gt;0,ISNUMBER('Assets'!G366)),MAX($B$3:B365)+1,"")</f>
        <v/>
      </c>
      <c r="E366">
        <f>IFERROR(MATCH(363,$B$4:$B$503,0),"")</f>
        <v/>
      </c>
    </row>
    <row r="367">
      <c r="A367">
        <f>IF(AND(LEN('Assets'!A367)&gt;0,ISNUMBER('Assets'!G367)),'Assets'!G367+364/100000,"")</f>
        <v/>
      </c>
      <c r="B367">
        <f>IF(AND(LEN('Assets'!A367)&gt;0,ISNUMBER('Assets'!G367)),MAX($B$3:B366)+1,"")</f>
        <v/>
      </c>
      <c r="E367">
        <f>IFERROR(MATCH(364,$B$4:$B$503,0),"")</f>
        <v/>
      </c>
    </row>
    <row r="368">
      <c r="A368">
        <f>IF(AND(LEN('Assets'!A368)&gt;0,ISNUMBER('Assets'!G368)),'Assets'!G368+365/100000,"")</f>
        <v/>
      </c>
      <c r="B368">
        <f>IF(AND(LEN('Assets'!A368)&gt;0,ISNUMBER('Assets'!G368)),MAX($B$3:B367)+1,"")</f>
        <v/>
      </c>
      <c r="E368">
        <f>IFERROR(MATCH(365,$B$4:$B$503,0),"")</f>
        <v/>
      </c>
    </row>
    <row r="369">
      <c r="A369">
        <f>IF(AND(LEN('Assets'!A369)&gt;0,ISNUMBER('Assets'!G369)),'Assets'!G369+366/100000,"")</f>
        <v/>
      </c>
      <c r="B369">
        <f>IF(AND(LEN('Assets'!A369)&gt;0,ISNUMBER('Assets'!G369)),MAX($B$3:B368)+1,"")</f>
        <v/>
      </c>
      <c r="E369">
        <f>IFERROR(MATCH(366,$B$4:$B$503,0),"")</f>
        <v/>
      </c>
    </row>
    <row r="370">
      <c r="A370">
        <f>IF(AND(LEN('Assets'!A370)&gt;0,ISNUMBER('Assets'!G370)),'Assets'!G370+367/100000,"")</f>
        <v/>
      </c>
      <c r="B370">
        <f>IF(AND(LEN('Assets'!A370)&gt;0,ISNUMBER('Assets'!G370)),MAX($B$3:B369)+1,"")</f>
        <v/>
      </c>
      <c r="E370">
        <f>IFERROR(MATCH(367,$B$4:$B$503,0),"")</f>
        <v/>
      </c>
    </row>
    <row r="371">
      <c r="A371">
        <f>IF(AND(LEN('Assets'!A371)&gt;0,ISNUMBER('Assets'!G371)),'Assets'!G371+368/100000,"")</f>
        <v/>
      </c>
      <c r="B371">
        <f>IF(AND(LEN('Assets'!A371)&gt;0,ISNUMBER('Assets'!G371)),MAX($B$3:B370)+1,"")</f>
        <v/>
      </c>
      <c r="E371">
        <f>IFERROR(MATCH(368,$B$4:$B$503,0),"")</f>
        <v/>
      </c>
    </row>
    <row r="372">
      <c r="A372">
        <f>IF(AND(LEN('Assets'!A372)&gt;0,ISNUMBER('Assets'!G372)),'Assets'!G372+369/100000,"")</f>
        <v/>
      </c>
      <c r="B372">
        <f>IF(AND(LEN('Assets'!A372)&gt;0,ISNUMBER('Assets'!G372)),MAX($B$3:B371)+1,"")</f>
        <v/>
      </c>
      <c r="E372">
        <f>IFERROR(MATCH(369,$B$4:$B$503,0),"")</f>
        <v/>
      </c>
    </row>
    <row r="373">
      <c r="A373">
        <f>IF(AND(LEN('Assets'!A373)&gt;0,ISNUMBER('Assets'!G373)),'Assets'!G373+370/100000,"")</f>
        <v/>
      </c>
      <c r="B373">
        <f>IF(AND(LEN('Assets'!A373)&gt;0,ISNUMBER('Assets'!G373)),MAX($B$3:B372)+1,"")</f>
        <v/>
      </c>
      <c r="E373">
        <f>IFERROR(MATCH(370,$B$4:$B$503,0),"")</f>
        <v/>
      </c>
    </row>
    <row r="374">
      <c r="A374">
        <f>IF(AND(LEN('Assets'!A374)&gt;0,ISNUMBER('Assets'!G374)),'Assets'!G374+371/100000,"")</f>
        <v/>
      </c>
      <c r="B374">
        <f>IF(AND(LEN('Assets'!A374)&gt;0,ISNUMBER('Assets'!G374)),MAX($B$3:B373)+1,"")</f>
        <v/>
      </c>
      <c r="E374">
        <f>IFERROR(MATCH(371,$B$4:$B$503,0),"")</f>
        <v/>
      </c>
    </row>
    <row r="375">
      <c r="A375">
        <f>IF(AND(LEN('Assets'!A375)&gt;0,ISNUMBER('Assets'!G375)),'Assets'!G375+372/100000,"")</f>
        <v/>
      </c>
      <c r="B375">
        <f>IF(AND(LEN('Assets'!A375)&gt;0,ISNUMBER('Assets'!G375)),MAX($B$3:B374)+1,"")</f>
        <v/>
      </c>
      <c r="E375">
        <f>IFERROR(MATCH(372,$B$4:$B$503,0),"")</f>
        <v/>
      </c>
    </row>
    <row r="376">
      <c r="A376">
        <f>IF(AND(LEN('Assets'!A376)&gt;0,ISNUMBER('Assets'!G376)),'Assets'!G376+373/100000,"")</f>
        <v/>
      </c>
      <c r="B376">
        <f>IF(AND(LEN('Assets'!A376)&gt;0,ISNUMBER('Assets'!G376)),MAX($B$3:B375)+1,"")</f>
        <v/>
      </c>
      <c r="E376">
        <f>IFERROR(MATCH(373,$B$4:$B$503,0),"")</f>
        <v/>
      </c>
    </row>
    <row r="377">
      <c r="A377">
        <f>IF(AND(LEN('Assets'!A377)&gt;0,ISNUMBER('Assets'!G377)),'Assets'!G377+374/100000,"")</f>
        <v/>
      </c>
      <c r="B377">
        <f>IF(AND(LEN('Assets'!A377)&gt;0,ISNUMBER('Assets'!G377)),MAX($B$3:B376)+1,"")</f>
        <v/>
      </c>
      <c r="E377">
        <f>IFERROR(MATCH(374,$B$4:$B$503,0),"")</f>
        <v/>
      </c>
    </row>
    <row r="378">
      <c r="A378">
        <f>IF(AND(LEN('Assets'!A378)&gt;0,ISNUMBER('Assets'!G378)),'Assets'!G378+375/100000,"")</f>
        <v/>
      </c>
      <c r="B378">
        <f>IF(AND(LEN('Assets'!A378)&gt;0,ISNUMBER('Assets'!G378)),MAX($B$3:B377)+1,"")</f>
        <v/>
      </c>
      <c r="E378">
        <f>IFERROR(MATCH(375,$B$4:$B$503,0),"")</f>
        <v/>
      </c>
    </row>
    <row r="379">
      <c r="A379">
        <f>IF(AND(LEN('Assets'!A379)&gt;0,ISNUMBER('Assets'!G379)),'Assets'!G379+376/100000,"")</f>
        <v/>
      </c>
      <c r="B379">
        <f>IF(AND(LEN('Assets'!A379)&gt;0,ISNUMBER('Assets'!G379)),MAX($B$3:B378)+1,"")</f>
        <v/>
      </c>
      <c r="E379">
        <f>IFERROR(MATCH(376,$B$4:$B$503,0),"")</f>
        <v/>
      </c>
    </row>
    <row r="380">
      <c r="A380">
        <f>IF(AND(LEN('Assets'!A380)&gt;0,ISNUMBER('Assets'!G380)),'Assets'!G380+377/100000,"")</f>
        <v/>
      </c>
      <c r="B380">
        <f>IF(AND(LEN('Assets'!A380)&gt;0,ISNUMBER('Assets'!G380)),MAX($B$3:B379)+1,"")</f>
        <v/>
      </c>
      <c r="E380">
        <f>IFERROR(MATCH(377,$B$4:$B$503,0),"")</f>
        <v/>
      </c>
    </row>
    <row r="381">
      <c r="A381">
        <f>IF(AND(LEN('Assets'!A381)&gt;0,ISNUMBER('Assets'!G381)),'Assets'!G381+378/100000,"")</f>
        <v/>
      </c>
      <c r="B381">
        <f>IF(AND(LEN('Assets'!A381)&gt;0,ISNUMBER('Assets'!G381)),MAX($B$3:B380)+1,"")</f>
        <v/>
      </c>
      <c r="E381">
        <f>IFERROR(MATCH(378,$B$4:$B$503,0),"")</f>
        <v/>
      </c>
    </row>
    <row r="382">
      <c r="A382">
        <f>IF(AND(LEN('Assets'!A382)&gt;0,ISNUMBER('Assets'!G382)),'Assets'!G382+379/100000,"")</f>
        <v/>
      </c>
      <c r="B382">
        <f>IF(AND(LEN('Assets'!A382)&gt;0,ISNUMBER('Assets'!G382)),MAX($B$3:B381)+1,"")</f>
        <v/>
      </c>
      <c r="E382">
        <f>IFERROR(MATCH(379,$B$4:$B$503,0),"")</f>
        <v/>
      </c>
    </row>
    <row r="383">
      <c r="A383">
        <f>IF(AND(LEN('Assets'!A383)&gt;0,ISNUMBER('Assets'!G383)),'Assets'!G383+380/100000,"")</f>
        <v/>
      </c>
      <c r="B383">
        <f>IF(AND(LEN('Assets'!A383)&gt;0,ISNUMBER('Assets'!G383)),MAX($B$3:B382)+1,"")</f>
        <v/>
      </c>
      <c r="E383">
        <f>IFERROR(MATCH(380,$B$4:$B$503,0),"")</f>
        <v/>
      </c>
    </row>
    <row r="384">
      <c r="A384">
        <f>IF(AND(LEN('Assets'!A384)&gt;0,ISNUMBER('Assets'!G384)),'Assets'!G384+381/100000,"")</f>
        <v/>
      </c>
      <c r="B384">
        <f>IF(AND(LEN('Assets'!A384)&gt;0,ISNUMBER('Assets'!G384)),MAX($B$3:B383)+1,"")</f>
        <v/>
      </c>
      <c r="E384">
        <f>IFERROR(MATCH(381,$B$4:$B$503,0),"")</f>
        <v/>
      </c>
    </row>
    <row r="385">
      <c r="A385">
        <f>IF(AND(LEN('Assets'!A385)&gt;0,ISNUMBER('Assets'!G385)),'Assets'!G385+382/100000,"")</f>
        <v/>
      </c>
      <c r="B385">
        <f>IF(AND(LEN('Assets'!A385)&gt;0,ISNUMBER('Assets'!G385)),MAX($B$3:B384)+1,"")</f>
        <v/>
      </c>
      <c r="E385">
        <f>IFERROR(MATCH(382,$B$4:$B$503,0),"")</f>
        <v/>
      </c>
    </row>
    <row r="386">
      <c r="A386">
        <f>IF(AND(LEN('Assets'!A386)&gt;0,ISNUMBER('Assets'!G386)),'Assets'!G386+383/100000,"")</f>
        <v/>
      </c>
      <c r="B386">
        <f>IF(AND(LEN('Assets'!A386)&gt;0,ISNUMBER('Assets'!G386)),MAX($B$3:B385)+1,"")</f>
        <v/>
      </c>
      <c r="E386">
        <f>IFERROR(MATCH(383,$B$4:$B$503,0),"")</f>
        <v/>
      </c>
    </row>
    <row r="387">
      <c r="A387">
        <f>IF(AND(LEN('Assets'!A387)&gt;0,ISNUMBER('Assets'!G387)),'Assets'!G387+384/100000,"")</f>
        <v/>
      </c>
      <c r="B387">
        <f>IF(AND(LEN('Assets'!A387)&gt;0,ISNUMBER('Assets'!G387)),MAX($B$3:B386)+1,"")</f>
        <v/>
      </c>
      <c r="E387">
        <f>IFERROR(MATCH(384,$B$4:$B$503,0),"")</f>
        <v/>
      </c>
    </row>
    <row r="388">
      <c r="A388">
        <f>IF(AND(LEN('Assets'!A388)&gt;0,ISNUMBER('Assets'!G388)),'Assets'!G388+385/100000,"")</f>
        <v/>
      </c>
      <c r="B388">
        <f>IF(AND(LEN('Assets'!A388)&gt;0,ISNUMBER('Assets'!G388)),MAX($B$3:B387)+1,"")</f>
        <v/>
      </c>
      <c r="E388">
        <f>IFERROR(MATCH(385,$B$4:$B$503,0),"")</f>
        <v/>
      </c>
    </row>
    <row r="389">
      <c r="A389">
        <f>IF(AND(LEN('Assets'!A389)&gt;0,ISNUMBER('Assets'!G389)),'Assets'!G389+386/100000,"")</f>
        <v/>
      </c>
      <c r="B389">
        <f>IF(AND(LEN('Assets'!A389)&gt;0,ISNUMBER('Assets'!G389)),MAX($B$3:B388)+1,"")</f>
        <v/>
      </c>
      <c r="E389">
        <f>IFERROR(MATCH(386,$B$4:$B$503,0),"")</f>
        <v/>
      </c>
    </row>
    <row r="390">
      <c r="A390">
        <f>IF(AND(LEN('Assets'!A390)&gt;0,ISNUMBER('Assets'!G390)),'Assets'!G390+387/100000,"")</f>
        <v/>
      </c>
      <c r="B390">
        <f>IF(AND(LEN('Assets'!A390)&gt;0,ISNUMBER('Assets'!G390)),MAX($B$3:B389)+1,"")</f>
        <v/>
      </c>
      <c r="E390">
        <f>IFERROR(MATCH(387,$B$4:$B$503,0),"")</f>
        <v/>
      </c>
    </row>
    <row r="391">
      <c r="A391">
        <f>IF(AND(LEN('Assets'!A391)&gt;0,ISNUMBER('Assets'!G391)),'Assets'!G391+388/100000,"")</f>
        <v/>
      </c>
      <c r="B391">
        <f>IF(AND(LEN('Assets'!A391)&gt;0,ISNUMBER('Assets'!G391)),MAX($B$3:B390)+1,"")</f>
        <v/>
      </c>
      <c r="E391">
        <f>IFERROR(MATCH(388,$B$4:$B$503,0),"")</f>
        <v/>
      </c>
    </row>
    <row r="392">
      <c r="A392">
        <f>IF(AND(LEN('Assets'!A392)&gt;0,ISNUMBER('Assets'!G392)),'Assets'!G392+389/100000,"")</f>
        <v/>
      </c>
      <c r="B392">
        <f>IF(AND(LEN('Assets'!A392)&gt;0,ISNUMBER('Assets'!G392)),MAX($B$3:B391)+1,"")</f>
        <v/>
      </c>
      <c r="E392">
        <f>IFERROR(MATCH(389,$B$4:$B$503,0),"")</f>
        <v/>
      </c>
    </row>
    <row r="393">
      <c r="A393">
        <f>IF(AND(LEN('Assets'!A393)&gt;0,ISNUMBER('Assets'!G393)),'Assets'!G393+390/100000,"")</f>
        <v/>
      </c>
      <c r="B393">
        <f>IF(AND(LEN('Assets'!A393)&gt;0,ISNUMBER('Assets'!G393)),MAX($B$3:B392)+1,"")</f>
        <v/>
      </c>
      <c r="E393">
        <f>IFERROR(MATCH(390,$B$4:$B$503,0),"")</f>
        <v/>
      </c>
    </row>
    <row r="394">
      <c r="A394">
        <f>IF(AND(LEN('Assets'!A394)&gt;0,ISNUMBER('Assets'!G394)),'Assets'!G394+391/100000,"")</f>
        <v/>
      </c>
      <c r="B394">
        <f>IF(AND(LEN('Assets'!A394)&gt;0,ISNUMBER('Assets'!G394)),MAX($B$3:B393)+1,"")</f>
        <v/>
      </c>
      <c r="E394">
        <f>IFERROR(MATCH(391,$B$4:$B$503,0),"")</f>
        <v/>
      </c>
    </row>
    <row r="395">
      <c r="A395">
        <f>IF(AND(LEN('Assets'!A395)&gt;0,ISNUMBER('Assets'!G395)),'Assets'!G395+392/100000,"")</f>
        <v/>
      </c>
      <c r="B395">
        <f>IF(AND(LEN('Assets'!A395)&gt;0,ISNUMBER('Assets'!G395)),MAX($B$3:B394)+1,"")</f>
        <v/>
      </c>
      <c r="E395">
        <f>IFERROR(MATCH(392,$B$4:$B$503,0),"")</f>
        <v/>
      </c>
    </row>
    <row r="396">
      <c r="A396">
        <f>IF(AND(LEN('Assets'!A396)&gt;0,ISNUMBER('Assets'!G396)),'Assets'!G396+393/100000,"")</f>
        <v/>
      </c>
      <c r="B396">
        <f>IF(AND(LEN('Assets'!A396)&gt;0,ISNUMBER('Assets'!G396)),MAX($B$3:B395)+1,"")</f>
        <v/>
      </c>
      <c r="E396">
        <f>IFERROR(MATCH(393,$B$4:$B$503,0),"")</f>
        <v/>
      </c>
    </row>
    <row r="397">
      <c r="A397">
        <f>IF(AND(LEN('Assets'!A397)&gt;0,ISNUMBER('Assets'!G397)),'Assets'!G397+394/100000,"")</f>
        <v/>
      </c>
      <c r="B397">
        <f>IF(AND(LEN('Assets'!A397)&gt;0,ISNUMBER('Assets'!G397)),MAX($B$3:B396)+1,"")</f>
        <v/>
      </c>
      <c r="E397">
        <f>IFERROR(MATCH(394,$B$4:$B$503,0),"")</f>
        <v/>
      </c>
    </row>
    <row r="398">
      <c r="A398">
        <f>IF(AND(LEN('Assets'!A398)&gt;0,ISNUMBER('Assets'!G398)),'Assets'!G398+395/100000,"")</f>
        <v/>
      </c>
      <c r="B398">
        <f>IF(AND(LEN('Assets'!A398)&gt;0,ISNUMBER('Assets'!G398)),MAX($B$3:B397)+1,"")</f>
        <v/>
      </c>
      <c r="E398">
        <f>IFERROR(MATCH(395,$B$4:$B$503,0),"")</f>
        <v/>
      </c>
    </row>
    <row r="399">
      <c r="A399">
        <f>IF(AND(LEN('Assets'!A399)&gt;0,ISNUMBER('Assets'!G399)),'Assets'!G399+396/100000,"")</f>
        <v/>
      </c>
      <c r="B399">
        <f>IF(AND(LEN('Assets'!A399)&gt;0,ISNUMBER('Assets'!G399)),MAX($B$3:B398)+1,"")</f>
        <v/>
      </c>
      <c r="E399">
        <f>IFERROR(MATCH(396,$B$4:$B$503,0),"")</f>
        <v/>
      </c>
    </row>
    <row r="400">
      <c r="A400">
        <f>IF(AND(LEN('Assets'!A400)&gt;0,ISNUMBER('Assets'!G400)),'Assets'!G400+397/100000,"")</f>
        <v/>
      </c>
      <c r="B400">
        <f>IF(AND(LEN('Assets'!A400)&gt;0,ISNUMBER('Assets'!G400)),MAX($B$3:B399)+1,"")</f>
        <v/>
      </c>
      <c r="E400">
        <f>IFERROR(MATCH(397,$B$4:$B$503,0),"")</f>
        <v/>
      </c>
    </row>
    <row r="401">
      <c r="A401">
        <f>IF(AND(LEN('Assets'!A401)&gt;0,ISNUMBER('Assets'!G401)),'Assets'!G401+398/100000,"")</f>
        <v/>
      </c>
      <c r="B401">
        <f>IF(AND(LEN('Assets'!A401)&gt;0,ISNUMBER('Assets'!G401)),MAX($B$3:B400)+1,"")</f>
        <v/>
      </c>
      <c r="E401">
        <f>IFERROR(MATCH(398,$B$4:$B$503,0),"")</f>
        <v/>
      </c>
    </row>
    <row r="402">
      <c r="A402">
        <f>IF(AND(LEN('Assets'!A402)&gt;0,ISNUMBER('Assets'!G402)),'Assets'!G402+399/100000,"")</f>
        <v/>
      </c>
      <c r="B402">
        <f>IF(AND(LEN('Assets'!A402)&gt;0,ISNUMBER('Assets'!G402)),MAX($B$3:B401)+1,"")</f>
        <v/>
      </c>
      <c r="E402">
        <f>IFERROR(MATCH(399,$B$4:$B$503,0),"")</f>
        <v/>
      </c>
    </row>
    <row r="403">
      <c r="A403">
        <f>IF(AND(LEN('Assets'!A403)&gt;0,ISNUMBER('Assets'!G403)),'Assets'!G403+400/100000,"")</f>
        <v/>
      </c>
      <c r="B403">
        <f>IF(AND(LEN('Assets'!A403)&gt;0,ISNUMBER('Assets'!G403)),MAX($B$3:B402)+1,"")</f>
        <v/>
      </c>
      <c r="E403">
        <f>IFERROR(MATCH(400,$B$4:$B$503,0),"")</f>
        <v/>
      </c>
    </row>
    <row r="404">
      <c r="A404">
        <f>IF(AND(LEN('Assets'!A404)&gt;0,ISNUMBER('Assets'!G404)),'Assets'!G404+401/100000,"")</f>
        <v/>
      </c>
      <c r="B404">
        <f>IF(AND(LEN('Assets'!A404)&gt;0,ISNUMBER('Assets'!G404)),MAX($B$3:B403)+1,"")</f>
        <v/>
      </c>
      <c r="E404">
        <f>IFERROR(MATCH(401,$B$4:$B$503,0),"")</f>
        <v/>
      </c>
    </row>
    <row r="405">
      <c r="A405">
        <f>IF(AND(LEN('Assets'!A405)&gt;0,ISNUMBER('Assets'!G405)),'Assets'!G405+402/100000,"")</f>
        <v/>
      </c>
      <c r="B405">
        <f>IF(AND(LEN('Assets'!A405)&gt;0,ISNUMBER('Assets'!G405)),MAX($B$3:B404)+1,"")</f>
        <v/>
      </c>
      <c r="E405">
        <f>IFERROR(MATCH(402,$B$4:$B$503,0),"")</f>
        <v/>
      </c>
    </row>
    <row r="406">
      <c r="A406">
        <f>IF(AND(LEN('Assets'!A406)&gt;0,ISNUMBER('Assets'!G406)),'Assets'!G406+403/100000,"")</f>
        <v/>
      </c>
      <c r="B406">
        <f>IF(AND(LEN('Assets'!A406)&gt;0,ISNUMBER('Assets'!G406)),MAX($B$3:B405)+1,"")</f>
        <v/>
      </c>
      <c r="E406">
        <f>IFERROR(MATCH(403,$B$4:$B$503,0),"")</f>
        <v/>
      </c>
    </row>
    <row r="407">
      <c r="A407">
        <f>IF(AND(LEN('Assets'!A407)&gt;0,ISNUMBER('Assets'!G407)),'Assets'!G407+404/100000,"")</f>
        <v/>
      </c>
      <c r="B407">
        <f>IF(AND(LEN('Assets'!A407)&gt;0,ISNUMBER('Assets'!G407)),MAX($B$3:B406)+1,"")</f>
        <v/>
      </c>
      <c r="E407">
        <f>IFERROR(MATCH(404,$B$4:$B$503,0),"")</f>
        <v/>
      </c>
    </row>
    <row r="408">
      <c r="A408">
        <f>IF(AND(LEN('Assets'!A408)&gt;0,ISNUMBER('Assets'!G408)),'Assets'!G408+405/100000,"")</f>
        <v/>
      </c>
      <c r="B408">
        <f>IF(AND(LEN('Assets'!A408)&gt;0,ISNUMBER('Assets'!G408)),MAX($B$3:B407)+1,"")</f>
        <v/>
      </c>
      <c r="E408">
        <f>IFERROR(MATCH(405,$B$4:$B$503,0),"")</f>
        <v/>
      </c>
    </row>
    <row r="409">
      <c r="A409">
        <f>IF(AND(LEN('Assets'!A409)&gt;0,ISNUMBER('Assets'!G409)),'Assets'!G409+406/100000,"")</f>
        <v/>
      </c>
      <c r="B409">
        <f>IF(AND(LEN('Assets'!A409)&gt;0,ISNUMBER('Assets'!G409)),MAX($B$3:B408)+1,"")</f>
        <v/>
      </c>
      <c r="E409">
        <f>IFERROR(MATCH(406,$B$4:$B$503,0),"")</f>
        <v/>
      </c>
    </row>
    <row r="410">
      <c r="A410">
        <f>IF(AND(LEN('Assets'!A410)&gt;0,ISNUMBER('Assets'!G410)),'Assets'!G410+407/100000,"")</f>
        <v/>
      </c>
      <c r="B410">
        <f>IF(AND(LEN('Assets'!A410)&gt;0,ISNUMBER('Assets'!G410)),MAX($B$3:B409)+1,"")</f>
        <v/>
      </c>
      <c r="E410">
        <f>IFERROR(MATCH(407,$B$4:$B$503,0),"")</f>
        <v/>
      </c>
    </row>
    <row r="411">
      <c r="A411">
        <f>IF(AND(LEN('Assets'!A411)&gt;0,ISNUMBER('Assets'!G411)),'Assets'!G411+408/100000,"")</f>
        <v/>
      </c>
      <c r="B411">
        <f>IF(AND(LEN('Assets'!A411)&gt;0,ISNUMBER('Assets'!G411)),MAX($B$3:B410)+1,"")</f>
        <v/>
      </c>
      <c r="E411">
        <f>IFERROR(MATCH(408,$B$4:$B$503,0),"")</f>
        <v/>
      </c>
    </row>
    <row r="412">
      <c r="A412">
        <f>IF(AND(LEN('Assets'!A412)&gt;0,ISNUMBER('Assets'!G412)),'Assets'!G412+409/100000,"")</f>
        <v/>
      </c>
      <c r="B412">
        <f>IF(AND(LEN('Assets'!A412)&gt;0,ISNUMBER('Assets'!G412)),MAX($B$3:B411)+1,"")</f>
        <v/>
      </c>
      <c r="E412">
        <f>IFERROR(MATCH(409,$B$4:$B$503,0),"")</f>
        <v/>
      </c>
    </row>
    <row r="413">
      <c r="A413">
        <f>IF(AND(LEN('Assets'!A413)&gt;0,ISNUMBER('Assets'!G413)),'Assets'!G413+410/100000,"")</f>
        <v/>
      </c>
      <c r="B413">
        <f>IF(AND(LEN('Assets'!A413)&gt;0,ISNUMBER('Assets'!G413)),MAX($B$3:B412)+1,"")</f>
        <v/>
      </c>
      <c r="E413">
        <f>IFERROR(MATCH(410,$B$4:$B$503,0),"")</f>
        <v/>
      </c>
    </row>
    <row r="414">
      <c r="A414">
        <f>IF(AND(LEN('Assets'!A414)&gt;0,ISNUMBER('Assets'!G414)),'Assets'!G414+411/100000,"")</f>
        <v/>
      </c>
      <c r="B414">
        <f>IF(AND(LEN('Assets'!A414)&gt;0,ISNUMBER('Assets'!G414)),MAX($B$3:B413)+1,"")</f>
        <v/>
      </c>
      <c r="E414">
        <f>IFERROR(MATCH(411,$B$4:$B$503,0),"")</f>
        <v/>
      </c>
    </row>
    <row r="415">
      <c r="A415">
        <f>IF(AND(LEN('Assets'!A415)&gt;0,ISNUMBER('Assets'!G415)),'Assets'!G415+412/100000,"")</f>
        <v/>
      </c>
      <c r="B415">
        <f>IF(AND(LEN('Assets'!A415)&gt;0,ISNUMBER('Assets'!G415)),MAX($B$3:B414)+1,"")</f>
        <v/>
      </c>
      <c r="E415">
        <f>IFERROR(MATCH(412,$B$4:$B$503,0),"")</f>
        <v/>
      </c>
    </row>
    <row r="416">
      <c r="A416">
        <f>IF(AND(LEN('Assets'!A416)&gt;0,ISNUMBER('Assets'!G416)),'Assets'!G416+413/100000,"")</f>
        <v/>
      </c>
      <c r="B416">
        <f>IF(AND(LEN('Assets'!A416)&gt;0,ISNUMBER('Assets'!G416)),MAX($B$3:B415)+1,"")</f>
        <v/>
      </c>
      <c r="E416">
        <f>IFERROR(MATCH(413,$B$4:$B$503,0),"")</f>
        <v/>
      </c>
    </row>
    <row r="417">
      <c r="A417">
        <f>IF(AND(LEN('Assets'!A417)&gt;0,ISNUMBER('Assets'!G417)),'Assets'!G417+414/100000,"")</f>
        <v/>
      </c>
      <c r="B417">
        <f>IF(AND(LEN('Assets'!A417)&gt;0,ISNUMBER('Assets'!G417)),MAX($B$3:B416)+1,"")</f>
        <v/>
      </c>
      <c r="E417">
        <f>IFERROR(MATCH(414,$B$4:$B$503,0),"")</f>
        <v/>
      </c>
    </row>
    <row r="418">
      <c r="A418">
        <f>IF(AND(LEN('Assets'!A418)&gt;0,ISNUMBER('Assets'!G418)),'Assets'!G418+415/100000,"")</f>
        <v/>
      </c>
      <c r="B418">
        <f>IF(AND(LEN('Assets'!A418)&gt;0,ISNUMBER('Assets'!G418)),MAX($B$3:B417)+1,"")</f>
        <v/>
      </c>
      <c r="E418">
        <f>IFERROR(MATCH(415,$B$4:$B$503,0),"")</f>
        <v/>
      </c>
    </row>
    <row r="419">
      <c r="A419">
        <f>IF(AND(LEN('Assets'!A419)&gt;0,ISNUMBER('Assets'!G419)),'Assets'!G419+416/100000,"")</f>
        <v/>
      </c>
      <c r="B419">
        <f>IF(AND(LEN('Assets'!A419)&gt;0,ISNUMBER('Assets'!G419)),MAX($B$3:B418)+1,"")</f>
        <v/>
      </c>
      <c r="E419">
        <f>IFERROR(MATCH(416,$B$4:$B$503,0),"")</f>
        <v/>
      </c>
    </row>
    <row r="420">
      <c r="A420">
        <f>IF(AND(LEN('Assets'!A420)&gt;0,ISNUMBER('Assets'!G420)),'Assets'!G420+417/100000,"")</f>
        <v/>
      </c>
      <c r="B420">
        <f>IF(AND(LEN('Assets'!A420)&gt;0,ISNUMBER('Assets'!G420)),MAX($B$3:B419)+1,"")</f>
        <v/>
      </c>
      <c r="E420">
        <f>IFERROR(MATCH(417,$B$4:$B$503,0),"")</f>
        <v/>
      </c>
    </row>
    <row r="421">
      <c r="A421">
        <f>IF(AND(LEN('Assets'!A421)&gt;0,ISNUMBER('Assets'!G421)),'Assets'!G421+418/100000,"")</f>
        <v/>
      </c>
      <c r="B421">
        <f>IF(AND(LEN('Assets'!A421)&gt;0,ISNUMBER('Assets'!G421)),MAX($B$3:B420)+1,"")</f>
        <v/>
      </c>
      <c r="E421">
        <f>IFERROR(MATCH(418,$B$4:$B$503,0),"")</f>
        <v/>
      </c>
    </row>
    <row r="422">
      <c r="A422">
        <f>IF(AND(LEN('Assets'!A422)&gt;0,ISNUMBER('Assets'!G422)),'Assets'!G422+419/100000,"")</f>
        <v/>
      </c>
      <c r="B422">
        <f>IF(AND(LEN('Assets'!A422)&gt;0,ISNUMBER('Assets'!G422)),MAX($B$3:B421)+1,"")</f>
        <v/>
      </c>
      <c r="E422">
        <f>IFERROR(MATCH(419,$B$4:$B$503,0),"")</f>
        <v/>
      </c>
    </row>
    <row r="423">
      <c r="A423">
        <f>IF(AND(LEN('Assets'!A423)&gt;0,ISNUMBER('Assets'!G423)),'Assets'!G423+420/100000,"")</f>
        <v/>
      </c>
      <c r="B423">
        <f>IF(AND(LEN('Assets'!A423)&gt;0,ISNUMBER('Assets'!G423)),MAX($B$3:B422)+1,"")</f>
        <v/>
      </c>
      <c r="E423">
        <f>IFERROR(MATCH(420,$B$4:$B$503,0),"")</f>
        <v/>
      </c>
    </row>
    <row r="424">
      <c r="A424">
        <f>IF(AND(LEN('Assets'!A424)&gt;0,ISNUMBER('Assets'!G424)),'Assets'!G424+421/100000,"")</f>
        <v/>
      </c>
      <c r="B424">
        <f>IF(AND(LEN('Assets'!A424)&gt;0,ISNUMBER('Assets'!G424)),MAX($B$3:B423)+1,"")</f>
        <v/>
      </c>
      <c r="E424">
        <f>IFERROR(MATCH(421,$B$4:$B$503,0),"")</f>
        <v/>
      </c>
    </row>
    <row r="425">
      <c r="A425">
        <f>IF(AND(LEN('Assets'!A425)&gt;0,ISNUMBER('Assets'!G425)),'Assets'!G425+422/100000,"")</f>
        <v/>
      </c>
      <c r="B425">
        <f>IF(AND(LEN('Assets'!A425)&gt;0,ISNUMBER('Assets'!G425)),MAX($B$3:B424)+1,"")</f>
        <v/>
      </c>
      <c r="E425">
        <f>IFERROR(MATCH(422,$B$4:$B$503,0),"")</f>
        <v/>
      </c>
    </row>
    <row r="426">
      <c r="A426">
        <f>IF(AND(LEN('Assets'!A426)&gt;0,ISNUMBER('Assets'!G426)),'Assets'!G426+423/100000,"")</f>
        <v/>
      </c>
      <c r="B426">
        <f>IF(AND(LEN('Assets'!A426)&gt;0,ISNUMBER('Assets'!G426)),MAX($B$3:B425)+1,"")</f>
        <v/>
      </c>
      <c r="E426">
        <f>IFERROR(MATCH(423,$B$4:$B$503,0),"")</f>
        <v/>
      </c>
    </row>
    <row r="427">
      <c r="A427">
        <f>IF(AND(LEN('Assets'!A427)&gt;0,ISNUMBER('Assets'!G427)),'Assets'!G427+424/100000,"")</f>
        <v/>
      </c>
      <c r="B427">
        <f>IF(AND(LEN('Assets'!A427)&gt;0,ISNUMBER('Assets'!G427)),MAX($B$3:B426)+1,"")</f>
        <v/>
      </c>
      <c r="E427">
        <f>IFERROR(MATCH(424,$B$4:$B$503,0),"")</f>
        <v/>
      </c>
    </row>
    <row r="428">
      <c r="A428">
        <f>IF(AND(LEN('Assets'!A428)&gt;0,ISNUMBER('Assets'!G428)),'Assets'!G428+425/100000,"")</f>
        <v/>
      </c>
      <c r="B428">
        <f>IF(AND(LEN('Assets'!A428)&gt;0,ISNUMBER('Assets'!G428)),MAX($B$3:B427)+1,"")</f>
        <v/>
      </c>
      <c r="E428">
        <f>IFERROR(MATCH(425,$B$4:$B$503,0),"")</f>
        <v/>
      </c>
    </row>
    <row r="429">
      <c r="A429">
        <f>IF(AND(LEN('Assets'!A429)&gt;0,ISNUMBER('Assets'!G429)),'Assets'!G429+426/100000,"")</f>
        <v/>
      </c>
      <c r="B429">
        <f>IF(AND(LEN('Assets'!A429)&gt;0,ISNUMBER('Assets'!G429)),MAX($B$3:B428)+1,"")</f>
        <v/>
      </c>
      <c r="E429">
        <f>IFERROR(MATCH(426,$B$4:$B$503,0),"")</f>
        <v/>
      </c>
    </row>
    <row r="430">
      <c r="A430">
        <f>IF(AND(LEN('Assets'!A430)&gt;0,ISNUMBER('Assets'!G430)),'Assets'!G430+427/100000,"")</f>
        <v/>
      </c>
      <c r="B430">
        <f>IF(AND(LEN('Assets'!A430)&gt;0,ISNUMBER('Assets'!G430)),MAX($B$3:B429)+1,"")</f>
        <v/>
      </c>
      <c r="E430">
        <f>IFERROR(MATCH(427,$B$4:$B$503,0),"")</f>
        <v/>
      </c>
    </row>
    <row r="431">
      <c r="A431">
        <f>IF(AND(LEN('Assets'!A431)&gt;0,ISNUMBER('Assets'!G431)),'Assets'!G431+428/100000,"")</f>
        <v/>
      </c>
      <c r="B431">
        <f>IF(AND(LEN('Assets'!A431)&gt;0,ISNUMBER('Assets'!G431)),MAX($B$3:B430)+1,"")</f>
        <v/>
      </c>
      <c r="E431">
        <f>IFERROR(MATCH(428,$B$4:$B$503,0),"")</f>
        <v/>
      </c>
    </row>
    <row r="432">
      <c r="A432">
        <f>IF(AND(LEN('Assets'!A432)&gt;0,ISNUMBER('Assets'!G432)),'Assets'!G432+429/100000,"")</f>
        <v/>
      </c>
      <c r="B432">
        <f>IF(AND(LEN('Assets'!A432)&gt;0,ISNUMBER('Assets'!G432)),MAX($B$3:B431)+1,"")</f>
        <v/>
      </c>
      <c r="E432">
        <f>IFERROR(MATCH(429,$B$4:$B$503,0),"")</f>
        <v/>
      </c>
    </row>
    <row r="433">
      <c r="A433">
        <f>IF(AND(LEN('Assets'!A433)&gt;0,ISNUMBER('Assets'!G433)),'Assets'!G433+430/100000,"")</f>
        <v/>
      </c>
      <c r="B433">
        <f>IF(AND(LEN('Assets'!A433)&gt;0,ISNUMBER('Assets'!G433)),MAX($B$3:B432)+1,"")</f>
        <v/>
      </c>
      <c r="E433">
        <f>IFERROR(MATCH(430,$B$4:$B$503,0),"")</f>
        <v/>
      </c>
    </row>
    <row r="434">
      <c r="A434">
        <f>IF(AND(LEN('Assets'!A434)&gt;0,ISNUMBER('Assets'!G434)),'Assets'!G434+431/100000,"")</f>
        <v/>
      </c>
      <c r="B434">
        <f>IF(AND(LEN('Assets'!A434)&gt;0,ISNUMBER('Assets'!G434)),MAX($B$3:B433)+1,"")</f>
        <v/>
      </c>
      <c r="E434">
        <f>IFERROR(MATCH(431,$B$4:$B$503,0),"")</f>
        <v/>
      </c>
    </row>
    <row r="435">
      <c r="A435">
        <f>IF(AND(LEN('Assets'!A435)&gt;0,ISNUMBER('Assets'!G435)),'Assets'!G435+432/100000,"")</f>
        <v/>
      </c>
      <c r="B435">
        <f>IF(AND(LEN('Assets'!A435)&gt;0,ISNUMBER('Assets'!G435)),MAX($B$3:B434)+1,"")</f>
        <v/>
      </c>
      <c r="E435">
        <f>IFERROR(MATCH(432,$B$4:$B$503,0),"")</f>
        <v/>
      </c>
    </row>
    <row r="436">
      <c r="A436">
        <f>IF(AND(LEN('Assets'!A436)&gt;0,ISNUMBER('Assets'!G436)),'Assets'!G436+433/100000,"")</f>
        <v/>
      </c>
      <c r="B436">
        <f>IF(AND(LEN('Assets'!A436)&gt;0,ISNUMBER('Assets'!G436)),MAX($B$3:B435)+1,"")</f>
        <v/>
      </c>
      <c r="E436">
        <f>IFERROR(MATCH(433,$B$4:$B$503,0),"")</f>
        <v/>
      </c>
    </row>
    <row r="437">
      <c r="A437">
        <f>IF(AND(LEN('Assets'!A437)&gt;0,ISNUMBER('Assets'!G437)),'Assets'!G437+434/100000,"")</f>
        <v/>
      </c>
      <c r="B437">
        <f>IF(AND(LEN('Assets'!A437)&gt;0,ISNUMBER('Assets'!G437)),MAX($B$3:B436)+1,"")</f>
        <v/>
      </c>
      <c r="E437">
        <f>IFERROR(MATCH(434,$B$4:$B$503,0),"")</f>
        <v/>
      </c>
    </row>
    <row r="438">
      <c r="A438">
        <f>IF(AND(LEN('Assets'!A438)&gt;0,ISNUMBER('Assets'!G438)),'Assets'!G438+435/100000,"")</f>
        <v/>
      </c>
      <c r="B438">
        <f>IF(AND(LEN('Assets'!A438)&gt;0,ISNUMBER('Assets'!G438)),MAX($B$3:B437)+1,"")</f>
        <v/>
      </c>
      <c r="E438">
        <f>IFERROR(MATCH(435,$B$4:$B$503,0),"")</f>
        <v/>
      </c>
    </row>
    <row r="439">
      <c r="A439">
        <f>IF(AND(LEN('Assets'!A439)&gt;0,ISNUMBER('Assets'!G439)),'Assets'!G439+436/100000,"")</f>
        <v/>
      </c>
      <c r="B439">
        <f>IF(AND(LEN('Assets'!A439)&gt;0,ISNUMBER('Assets'!G439)),MAX($B$3:B438)+1,"")</f>
        <v/>
      </c>
      <c r="E439">
        <f>IFERROR(MATCH(436,$B$4:$B$503,0),"")</f>
        <v/>
      </c>
    </row>
    <row r="440">
      <c r="A440">
        <f>IF(AND(LEN('Assets'!A440)&gt;0,ISNUMBER('Assets'!G440)),'Assets'!G440+437/100000,"")</f>
        <v/>
      </c>
      <c r="B440">
        <f>IF(AND(LEN('Assets'!A440)&gt;0,ISNUMBER('Assets'!G440)),MAX($B$3:B439)+1,"")</f>
        <v/>
      </c>
      <c r="E440">
        <f>IFERROR(MATCH(437,$B$4:$B$503,0),"")</f>
        <v/>
      </c>
    </row>
    <row r="441">
      <c r="A441">
        <f>IF(AND(LEN('Assets'!A441)&gt;0,ISNUMBER('Assets'!G441)),'Assets'!G441+438/100000,"")</f>
        <v/>
      </c>
      <c r="B441">
        <f>IF(AND(LEN('Assets'!A441)&gt;0,ISNUMBER('Assets'!G441)),MAX($B$3:B440)+1,"")</f>
        <v/>
      </c>
      <c r="E441">
        <f>IFERROR(MATCH(438,$B$4:$B$503,0),"")</f>
        <v/>
      </c>
    </row>
    <row r="442">
      <c r="A442">
        <f>IF(AND(LEN('Assets'!A442)&gt;0,ISNUMBER('Assets'!G442)),'Assets'!G442+439/100000,"")</f>
        <v/>
      </c>
      <c r="B442">
        <f>IF(AND(LEN('Assets'!A442)&gt;0,ISNUMBER('Assets'!G442)),MAX($B$3:B441)+1,"")</f>
        <v/>
      </c>
      <c r="E442">
        <f>IFERROR(MATCH(439,$B$4:$B$503,0),"")</f>
        <v/>
      </c>
    </row>
    <row r="443">
      <c r="A443">
        <f>IF(AND(LEN('Assets'!A443)&gt;0,ISNUMBER('Assets'!G443)),'Assets'!G443+440/100000,"")</f>
        <v/>
      </c>
      <c r="B443">
        <f>IF(AND(LEN('Assets'!A443)&gt;0,ISNUMBER('Assets'!G443)),MAX($B$3:B442)+1,"")</f>
        <v/>
      </c>
      <c r="E443">
        <f>IFERROR(MATCH(440,$B$4:$B$503,0),"")</f>
        <v/>
      </c>
    </row>
    <row r="444">
      <c r="A444">
        <f>IF(AND(LEN('Assets'!A444)&gt;0,ISNUMBER('Assets'!G444)),'Assets'!G444+441/100000,"")</f>
        <v/>
      </c>
      <c r="B444">
        <f>IF(AND(LEN('Assets'!A444)&gt;0,ISNUMBER('Assets'!G444)),MAX($B$3:B443)+1,"")</f>
        <v/>
      </c>
      <c r="E444">
        <f>IFERROR(MATCH(441,$B$4:$B$503,0),"")</f>
        <v/>
      </c>
    </row>
    <row r="445">
      <c r="A445">
        <f>IF(AND(LEN('Assets'!A445)&gt;0,ISNUMBER('Assets'!G445)),'Assets'!G445+442/100000,"")</f>
        <v/>
      </c>
      <c r="B445">
        <f>IF(AND(LEN('Assets'!A445)&gt;0,ISNUMBER('Assets'!G445)),MAX($B$3:B444)+1,"")</f>
        <v/>
      </c>
      <c r="E445">
        <f>IFERROR(MATCH(442,$B$4:$B$503,0),"")</f>
        <v/>
      </c>
    </row>
    <row r="446">
      <c r="A446">
        <f>IF(AND(LEN('Assets'!A446)&gt;0,ISNUMBER('Assets'!G446)),'Assets'!G446+443/100000,"")</f>
        <v/>
      </c>
      <c r="B446">
        <f>IF(AND(LEN('Assets'!A446)&gt;0,ISNUMBER('Assets'!G446)),MAX($B$3:B445)+1,"")</f>
        <v/>
      </c>
      <c r="E446">
        <f>IFERROR(MATCH(443,$B$4:$B$503,0),"")</f>
        <v/>
      </c>
    </row>
    <row r="447">
      <c r="A447">
        <f>IF(AND(LEN('Assets'!A447)&gt;0,ISNUMBER('Assets'!G447)),'Assets'!G447+444/100000,"")</f>
        <v/>
      </c>
      <c r="B447">
        <f>IF(AND(LEN('Assets'!A447)&gt;0,ISNUMBER('Assets'!G447)),MAX($B$3:B446)+1,"")</f>
        <v/>
      </c>
      <c r="E447">
        <f>IFERROR(MATCH(444,$B$4:$B$503,0),"")</f>
        <v/>
      </c>
    </row>
    <row r="448">
      <c r="A448">
        <f>IF(AND(LEN('Assets'!A448)&gt;0,ISNUMBER('Assets'!G448)),'Assets'!G448+445/100000,"")</f>
        <v/>
      </c>
      <c r="B448">
        <f>IF(AND(LEN('Assets'!A448)&gt;0,ISNUMBER('Assets'!G448)),MAX($B$3:B447)+1,"")</f>
        <v/>
      </c>
      <c r="E448">
        <f>IFERROR(MATCH(445,$B$4:$B$503,0),"")</f>
        <v/>
      </c>
    </row>
    <row r="449">
      <c r="A449">
        <f>IF(AND(LEN('Assets'!A449)&gt;0,ISNUMBER('Assets'!G449)),'Assets'!G449+446/100000,"")</f>
        <v/>
      </c>
      <c r="B449">
        <f>IF(AND(LEN('Assets'!A449)&gt;0,ISNUMBER('Assets'!G449)),MAX($B$3:B448)+1,"")</f>
        <v/>
      </c>
      <c r="E449">
        <f>IFERROR(MATCH(446,$B$4:$B$503,0),"")</f>
        <v/>
      </c>
    </row>
    <row r="450">
      <c r="A450">
        <f>IF(AND(LEN('Assets'!A450)&gt;0,ISNUMBER('Assets'!G450)),'Assets'!G450+447/100000,"")</f>
        <v/>
      </c>
      <c r="B450">
        <f>IF(AND(LEN('Assets'!A450)&gt;0,ISNUMBER('Assets'!G450)),MAX($B$3:B449)+1,"")</f>
        <v/>
      </c>
      <c r="E450">
        <f>IFERROR(MATCH(447,$B$4:$B$503,0),"")</f>
        <v/>
      </c>
    </row>
    <row r="451">
      <c r="A451">
        <f>IF(AND(LEN('Assets'!A451)&gt;0,ISNUMBER('Assets'!G451)),'Assets'!G451+448/100000,"")</f>
        <v/>
      </c>
      <c r="B451">
        <f>IF(AND(LEN('Assets'!A451)&gt;0,ISNUMBER('Assets'!G451)),MAX($B$3:B450)+1,"")</f>
        <v/>
      </c>
      <c r="E451">
        <f>IFERROR(MATCH(448,$B$4:$B$503,0),"")</f>
        <v/>
      </c>
    </row>
    <row r="452">
      <c r="A452">
        <f>IF(AND(LEN('Assets'!A452)&gt;0,ISNUMBER('Assets'!G452)),'Assets'!G452+449/100000,"")</f>
        <v/>
      </c>
      <c r="B452">
        <f>IF(AND(LEN('Assets'!A452)&gt;0,ISNUMBER('Assets'!G452)),MAX($B$3:B451)+1,"")</f>
        <v/>
      </c>
      <c r="E452">
        <f>IFERROR(MATCH(449,$B$4:$B$503,0),"")</f>
        <v/>
      </c>
    </row>
    <row r="453">
      <c r="A453">
        <f>IF(AND(LEN('Assets'!A453)&gt;0,ISNUMBER('Assets'!G453)),'Assets'!G453+450/100000,"")</f>
        <v/>
      </c>
      <c r="B453">
        <f>IF(AND(LEN('Assets'!A453)&gt;0,ISNUMBER('Assets'!G453)),MAX($B$3:B452)+1,"")</f>
        <v/>
      </c>
      <c r="E453">
        <f>IFERROR(MATCH(450,$B$4:$B$503,0),"")</f>
        <v/>
      </c>
    </row>
    <row r="454">
      <c r="A454">
        <f>IF(AND(LEN('Assets'!A454)&gt;0,ISNUMBER('Assets'!G454)),'Assets'!G454+451/100000,"")</f>
        <v/>
      </c>
      <c r="B454">
        <f>IF(AND(LEN('Assets'!A454)&gt;0,ISNUMBER('Assets'!G454)),MAX($B$3:B453)+1,"")</f>
        <v/>
      </c>
      <c r="E454">
        <f>IFERROR(MATCH(451,$B$4:$B$503,0),"")</f>
        <v/>
      </c>
    </row>
    <row r="455">
      <c r="A455">
        <f>IF(AND(LEN('Assets'!A455)&gt;0,ISNUMBER('Assets'!G455)),'Assets'!G455+452/100000,"")</f>
        <v/>
      </c>
      <c r="B455">
        <f>IF(AND(LEN('Assets'!A455)&gt;0,ISNUMBER('Assets'!G455)),MAX($B$3:B454)+1,"")</f>
        <v/>
      </c>
      <c r="E455">
        <f>IFERROR(MATCH(452,$B$4:$B$503,0),"")</f>
        <v/>
      </c>
    </row>
    <row r="456">
      <c r="A456">
        <f>IF(AND(LEN('Assets'!A456)&gt;0,ISNUMBER('Assets'!G456)),'Assets'!G456+453/100000,"")</f>
        <v/>
      </c>
      <c r="B456">
        <f>IF(AND(LEN('Assets'!A456)&gt;0,ISNUMBER('Assets'!G456)),MAX($B$3:B455)+1,"")</f>
        <v/>
      </c>
      <c r="E456">
        <f>IFERROR(MATCH(453,$B$4:$B$503,0),"")</f>
        <v/>
      </c>
    </row>
    <row r="457">
      <c r="A457">
        <f>IF(AND(LEN('Assets'!A457)&gt;0,ISNUMBER('Assets'!G457)),'Assets'!G457+454/100000,"")</f>
        <v/>
      </c>
      <c r="B457">
        <f>IF(AND(LEN('Assets'!A457)&gt;0,ISNUMBER('Assets'!G457)),MAX($B$3:B456)+1,"")</f>
        <v/>
      </c>
      <c r="E457">
        <f>IFERROR(MATCH(454,$B$4:$B$503,0),"")</f>
        <v/>
      </c>
    </row>
    <row r="458">
      <c r="A458">
        <f>IF(AND(LEN('Assets'!A458)&gt;0,ISNUMBER('Assets'!G458)),'Assets'!G458+455/100000,"")</f>
        <v/>
      </c>
      <c r="B458">
        <f>IF(AND(LEN('Assets'!A458)&gt;0,ISNUMBER('Assets'!G458)),MAX($B$3:B457)+1,"")</f>
        <v/>
      </c>
      <c r="E458">
        <f>IFERROR(MATCH(455,$B$4:$B$503,0),"")</f>
        <v/>
      </c>
    </row>
    <row r="459">
      <c r="A459">
        <f>IF(AND(LEN('Assets'!A459)&gt;0,ISNUMBER('Assets'!G459)),'Assets'!G459+456/100000,"")</f>
        <v/>
      </c>
      <c r="B459">
        <f>IF(AND(LEN('Assets'!A459)&gt;0,ISNUMBER('Assets'!G459)),MAX($B$3:B458)+1,"")</f>
        <v/>
      </c>
      <c r="E459">
        <f>IFERROR(MATCH(456,$B$4:$B$503,0),"")</f>
        <v/>
      </c>
    </row>
    <row r="460">
      <c r="A460">
        <f>IF(AND(LEN('Assets'!A460)&gt;0,ISNUMBER('Assets'!G460)),'Assets'!G460+457/100000,"")</f>
        <v/>
      </c>
      <c r="B460">
        <f>IF(AND(LEN('Assets'!A460)&gt;0,ISNUMBER('Assets'!G460)),MAX($B$3:B459)+1,"")</f>
        <v/>
      </c>
      <c r="E460">
        <f>IFERROR(MATCH(457,$B$4:$B$503,0),"")</f>
        <v/>
      </c>
    </row>
    <row r="461">
      <c r="A461">
        <f>IF(AND(LEN('Assets'!A461)&gt;0,ISNUMBER('Assets'!G461)),'Assets'!G461+458/100000,"")</f>
        <v/>
      </c>
      <c r="B461">
        <f>IF(AND(LEN('Assets'!A461)&gt;0,ISNUMBER('Assets'!G461)),MAX($B$3:B460)+1,"")</f>
        <v/>
      </c>
      <c r="E461">
        <f>IFERROR(MATCH(458,$B$4:$B$503,0),"")</f>
        <v/>
      </c>
    </row>
    <row r="462">
      <c r="A462">
        <f>IF(AND(LEN('Assets'!A462)&gt;0,ISNUMBER('Assets'!G462)),'Assets'!G462+459/100000,"")</f>
        <v/>
      </c>
      <c r="B462">
        <f>IF(AND(LEN('Assets'!A462)&gt;0,ISNUMBER('Assets'!G462)),MAX($B$3:B461)+1,"")</f>
        <v/>
      </c>
      <c r="E462">
        <f>IFERROR(MATCH(459,$B$4:$B$503,0),"")</f>
        <v/>
      </c>
    </row>
    <row r="463">
      <c r="A463">
        <f>IF(AND(LEN('Assets'!A463)&gt;0,ISNUMBER('Assets'!G463)),'Assets'!G463+460/100000,"")</f>
        <v/>
      </c>
      <c r="B463">
        <f>IF(AND(LEN('Assets'!A463)&gt;0,ISNUMBER('Assets'!G463)),MAX($B$3:B462)+1,"")</f>
        <v/>
      </c>
      <c r="E463">
        <f>IFERROR(MATCH(460,$B$4:$B$503,0),"")</f>
        <v/>
      </c>
    </row>
    <row r="464">
      <c r="A464">
        <f>IF(AND(LEN('Assets'!A464)&gt;0,ISNUMBER('Assets'!G464)),'Assets'!G464+461/100000,"")</f>
        <v/>
      </c>
      <c r="B464">
        <f>IF(AND(LEN('Assets'!A464)&gt;0,ISNUMBER('Assets'!G464)),MAX($B$3:B463)+1,"")</f>
        <v/>
      </c>
      <c r="E464">
        <f>IFERROR(MATCH(461,$B$4:$B$503,0),"")</f>
        <v/>
      </c>
    </row>
    <row r="465">
      <c r="A465">
        <f>IF(AND(LEN('Assets'!A465)&gt;0,ISNUMBER('Assets'!G465)),'Assets'!G465+462/100000,"")</f>
        <v/>
      </c>
      <c r="B465">
        <f>IF(AND(LEN('Assets'!A465)&gt;0,ISNUMBER('Assets'!G465)),MAX($B$3:B464)+1,"")</f>
        <v/>
      </c>
      <c r="E465">
        <f>IFERROR(MATCH(462,$B$4:$B$503,0),"")</f>
        <v/>
      </c>
    </row>
    <row r="466">
      <c r="A466">
        <f>IF(AND(LEN('Assets'!A466)&gt;0,ISNUMBER('Assets'!G466)),'Assets'!G466+463/100000,"")</f>
        <v/>
      </c>
      <c r="B466">
        <f>IF(AND(LEN('Assets'!A466)&gt;0,ISNUMBER('Assets'!G466)),MAX($B$3:B465)+1,"")</f>
        <v/>
      </c>
      <c r="E466">
        <f>IFERROR(MATCH(463,$B$4:$B$503,0),"")</f>
        <v/>
      </c>
    </row>
    <row r="467">
      <c r="A467">
        <f>IF(AND(LEN('Assets'!A467)&gt;0,ISNUMBER('Assets'!G467)),'Assets'!G467+464/100000,"")</f>
        <v/>
      </c>
      <c r="B467">
        <f>IF(AND(LEN('Assets'!A467)&gt;0,ISNUMBER('Assets'!G467)),MAX($B$3:B466)+1,"")</f>
        <v/>
      </c>
      <c r="E467">
        <f>IFERROR(MATCH(464,$B$4:$B$503,0),"")</f>
        <v/>
      </c>
    </row>
    <row r="468">
      <c r="A468">
        <f>IF(AND(LEN('Assets'!A468)&gt;0,ISNUMBER('Assets'!G468)),'Assets'!G468+465/100000,"")</f>
        <v/>
      </c>
      <c r="B468">
        <f>IF(AND(LEN('Assets'!A468)&gt;0,ISNUMBER('Assets'!G468)),MAX($B$3:B467)+1,"")</f>
        <v/>
      </c>
      <c r="E468">
        <f>IFERROR(MATCH(465,$B$4:$B$503,0),"")</f>
        <v/>
      </c>
    </row>
    <row r="469">
      <c r="A469">
        <f>IF(AND(LEN('Assets'!A469)&gt;0,ISNUMBER('Assets'!G469)),'Assets'!G469+466/100000,"")</f>
        <v/>
      </c>
      <c r="B469">
        <f>IF(AND(LEN('Assets'!A469)&gt;0,ISNUMBER('Assets'!G469)),MAX($B$3:B468)+1,"")</f>
        <v/>
      </c>
      <c r="E469">
        <f>IFERROR(MATCH(466,$B$4:$B$503,0),"")</f>
        <v/>
      </c>
    </row>
    <row r="470">
      <c r="A470">
        <f>IF(AND(LEN('Assets'!A470)&gt;0,ISNUMBER('Assets'!G470)),'Assets'!G470+467/100000,"")</f>
        <v/>
      </c>
      <c r="B470">
        <f>IF(AND(LEN('Assets'!A470)&gt;0,ISNUMBER('Assets'!G470)),MAX($B$3:B469)+1,"")</f>
        <v/>
      </c>
      <c r="E470">
        <f>IFERROR(MATCH(467,$B$4:$B$503,0),"")</f>
        <v/>
      </c>
    </row>
    <row r="471">
      <c r="A471">
        <f>IF(AND(LEN('Assets'!A471)&gt;0,ISNUMBER('Assets'!G471)),'Assets'!G471+468/100000,"")</f>
        <v/>
      </c>
      <c r="B471">
        <f>IF(AND(LEN('Assets'!A471)&gt;0,ISNUMBER('Assets'!G471)),MAX($B$3:B470)+1,"")</f>
        <v/>
      </c>
      <c r="E471">
        <f>IFERROR(MATCH(468,$B$4:$B$503,0),"")</f>
        <v/>
      </c>
    </row>
    <row r="472">
      <c r="A472">
        <f>IF(AND(LEN('Assets'!A472)&gt;0,ISNUMBER('Assets'!G472)),'Assets'!G472+469/100000,"")</f>
        <v/>
      </c>
      <c r="B472">
        <f>IF(AND(LEN('Assets'!A472)&gt;0,ISNUMBER('Assets'!G472)),MAX($B$3:B471)+1,"")</f>
        <v/>
      </c>
      <c r="E472">
        <f>IFERROR(MATCH(469,$B$4:$B$503,0),"")</f>
        <v/>
      </c>
    </row>
    <row r="473">
      <c r="A473">
        <f>IF(AND(LEN('Assets'!A473)&gt;0,ISNUMBER('Assets'!G473)),'Assets'!G473+470/100000,"")</f>
        <v/>
      </c>
      <c r="B473">
        <f>IF(AND(LEN('Assets'!A473)&gt;0,ISNUMBER('Assets'!G473)),MAX($B$3:B472)+1,"")</f>
        <v/>
      </c>
      <c r="E473">
        <f>IFERROR(MATCH(470,$B$4:$B$503,0),"")</f>
        <v/>
      </c>
    </row>
    <row r="474">
      <c r="A474">
        <f>IF(AND(LEN('Assets'!A474)&gt;0,ISNUMBER('Assets'!G474)),'Assets'!G474+471/100000,"")</f>
        <v/>
      </c>
      <c r="B474">
        <f>IF(AND(LEN('Assets'!A474)&gt;0,ISNUMBER('Assets'!G474)),MAX($B$3:B473)+1,"")</f>
        <v/>
      </c>
      <c r="E474">
        <f>IFERROR(MATCH(471,$B$4:$B$503,0),"")</f>
        <v/>
      </c>
    </row>
    <row r="475">
      <c r="A475">
        <f>IF(AND(LEN('Assets'!A475)&gt;0,ISNUMBER('Assets'!G475)),'Assets'!G475+472/100000,"")</f>
        <v/>
      </c>
      <c r="B475">
        <f>IF(AND(LEN('Assets'!A475)&gt;0,ISNUMBER('Assets'!G475)),MAX($B$3:B474)+1,"")</f>
        <v/>
      </c>
      <c r="E475">
        <f>IFERROR(MATCH(472,$B$4:$B$503,0),"")</f>
        <v/>
      </c>
    </row>
    <row r="476">
      <c r="A476">
        <f>IF(AND(LEN('Assets'!A476)&gt;0,ISNUMBER('Assets'!G476)),'Assets'!G476+473/100000,"")</f>
        <v/>
      </c>
      <c r="B476">
        <f>IF(AND(LEN('Assets'!A476)&gt;0,ISNUMBER('Assets'!G476)),MAX($B$3:B475)+1,"")</f>
        <v/>
      </c>
      <c r="E476">
        <f>IFERROR(MATCH(473,$B$4:$B$503,0),"")</f>
        <v/>
      </c>
    </row>
    <row r="477">
      <c r="A477">
        <f>IF(AND(LEN('Assets'!A477)&gt;0,ISNUMBER('Assets'!G477)),'Assets'!G477+474/100000,"")</f>
        <v/>
      </c>
      <c r="B477">
        <f>IF(AND(LEN('Assets'!A477)&gt;0,ISNUMBER('Assets'!G477)),MAX($B$3:B476)+1,"")</f>
        <v/>
      </c>
      <c r="E477">
        <f>IFERROR(MATCH(474,$B$4:$B$503,0),"")</f>
        <v/>
      </c>
    </row>
    <row r="478">
      <c r="A478">
        <f>IF(AND(LEN('Assets'!A478)&gt;0,ISNUMBER('Assets'!G478)),'Assets'!G478+475/100000,"")</f>
        <v/>
      </c>
      <c r="B478">
        <f>IF(AND(LEN('Assets'!A478)&gt;0,ISNUMBER('Assets'!G478)),MAX($B$3:B477)+1,"")</f>
        <v/>
      </c>
      <c r="E478">
        <f>IFERROR(MATCH(475,$B$4:$B$503,0),"")</f>
        <v/>
      </c>
    </row>
    <row r="479">
      <c r="A479">
        <f>IF(AND(LEN('Assets'!A479)&gt;0,ISNUMBER('Assets'!G479)),'Assets'!G479+476/100000,"")</f>
        <v/>
      </c>
      <c r="B479">
        <f>IF(AND(LEN('Assets'!A479)&gt;0,ISNUMBER('Assets'!G479)),MAX($B$3:B478)+1,"")</f>
        <v/>
      </c>
      <c r="E479">
        <f>IFERROR(MATCH(476,$B$4:$B$503,0),"")</f>
        <v/>
      </c>
    </row>
    <row r="480">
      <c r="A480">
        <f>IF(AND(LEN('Assets'!A480)&gt;0,ISNUMBER('Assets'!G480)),'Assets'!G480+477/100000,"")</f>
        <v/>
      </c>
      <c r="B480">
        <f>IF(AND(LEN('Assets'!A480)&gt;0,ISNUMBER('Assets'!G480)),MAX($B$3:B479)+1,"")</f>
        <v/>
      </c>
      <c r="E480">
        <f>IFERROR(MATCH(477,$B$4:$B$503,0),"")</f>
        <v/>
      </c>
    </row>
    <row r="481">
      <c r="A481">
        <f>IF(AND(LEN('Assets'!A481)&gt;0,ISNUMBER('Assets'!G481)),'Assets'!G481+478/100000,"")</f>
        <v/>
      </c>
      <c r="B481">
        <f>IF(AND(LEN('Assets'!A481)&gt;0,ISNUMBER('Assets'!G481)),MAX($B$3:B480)+1,"")</f>
        <v/>
      </c>
      <c r="E481">
        <f>IFERROR(MATCH(478,$B$4:$B$503,0),"")</f>
        <v/>
      </c>
    </row>
    <row r="482">
      <c r="A482">
        <f>IF(AND(LEN('Assets'!A482)&gt;0,ISNUMBER('Assets'!G482)),'Assets'!G482+479/100000,"")</f>
        <v/>
      </c>
      <c r="B482">
        <f>IF(AND(LEN('Assets'!A482)&gt;0,ISNUMBER('Assets'!G482)),MAX($B$3:B481)+1,"")</f>
        <v/>
      </c>
      <c r="E482">
        <f>IFERROR(MATCH(479,$B$4:$B$503,0),"")</f>
        <v/>
      </c>
    </row>
    <row r="483">
      <c r="A483">
        <f>IF(AND(LEN('Assets'!A483)&gt;0,ISNUMBER('Assets'!G483)),'Assets'!G483+480/100000,"")</f>
        <v/>
      </c>
      <c r="B483">
        <f>IF(AND(LEN('Assets'!A483)&gt;0,ISNUMBER('Assets'!G483)),MAX($B$3:B482)+1,"")</f>
        <v/>
      </c>
      <c r="E483">
        <f>IFERROR(MATCH(480,$B$4:$B$503,0),"")</f>
        <v/>
      </c>
    </row>
    <row r="484">
      <c r="A484">
        <f>IF(AND(LEN('Assets'!A484)&gt;0,ISNUMBER('Assets'!G484)),'Assets'!G484+481/100000,"")</f>
        <v/>
      </c>
      <c r="B484">
        <f>IF(AND(LEN('Assets'!A484)&gt;0,ISNUMBER('Assets'!G484)),MAX($B$3:B483)+1,"")</f>
        <v/>
      </c>
      <c r="E484">
        <f>IFERROR(MATCH(481,$B$4:$B$503,0),"")</f>
        <v/>
      </c>
    </row>
    <row r="485">
      <c r="A485">
        <f>IF(AND(LEN('Assets'!A485)&gt;0,ISNUMBER('Assets'!G485)),'Assets'!G485+482/100000,"")</f>
        <v/>
      </c>
      <c r="B485">
        <f>IF(AND(LEN('Assets'!A485)&gt;0,ISNUMBER('Assets'!G485)),MAX($B$3:B484)+1,"")</f>
        <v/>
      </c>
      <c r="E485">
        <f>IFERROR(MATCH(482,$B$4:$B$503,0),"")</f>
        <v/>
      </c>
    </row>
    <row r="486">
      <c r="A486">
        <f>IF(AND(LEN('Assets'!A486)&gt;0,ISNUMBER('Assets'!G486)),'Assets'!G486+483/100000,"")</f>
        <v/>
      </c>
      <c r="B486">
        <f>IF(AND(LEN('Assets'!A486)&gt;0,ISNUMBER('Assets'!G486)),MAX($B$3:B485)+1,"")</f>
        <v/>
      </c>
      <c r="E486">
        <f>IFERROR(MATCH(483,$B$4:$B$503,0),"")</f>
        <v/>
      </c>
    </row>
    <row r="487">
      <c r="A487">
        <f>IF(AND(LEN('Assets'!A487)&gt;0,ISNUMBER('Assets'!G487)),'Assets'!G487+484/100000,"")</f>
        <v/>
      </c>
      <c r="B487">
        <f>IF(AND(LEN('Assets'!A487)&gt;0,ISNUMBER('Assets'!G487)),MAX($B$3:B486)+1,"")</f>
        <v/>
      </c>
      <c r="E487">
        <f>IFERROR(MATCH(484,$B$4:$B$503,0),"")</f>
        <v/>
      </c>
    </row>
    <row r="488">
      <c r="A488">
        <f>IF(AND(LEN('Assets'!A488)&gt;0,ISNUMBER('Assets'!G488)),'Assets'!G488+485/100000,"")</f>
        <v/>
      </c>
      <c r="B488">
        <f>IF(AND(LEN('Assets'!A488)&gt;0,ISNUMBER('Assets'!G488)),MAX($B$3:B487)+1,"")</f>
        <v/>
      </c>
      <c r="E488">
        <f>IFERROR(MATCH(485,$B$4:$B$503,0),"")</f>
        <v/>
      </c>
    </row>
    <row r="489">
      <c r="A489">
        <f>IF(AND(LEN('Assets'!A489)&gt;0,ISNUMBER('Assets'!G489)),'Assets'!G489+486/100000,"")</f>
        <v/>
      </c>
      <c r="B489">
        <f>IF(AND(LEN('Assets'!A489)&gt;0,ISNUMBER('Assets'!G489)),MAX($B$3:B488)+1,"")</f>
        <v/>
      </c>
      <c r="E489">
        <f>IFERROR(MATCH(486,$B$4:$B$503,0),"")</f>
        <v/>
      </c>
    </row>
    <row r="490">
      <c r="A490">
        <f>IF(AND(LEN('Assets'!A490)&gt;0,ISNUMBER('Assets'!G490)),'Assets'!G490+487/100000,"")</f>
        <v/>
      </c>
      <c r="B490">
        <f>IF(AND(LEN('Assets'!A490)&gt;0,ISNUMBER('Assets'!G490)),MAX($B$3:B489)+1,"")</f>
        <v/>
      </c>
      <c r="E490">
        <f>IFERROR(MATCH(487,$B$4:$B$503,0),"")</f>
        <v/>
      </c>
    </row>
    <row r="491">
      <c r="A491">
        <f>IF(AND(LEN('Assets'!A491)&gt;0,ISNUMBER('Assets'!G491)),'Assets'!G491+488/100000,"")</f>
        <v/>
      </c>
      <c r="B491">
        <f>IF(AND(LEN('Assets'!A491)&gt;0,ISNUMBER('Assets'!G491)),MAX($B$3:B490)+1,"")</f>
        <v/>
      </c>
      <c r="E491">
        <f>IFERROR(MATCH(488,$B$4:$B$503,0),"")</f>
        <v/>
      </c>
    </row>
    <row r="492">
      <c r="A492">
        <f>IF(AND(LEN('Assets'!A492)&gt;0,ISNUMBER('Assets'!G492)),'Assets'!G492+489/100000,"")</f>
        <v/>
      </c>
      <c r="B492">
        <f>IF(AND(LEN('Assets'!A492)&gt;0,ISNUMBER('Assets'!G492)),MAX($B$3:B491)+1,"")</f>
        <v/>
      </c>
      <c r="E492">
        <f>IFERROR(MATCH(489,$B$4:$B$503,0),"")</f>
        <v/>
      </c>
    </row>
    <row r="493">
      <c r="A493">
        <f>IF(AND(LEN('Assets'!A493)&gt;0,ISNUMBER('Assets'!G493)),'Assets'!G493+490/100000,"")</f>
        <v/>
      </c>
      <c r="B493">
        <f>IF(AND(LEN('Assets'!A493)&gt;0,ISNUMBER('Assets'!G493)),MAX($B$3:B492)+1,"")</f>
        <v/>
      </c>
      <c r="E493">
        <f>IFERROR(MATCH(490,$B$4:$B$503,0),"")</f>
        <v/>
      </c>
    </row>
    <row r="494">
      <c r="A494">
        <f>IF(AND(LEN('Assets'!A494)&gt;0,ISNUMBER('Assets'!G494)),'Assets'!G494+491/100000,"")</f>
        <v/>
      </c>
      <c r="B494">
        <f>IF(AND(LEN('Assets'!A494)&gt;0,ISNUMBER('Assets'!G494)),MAX($B$3:B493)+1,"")</f>
        <v/>
      </c>
      <c r="E494">
        <f>IFERROR(MATCH(491,$B$4:$B$503,0),"")</f>
        <v/>
      </c>
    </row>
    <row r="495">
      <c r="A495">
        <f>IF(AND(LEN('Assets'!A495)&gt;0,ISNUMBER('Assets'!G495)),'Assets'!G495+492/100000,"")</f>
        <v/>
      </c>
      <c r="B495">
        <f>IF(AND(LEN('Assets'!A495)&gt;0,ISNUMBER('Assets'!G495)),MAX($B$3:B494)+1,"")</f>
        <v/>
      </c>
      <c r="E495">
        <f>IFERROR(MATCH(492,$B$4:$B$503,0),"")</f>
        <v/>
      </c>
    </row>
    <row r="496">
      <c r="A496">
        <f>IF(AND(LEN('Assets'!A496)&gt;0,ISNUMBER('Assets'!G496)),'Assets'!G496+493/100000,"")</f>
        <v/>
      </c>
      <c r="B496">
        <f>IF(AND(LEN('Assets'!A496)&gt;0,ISNUMBER('Assets'!G496)),MAX($B$3:B495)+1,"")</f>
        <v/>
      </c>
      <c r="E496">
        <f>IFERROR(MATCH(493,$B$4:$B$503,0),"")</f>
        <v/>
      </c>
    </row>
    <row r="497">
      <c r="A497">
        <f>IF(AND(LEN('Assets'!A497)&gt;0,ISNUMBER('Assets'!G497)),'Assets'!G497+494/100000,"")</f>
        <v/>
      </c>
      <c r="B497">
        <f>IF(AND(LEN('Assets'!A497)&gt;0,ISNUMBER('Assets'!G497)),MAX($B$3:B496)+1,"")</f>
        <v/>
      </c>
      <c r="E497">
        <f>IFERROR(MATCH(494,$B$4:$B$503,0),"")</f>
        <v/>
      </c>
    </row>
    <row r="498">
      <c r="A498">
        <f>IF(AND(LEN('Assets'!A498)&gt;0,ISNUMBER('Assets'!G498)),'Assets'!G498+495/100000,"")</f>
        <v/>
      </c>
      <c r="B498">
        <f>IF(AND(LEN('Assets'!A498)&gt;0,ISNUMBER('Assets'!G498)),MAX($B$3:B497)+1,"")</f>
        <v/>
      </c>
      <c r="E498">
        <f>IFERROR(MATCH(495,$B$4:$B$503,0),"")</f>
        <v/>
      </c>
    </row>
    <row r="499">
      <c r="A499">
        <f>IF(AND(LEN('Assets'!A499)&gt;0,ISNUMBER('Assets'!G499)),'Assets'!G499+496/100000,"")</f>
        <v/>
      </c>
      <c r="B499">
        <f>IF(AND(LEN('Assets'!A499)&gt;0,ISNUMBER('Assets'!G499)),MAX($B$3:B498)+1,"")</f>
        <v/>
      </c>
      <c r="E499">
        <f>IFERROR(MATCH(496,$B$4:$B$503,0),"")</f>
        <v/>
      </c>
    </row>
    <row r="500">
      <c r="A500">
        <f>IF(AND(LEN('Assets'!A500)&gt;0,ISNUMBER('Assets'!G500)),'Assets'!G500+497/100000,"")</f>
        <v/>
      </c>
      <c r="B500">
        <f>IF(AND(LEN('Assets'!A500)&gt;0,ISNUMBER('Assets'!G500)),MAX($B$3:B499)+1,"")</f>
        <v/>
      </c>
      <c r="E500">
        <f>IFERROR(MATCH(497,$B$4:$B$503,0),"")</f>
        <v/>
      </c>
    </row>
    <row r="501">
      <c r="A501">
        <f>IF(AND(LEN('Assets'!A501)&gt;0,ISNUMBER('Assets'!G501)),'Assets'!G501+498/100000,"")</f>
        <v/>
      </c>
      <c r="B501">
        <f>IF(AND(LEN('Assets'!A501)&gt;0,ISNUMBER('Assets'!G501)),MAX($B$3:B500)+1,"")</f>
        <v/>
      </c>
      <c r="E501">
        <f>IFERROR(MATCH(498,$B$4:$B$503,0),"")</f>
        <v/>
      </c>
    </row>
    <row r="502">
      <c r="A502">
        <f>IF(AND(LEN('Assets'!A502)&gt;0,ISNUMBER('Assets'!G502)),'Assets'!G502+499/100000,"")</f>
        <v/>
      </c>
      <c r="B502">
        <f>IF(AND(LEN('Assets'!A502)&gt;0,ISNUMBER('Assets'!G502)),MAX($B$3:B501)+1,"")</f>
        <v/>
      </c>
      <c r="E502">
        <f>IFERROR(MATCH(499,$B$4:$B$503,0),"")</f>
        <v/>
      </c>
    </row>
    <row r="503">
      <c r="A503">
        <f>IF(AND(LEN('Assets'!A503)&gt;0,ISNUMBER('Assets'!G503)),'Assets'!G503+500/100000,"")</f>
        <v/>
      </c>
      <c r="B503">
        <f>IF(AND(LEN('Assets'!A503)&gt;0,ISNUMBER('Assets'!G503)),MAX($B$3:B502)+1,"")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Equipment inspection &amp; maintenance log (free template)</dc:title>
  <dc:description xmlns:dc="http://purl.org/dc/elements/1.1/">Free template from expiryedge.com/templates/. September 2026 edition.</dc:description>
  <dc:subject xmlns:dc="http://purl.org/dc/elements/1.1/">Every asset with its inspection interval, the next due date calculated for you, and a history log.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