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ocument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mport to ExpiryEdge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_calc" sheetId="6" state="hidden" r:id="rId6"/>
  </sheets>
  <definedNames>
    <definedName name="_xlnm.Print_Area" localSheetId="0">'Start here'!$A$1:$C$50</definedName>
    <definedName name="_xlnm.Print_Area" localSheetId="1">OFFSET('Documents'!$A$1,0,0,MAX(4,COUNTA('Documents'!$A$1:$A$503)),16)</definedName>
    <definedName name="_xlnm.Print_Titles" localSheetId="1">'Documents'!$3:$3</definedName>
    <definedName name="_xlnm.Print_Area" localSheetId="2">'Dashboard'!$A$1:$H$27</definedName>
    <definedName name="_xlnm.Print_Area" localSheetId="3">OFFSET('Import to ExpiryEdge'!$A$1,0,0,MAX(2,COUNTIF('Import to ExpiryEdge'!$A$1:$A$501,"?*")),11)</definedName>
    <definedName name="_xlnm.Print_Titles" localSheetId="3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Company or sole trader name. (Required for import.)</t>
      </text>
    </comment>
    <comment ref="B3" authorId="0" shapeId="0">
      <text>
        <t>What they do for you.</t>
      </text>
    </comment>
    <comment ref="C3" authorId="0" shapeId="0">
      <text>
        <t>Pick from the list; add your own on the Lists sheet. (Required for import.)</t>
      </text>
    </comment>
    <comment ref="D3" authorId="0" shapeId="0">
      <text>
        <t>Policy, card or registration number.</t>
      </text>
    </comment>
    <comment ref="E3" authorId="0" shapeId="0">
      <text>
        <t>Issue date on the document.</t>
      </text>
    </comment>
    <comment ref="F3" authorId="0" shapeId="0">
      <text>
        <t>Expiry date on the document, or your own review date for documents that do not expire. (Required for import.)</t>
      </text>
    </comment>
    <comment ref="G3" authorId="0" shapeId="0">
      <text>
        <t>How many days before the date you want to start acting. Leave blank for 30.</t>
      </text>
    </comment>
    <comment ref="H3" authorId="0" shapeId="0">
      <text>
        <t>Calculated. Ask for the renewed document before this.</t>
      </text>
    </comment>
    <comment ref="I3" authorId="0" shapeId="0">
      <text>
        <t>Calculated. Days until the date; negative once it has passed.</t>
      </text>
    </comment>
    <comment ref="J3" authorId="0" shapeId="0">
      <text>
        <t>Calculated. Expired, Due ≤30 days, Due ≤90 days or OK.</t>
      </text>
    </comment>
    <comment ref="K3" authorId="0" shapeId="0">
      <text>
        <t>Do you hold a current copy?</t>
      </text>
    </comment>
    <comment ref="L3" authorId="0" shapeId="0">
      <text>
        <t>Where to send the request.</t>
      </text>
    </comment>
    <comment ref="M3" authorId="0" shapeId="0">
      <text>
        <t>Who should be reminded. Becomes notification_email on import.</t>
      </text>
    </comment>
    <comment ref="N3" authorId="0" shapeId="0">
      <text>
        <t>Low, Medium or High. Matches the ExpiryEdge priority field.</t>
      </text>
    </comment>
    <comment ref="O3" authorId="0" shapeId="0">
      <text>
        <t>Link to the certificate or document in your shared drive.</t>
      </text>
    </comment>
    <comment ref="P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Documents" displayName="tblDocuments" ref="A3:P503" headerRowCount="1">
  <autoFilter ref="A3:P503"/>
  <tableColumns count="16">
    <tableColumn id="1" name="Contractor"/>
    <tableColumn id="2" name="Trade / service"/>
    <tableColumn id="3" name="Document"/>
    <tableColumn id="4" name="Reference"/>
    <tableColumn id="5" name="Issued"/>
    <tableColumn id="6" name="Expiry date"/>
    <tableColumn id="7" name="Lead time (days)"/>
    <tableColumn id="8" name="Request-by date"/>
    <tableColumn id="9" name="Days left"/>
    <tableColumn id="10" name="Status"/>
    <tableColumn id="11" name="On file?"/>
    <tableColumn id="12" name="Contractor email"/>
    <tableColumn id="13" name="Internal owner email"/>
    <tableColumn id="14" name="Priority"/>
    <tableColumn id="15" name="Document link"/>
    <tableColumn id="16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contractor-document-track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Vendor &amp; contractor document tracker</t>
        </is>
      </c>
    </row>
    <row r="3">
      <c r="B3" s="2" t="inlineStr">
        <is>
          <t>Insurance certificates, accreditations and other documents you collect from contractors, with a request-by date for each.</t>
        </is>
      </c>
    </row>
    <row r="4">
      <c r="B4" s="3" t="inlineStr">
        <is>
          <t>Free template · September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"Documents"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"Documents"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Contractor *</t>
        </is>
      </c>
      <c r="C21" s="15" t="inlineStr">
        <is>
          <t>Company or sole trader name.</t>
        </is>
      </c>
    </row>
    <row r="22" ht="18" customHeight="1">
      <c r="B22" s="14" t="inlineStr">
        <is>
          <t>Trade / service</t>
        </is>
      </c>
      <c r="C22" s="15" t="inlineStr">
        <is>
          <t>What they do for you.</t>
        </is>
      </c>
    </row>
    <row r="23" ht="18" customHeight="1">
      <c r="B23" s="14" t="inlineStr">
        <is>
          <t>Document *</t>
        </is>
      </c>
      <c r="C23" s="15" t="inlineStr">
        <is>
          <t>Pick from the list; add your own on the Lists sheet.</t>
        </is>
      </c>
    </row>
    <row r="24" ht="18" customHeight="1">
      <c r="B24" s="14" t="inlineStr">
        <is>
          <t>Reference</t>
        </is>
      </c>
      <c r="C24" s="15" t="inlineStr">
        <is>
          <t>Policy, card or registration number.</t>
        </is>
      </c>
    </row>
    <row r="25" ht="18" customHeight="1">
      <c r="B25" s="14" t="inlineStr">
        <is>
          <t>Issued</t>
        </is>
      </c>
      <c r="C25" s="15" t="inlineStr">
        <is>
          <t>Issue date on the document.</t>
        </is>
      </c>
    </row>
    <row r="26" ht="18" customHeight="1">
      <c r="B26" s="14" t="inlineStr">
        <is>
          <t>Expiry date *</t>
        </is>
      </c>
      <c r="C26" s="15" t="inlineStr">
        <is>
          <t>Expiry date on the document, or your own review date for documents that do not expire.</t>
        </is>
      </c>
    </row>
    <row r="27" ht="18" customHeight="1">
      <c r="B27" s="14" t="inlineStr">
        <is>
          <t>Lead time (days)</t>
        </is>
      </c>
      <c r="C27" s="15" t="inlineStr">
        <is>
          <t>How many days before the date you want to start acting. Leave blank for 30.</t>
        </is>
      </c>
    </row>
    <row r="28" ht="18" customHeight="1">
      <c r="B28" s="16" t="inlineStr">
        <is>
          <t>Request-by date</t>
        </is>
      </c>
      <c r="C28" s="15" t="inlineStr">
        <is>
          <t>Calculated. Ask for the renewed document before this.</t>
        </is>
      </c>
    </row>
    <row r="29" ht="18" customHeight="1">
      <c r="B29" s="16" t="inlineStr">
        <is>
          <t>Days left</t>
        </is>
      </c>
      <c r="C29" s="15" t="inlineStr">
        <is>
          <t>Calculated. Days until the date; negative once it has passed.</t>
        </is>
      </c>
    </row>
    <row r="30" ht="18" customHeight="1">
      <c r="B30" s="16" t="inlineStr">
        <is>
          <t>Status</t>
        </is>
      </c>
      <c r="C30" s="15" t="inlineStr">
        <is>
          <t>Calculated. Expired, Due ≤30 days, Due ≤90 days or OK.</t>
        </is>
      </c>
    </row>
    <row r="31" ht="18" customHeight="1">
      <c r="B31" s="14" t="inlineStr">
        <is>
          <t>On file?</t>
        </is>
      </c>
      <c r="C31" s="15" t="inlineStr">
        <is>
          <t>Do you hold a current copy?</t>
        </is>
      </c>
    </row>
    <row r="32" ht="18" customHeight="1">
      <c r="B32" s="14" t="inlineStr">
        <is>
          <t>Contractor email</t>
        </is>
      </c>
      <c r="C32" s="15" t="inlineStr">
        <is>
          <t>Where to send the request.</t>
        </is>
      </c>
    </row>
    <row r="33" ht="18" customHeight="1">
      <c r="B33" s="14" t="inlineStr">
        <is>
          <t>Internal owner email</t>
        </is>
      </c>
      <c r="C33" s="15" t="inlineStr">
        <is>
          <t>Who should be reminded. Becomes notification_email on import.</t>
        </is>
      </c>
    </row>
    <row r="34" ht="18" customHeight="1">
      <c r="B34" s="14" t="inlineStr">
        <is>
          <t>Priority</t>
        </is>
      </c>
      <c r="C34" s="15" t="inlineStr">
        <is>
          <t>Low, Medium or High. Matches the ExpiryEdge priority field.</t>
        </is>
      </c>
    </row>
    <row r="35" ht="18" customHeight="1">
      <c r="B35" s="14" t="inlineStr">
        <is>
          <t>Document link</t>
        </is>
      </c>
      <c r="C35" s="15" t="inlineStr">
        <is>
          <t>Link to the certificate or document in your shared drive.</t>
        </is>
      </c>
    </row>
    <row r="36" ht="18" customHeight="1">
      <c r="B36" s="14" t="inlineStr">
        <is>
          <t>Notes</t>
        </is>
      </c>
      <c r="C36" s="15" t="inlineStr">
        <is>
          <t>Anything the next person needs to know.</t>
        </is>
      </c>
    </row>
    <row r="37">
      <c r="B37" s="3" t="inlineStr">
        <is>
          <t>* needed for the import sheet.</t>
        </is>
      </c>
    </row>
    <row r="39">
      <c r="B39" s="4" t="inlineStr">
        <is>
          <t>Other sheets</t>
        </is>
      </c>
    </row>
    <row r="40" ht="18" customHeight="1">
      <c r="B40" s="5" t="inlineStr">
        <is>
          <t>Dashboard</t>
        </is>
      </c>
      <c r="C40" s="6" t="inlineStr">
        <is>
          <t>Counts by status and the next 10 dates, always as of today.</t>
        </is>
      </c>
    </row>
    <row r="41" ht="48" customHeight="1">
      <c r="B41" s="5" t="inlineStr">
        <is>
          <t>Import to ExpiryEdge</t>
        </is>
      </c>
      <c r="C41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42" ht="18" customHeight="1">
      <c r="B42" s="5" t="inlineStr">
        <is>
          <t>Lists</t>
        </is>
      </c>
      <c r="C42" s="6" t="inlineStr">
        <is>
          <t>The options behind the dropdowns. Add your own there.</t>
        </is>
      </c>
    </row>
    <row r="44">
      <c r="B44" s="4" t="inlineStr">
        <is>
          <t>Good to know</t>
        </is>
      </c>
    </row>
    <row r="45">
      <c r="B45" s="8" t="inlineStr">
        <is>
          <t>·  Formulas are filled down for 500 rows. Need more? Copy the last row down.</t>
        </is>
      </c>
    </row>
    <row r="46">
      <c r="B46" s="8" t="inlineStr">
        <is>
          <t>·  Dates must be real dates, not text. If a status says "Check date", retype that date.</t>
        </is>
      </c>
    </row>
    <row r="47">
      <c r="B47" s="8" t="inlineStr">
        <is>
          <t>·  The file only changes when someone opens it. It cannot send reminders on its own.</t>
        </is>
      </c>
    </row>
    <row r="48">
      <c r="B48" s="8" t="inlineStr">
        <is>
          <t>·  This is a free template, not legal advice. Check dates and requirements against the official source for your situation.</t>
        </is>
      </c>
    </row>
    <row r="50">
      <c r="B50" s="17" t="inlineStr">
        <is>
          <t>Made by ExpiryEdge · expiryedge.com</t>
        </is>
      </c>
    </row>
  </sheetData>
  <hyperlinks>
    <hyperlink xmlns:r="http://schemas.openxmlformats.org/officeDocument/2006/relationships" ref="B50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P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30" customWidth="1" min="3" max="3"/>
    <col width="16" customWidth="1" min="4" max="4"/>
    <col width="13" customWidth="1" min="5" max="5"/>
    <col width="13" customWidth="1" min="6" max="6"/>
    <col width="11" customWidth="1" min="7" max="7"/>
    <col width="13" customWidth="1" min="8" max="8"/>
    <col width="10" customWidth="1" min="9" max="9"/>
    <col width="14" customWidth="1" min="10" max="10"/>
    <col width="11" customWidth="1" min="11" max="11"/>
    <col width="26" customWidth="1" min="12" max="12"/>
    <col width="26" customWidth="1" min="13" max="13"/>
    <col width="10" customWidth="1" min="14" max="14"/>
    <col width="26" customWidth="1" min="15" max="15"/>
    <col width="36" customWidth="1" min="16" max="16"/>
  </cols>
  <sheetData>
    <row r="1" ht="24" customHeight="1">
      <c r="A1" s="18" t="inlineStr">
        <is>
          <t>Contractor documents (one row per contractor per document)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Contractor</t>
        </is>
      </c>
      <c r="B3" s="19" t="inlineStr">
        <is>
          <t>Trade / service</t>
        </is>
      </c>
      <c r="C3" s="19" t="inlineStr">
        <is>
          <t>Document</t>
        </is>
      </c>
      <c r="D3" s="19" t="inlineStr">
        <is>
          <t>Reference</t>
        </is>
      </c>
      <c r="E3" s="19" t="inlineStr">
        <is>
          <t>Issued</t>
        </is>
      </c>
      <c r="F3" s="19" t="inlineStr">
        <is>
          <t>Expiry date</t>
        </is>
      </c>
      <c r="G3" s="19" t="inlineStr">
        <is>
          <t>Lead time (days)</t>
        </is>
      </c>
      <c r="H3" s="20" t="inlineStr">
        <is>
          <t>Request-by date</t>
        </is>
      </c>
      <c r="I3" s="20" t="inlineStr">
        <is>
          <t>Days left</t>
        </is>
      </c>
      <c r="J3" s="20" t="inlineStr">
        <is>
          <t>Status</t>
        </is>
      </c>
      <c r="K3" s="19" t="inlineStr">
        <is>
          <t>On file?</t>
        </is>
      </c>
      <c r="L3" s="19" t="inlineStr">
        <is>
          <t>Contractor email</t>
        </is>
      </c>
      <c r="M3" s="19" t="inlineStr">
        <is>
          <t>Internal owner email</t>
        </is>
      </c>
      <c r="N3" s="19" t="inlineStr">
        <is>
          <t>Priority</t>
        </is>
      </c>
      <c r="O3" s="19" t="inlineStr">
        <is>
          <t>Document link</t>
        </is>
      </c>
      <c r="P3" s="19" t="inlineStr">
        <is>
          <t>Notes</t>
        </is>
      </c>
    </row>
    <row r="4">
      <c r="A4" s="21" t="inlineStr">
        <is>
          <t>Example – Sample Electrical Ltd</t>
        </is>
      </c>
      <c r="B4" s="21" t="inlineStr">
        <is>
          <t>Electrical</t>
        </is>
      </c>
      <c r="C4" s="21" t="inlineStr">
        <is>
          <t>Public liability insurance</t>
        </is>
      </c>
      <c r="D4" s="21" t="inlineStr">
        <is>
          <t>PL-111222</t>
        </is>
      </c>
      <c r="E4" s="22" t="n">
        <v>45950</v>
      </c>
      <c r="F4" s="22" t="n">
        <v>46315</v>
      </c>
      <c r="G4" s="23" t="n">
        <v>30</v>
      </c>
      <c r="H4" s="24">
        <f>IF(ISNUMBER(F4),F4-IF(ISNUMBER(G4),G4,30),"")</f>
        <v/>
      </c>
      <c r="I4" s="25">
        <f>IF(F4="","",IF(ISNUMBER(F4),F4-TODAY(),"Check date"))</f>
        <v/>
      </c>
      <c r="J4" s="26">
        <f>IF(I4="","",IF(ISNUMBER(I4),IF(I4&lt;0,"Expired",IF(I4&lt;=30,"Due ≤30 days",IF(I4&lt;=90,"Due ≤90 days","OK"))),"Check date"))</f>
        <v/>
      </c>
      <c r="K4" s="21" t="inlineStr">
        <is>
          <t>Yes</t>
        </is>
      </c>
      <c r="L4" s="21" t="inlineStr">
        <is>
          <t>office@example.com</t>
        </is>
      </c>
      <c r="M4" s="21" t="inlineStr">
        <is>
          <t>alex@example.com</t>
        </is>
      </c>
      <c r="N4" s="21" t="inlineStr">
        <is>
          <t>High</t>
        </is>
      </c>
      <c r="O4" s="21" t="n"/>
      <c r="P4" s="21" t="n"/>
    </row>
    <row r="5">
      <c r="A5" s="21" t="inlineStr">
        <is>
          <t>Example – Sample Electrical Ltd</t>
        </is>
      </c>
      <c r="B5" s="21" t="inlineStr">
        <is>
          <t>Electrical</t>
        </is>
      </c>
      <c r="C5" s="21" t="inlineStr">
        <is>
          <t>Trade accreditation / registration</t>
        </is>
      </c>
      <c r="D5" s="21" t="inlineStr">
        <is>
          <t>REG-0001</t>
        </is>
      </c>
      <c r="E5" s="22" t="n">
        <v>45992</v>
      </c>
      <c r="F5" s="22" t="n">
        <v>46356</v>
      </c>
      <c r="G5" s="23" t="n">
        <v>30</v>
      </c>
      <c r="H5" s="24">
        <f>IF(ISNUMBER(F5),F5-IF(ISNUMBER(G5),G5,30),"")</f>
        <v/>
      </c>
      <c r="I5" s="25">
        <f>IF(F5="","",IF(ISNUMBER(F5),F5-TODAY(),"Check date"))</f>
        <v/>
      </c>
      <c r="J5" s="26">
        <f>IF(I5="","",IF(ISNUMBER(I5),IF(I5&lt;0,"Expired",IF(I5&lt;=30,"Due ≤30 days",IF(I5&lt;=90,"Due ≤90 days","OK"))),"Check date"))</f>
        <v/>
      </c>
      <c r="K5" s="21" t="inlineStr">
        <is>
          <t>Yes</t>
        </is>
      </c>
      <c r="L5" s="21" t="inlineStr">
        <is>
          <t>office@example.com</t>
        </is>
      </c>
      <c r="M5" s="21" t="inlineStr">
        <is>
          <t>alex@example.com</t>
        </is>
      </c>
      <c r="N5" s="21" t="inlineStr">
        <is>
          <t>Medium</t>
        </is>
      </c>
      <c r="O5" s="21" t="n"/>
      <c r="P5" s="21" t="n"/>
    </row>
    <row r="6">
      <c r="A6" s="21" t="inlineStr">
        <is>
          <t>Example – Sample Scaffolding Co</t>
        </is>
      </c>
      <c r="B6" s="21" t="inlineStr">
        <is>
          <t>Scaffolding</t>
        </is>
      </c>
      <c r="C6" s="21" t="inlineStr">
        <is>
          <t>Employers' liability insurance</t>
        </is>
      </c>
      <c r="D6" s="21" t="inlineStr">
        <is>
          <t>EL-333444</t>
        </is>
      </c>
      <c r="E6" s="22" t="n">
        <v>45915</v>
      </c>
      <c r="F6" s="22" t="n">
        <v>46280</v>
      </c>
      <c r="G6" s="23" t="n">
        <v>30</v>
      </c>
      <c r="H6" s="24">
        <f>IF(ISNUMBER(F6),F6-IF(ISNUMBER(G6),G6,30),"")</f>
        <v/>
      </c>
      <c r="I6" s="25">
        <f>IF(F6="","",IF(ISNUMBER(F6),F6-TODAY(),"Check date"))</f>
        <v/>
      </c>
      <c r="J6" s="26">
        <f>IF(I6="","",IF(ISNUMBER(I6),IF(I6&lt;0,"Expired",IF(I6&lt;=30,"Due ≤30 days",IF(I6&lt;=90,"Due ≤90 days","OK"))),"Check date"))</f>
        <v/>
      </c>
      <c r="K6" s="21" t="inlineStr">
        <is>
          <t>Requested</t>
        </is>
      </c>
      <c r="L6" s="21" t="inlineStr">
        <is>
          <t>office@example.com</t>
        </is>
      </c>
      <c r="M6" s="21" t="inlineStr">
        <is>
          <t>alex@example.com</t>
        </is>
      </c>
      <c r="N6" s="21" t="inlineStr">
        <is>
          <t>High</t>
        </is>
      </c>
      <c r="O6" s="21" t="n"/>
      <c r="P6" s="21" t="n"/>
    </row>
    <row r="7">
      <c r="A7" s="21" t="inlineStr">
        <is>
          <t>Example – Sample Scaffolding Co</t>
        </is>
      </c>
      <c r="B7" s="21" t="inlineStr">
        <is>
          <t>Scaffolding</t>
        </is>
      </c>
      <c r="C7" s="21" t="inlineStr">
        <is>
          <t>Risk assessment &amp; method statement</t>
        </is>
      </c>
      <c r="D7" s="21" t="inlineStr">
        <is>
          <t>RAMS-12</t>
        </is>
      </c>
      <c r="E7" s="22" t="n">
        <v>46174</v>
      </c>
      <c r="F7" s="22" t="n">
        <v>46539</v>
      </c>
      <c r="G7" s="23" t="n">
        <v>30</v>
      </c>
      <c r="H7" s="24">
        <f>IF(ISNUMBER(F7),F7-IF(ISNUMBER(G7),G7,30),"")</f>
        <v/>
      </c>
      <c r="I7" s="25">
        <f>IF(F7="","",IF(ISNUMBER(F7),F7-TODAY(),"Check date"))</f>
        <v/>
      </c>
      <c r="J7" s="26">
        <f>IF(I7="","",IF(ISNUMBER(I7),IF(I7&lt;0,"Expired",IF(I7&lt;=30,"Due ≤30 days",IF(I7&lt;=90,"Due ≤90 days","OK"))),"Check date"))</f>
        <v/>
      </c>
      <c r="K7" s="21" t="inlineStr">
        <is>
          <t>Yes</t>
        </is>
      </c>
      <c r="L7" s="21" t="inlineStr">
        <is>
          <t>office@example.com</t>
        </is>
      </c>
      <c r="M7" s="21" t="inlineStr">
        <is>
          <t>jo@example.com</t>
        </is>
      </c>
      <c r="N7" s="21" t="inlineStr">
        <is>
          <t>Medium</t>
        </is>
      </c>
      <c r="O7" s="21" t="n"/>
      <c r="P7" s="21" t="n"/>
    </row>
    <row r="8">
      <c r="A8" s="21" t="inlineStr">
        <is>
          <t>Example – Sample Cleaning Services</t>
        </is>
      </c>
      <c r="B8" s="21" t="inlineStr">
        <is>
          <t>Cleaning</t>
        </is>
      </c>
      <c r="C8" s="21" t="inlineStr">
        <is>
          <t>Signed contract / agreement</t>
        </is>
      </c>
      <c r="D8" s="21" t="inlineStr">
        <is>
          <t>C-2025-07</t>
        </is>
      </c>
      <c r="E8" s="22" t="n">
        <v>45839</v>
      </c>
      <c r="F8" s="22" t="n">
        <v>46568</v>
      </c>
      <c r="G8" s="23" t="n">
        <v>60</v>
      </c>
      <c r="H8" s="24">
        <f>IF(ISNUMBER(F8),F8-IF(ISNUMBER(G8),G8,30),"")</f>
        <v/>
      </c>
      <c r="I8" s="25">
        <f>IF(F8="","",IF(ISNUMBER(F8),F8-TODAY(),"Check date"))</f>
        <v/>
      </c>
      <c r="J8" s="26">
        <f>IF(I8="","",IF(ISNUMBER(I8),IF(I8&lt;0,"Expired",IF(I8&lt;=30,"Due ≤30 days",IF(I8&lt;=90,"Due ≤90 days","OK"))),"Check date"))</f>
        <v/>
      </c>
      <c r="K8" s="21" t="inlineStr">
        <is>
          <t>Yes</t>
        </is>
      </c>
      <c r="L8" s="21" t="inlineStr">
        <is>
          <t>office@example.com</t>
        </is>
      </c>
      <c r="M8" s="21" t="inlineStr">
        <is>
          <t>jo@example.com</t>
        </is>
      </c>
      <c r="N8" s="21" t="inlineStr">
        <is>
          <t>Low</t>
        </is>
      </c>
      <c r="O8" s="21" t="n"/>
      <c r="P8" s="21" t="n"/>
    </row>
    <row r="9">
      <c r="A9" s="21" t="inlineStr">
        <is>
          <t>Example – Sample Security Ltd</t>
        </is>
      </c>
      <c r="B9" s="21" t="inlineStr">
        <is>
          <t>Security</t>
        </is>
      </c>
      <c r="C9" s="21" t="inlineStr">
        <is>
          <t>Staff licence / card list</t>
        </is>
      </c>
      <c r="D9" s="21" t="inlineStr">
        <is>
          <t>LIST-03</t>
        </is>
      </c>
      <c r="E9" s="22" t="n">
        <v>46154</v>
      </c>
      <c r="F9" s="22" t="n">
        <v>46366</v>
      </c>
      <c r="G9" s="23" t="n">
        <v>45</v>
      </c>
      <c r="H9" s="24">
        <f>IF(ISNUMBER(F9),F9-IF(ISNUMBER(G9),G9,30),"")</f>
        <v/>
      </c>
      <c r="I9" s="25">
        <f>IF(F9="","",IF(ISNUMBER(F9),F9-TODAY(),"Check date"))</f>
        <v/>
      </c>
      <c r="J9" s="26">
        <f>IF(I9="","",IF(ISNUMBER(I9),IF(I9&lt;0,"Expired",IF(I9&lt;=30,"Due ≤30 days",IF(I9&lt;=90,"Due ≤90 days","OK"))),"Check date"))</f>
        <v/>
      </c>
      <c r="K9" s="21" t="inlineStr">
        <is>
          <t>Yes</t>
        </is>
      </c>
      <c r="L9" s="21" t="inlineStr">
        <is>
          <t>office@example.com</t>
        </is>
      </c>
      <c r="M9" s="21" t="inlineStr">
        <is>
          <t>chris@example.com</t>
        </is>
      </c>
      <c r="N9" s="21" t="inlineStr">
        <is>
          <t>High</t>
        </is>
      </c>
      <c r="O9" s="21" t="n"/>
      <c r="P9" s="21" t="n"/>
    </row>
    <row r="10">
      <c r="A10" s="21" t="n"/>
      <c r="B10" s="21" t="n"/>
      <c r="C10" s="21" t="n"/>
      <c r="D10" s="21" t="n"/>
      <c r="E10" s="22" t="n"/>
      <c r="F10" s="22" t="n"/>
      <c r="G10" s="23" t="n"/>
      <c r="H10" s="24">
        <f>IF(ISNUMBER(F10),F10-IF(ISNUMBER(G10),G10,30),"")</f>
        <v/>
      </c>
      <c r="I10" s="25">
        <f>IF(F10="","",IF(ISNUMBER(F10),F10-TODAY(),"Check date"))</f>
        <v/>
      </c>
      <c r="J10" s="26">
        <f>IF(I10="","",IF(ISNUMBER(I10),IF(I10&lt;0,"Expired",IF(I10&lt;=30,"Due ≤30 days",IF(I10&lt;=90,"Due ≤90 days","OK"))),"Check date"))</f>
        <v/>
      </c>
      <c r="K10" s="21" t="n"/>
      <c r="L10" s="21" t="n"/>
      <c r="M10" s="21" t="n"/>
      <c r="N10" s="21" t="n"/>
      <c r="O10" s="21" t="n"/>
      <c r="P10" s="21" t="n"/>
    </row>
    <row r="11">
      <c r="A11" s="21" t="n"/>
      <c r="B11" s="21" t="n"/>
      <c r="C11" s="21" t="n"/>
      <c r="D11" s="21" t="n"/>
      <c r="E11" s="22" t="n"/>
      <c r="F11" s="22" t="n"/>
      <c r="G11" s="23" t="n"/>
      <c r="H11" s="24">
        <f>IF(ISNUMBER(F11),F11-IF(ISNUMBER(G11),G11,30),"")</f>
        <v/>
      </c>
      <c r="I11" s="25">
        <f>IF(F11="","",IF(ISNUMBER(F11),F11-TODAY(),"Check date"))</f>
        <v/>
      </c>
      <c r="J11" s="26">
        <f>IF(I11="","",IF(ISNUMBER(I11),IF(I11&lt;0,"Expired",IF(I11&lt;=30,"Due ≤30 days",IF(I11&lt;=90,"Due ≤90 days","OK"))),"Check date"))</f>
        <v/>
      </c>
      <c r="K11" s="21" t="n"/>
      <c r="L11" s="21" t="n"/>
      <c r="M11" s="21" t="n"/>
      <c r="N11" s="21" t="n"/>
      <c r="O11" s="21" t="n"/>
      <c r="P11" s="21" t="n"/>
    </row>
    <row r="12">
      <c r="A12" s="21" t="n"/>
      <c r="B12" s="21" t="n"/>
      <c r="C12" s="21" t="n"/>
      <c r="D12" s="21" t="n"/>
      <c r="E12" s="22" t="n"/>
      <c r="F12" s="22" t="n"/>
      <c r="G12" s="23" t="n"/>
      <c r="H12" s="24">
        <f>IF(ISNUMBER(F12),F12-IF(ISNUMBER(G12),G12,30),"")</f>
        <v/>
      </c>
      <c r="I12" s="25">
        <f>IF(F12="","",IF(ISNUMBER(F12),F12-TODAY(),"Check date"))</f>
        <v/>
      </c>
      <c r="J12" s="26">
        <f>IF(I12="","",IF(ISNUMBER(I12),IF(I12&lt;0,"Expired",IF(I12&lt;=30,"Due ≤30 days",IF(I12&lt;=90,"Due ≤90 days","OK"))),"Check date"))</f>
        <v/>
      </c>
      <c r="K12" s="21" t="n"/>
      <c r="L12" s="21" t="n"/>
      <c r="M12" s="21" t="n"/>
      <c r="N12" s="21" t="n"/>
      <c r="O12" s="21" t="n"/>
      <c r="P12" s="21" t="n"/>
    </row>
    <row r="13">
      <c r="A13" s="21" t="n"/>
      <c r="B13" s="21" t="n"/>
      <c r="C13" s="21" t="n"/>
      <c r="D13" s="21" t="n"/>
      <c r="E13" s="22" t="n"/>
      <c r="F13" s="22" t="n"/>
      <c r="G13" s="23" t="n"/>
      <c r="H13" s="24">
        <f>IF(ISNUMBER(F13),F13-IF(ISNUMBER(G13),G13,30),"")</f>
        <v/>
      </c>
      <c r="I13" s="25">
        <f>IF(F13="","",IF(ISNUMBER(F13),F13-TODAY(),"Check date"))</f>
        <v/>
      </c>
      <c r="J13" s="26">
        <f>IF(I13="","",IF(ISNUMBER(I13),IF(I13&lt;0,"Expired",IF(I13&lt;=30,"Due ≤30 days",IF(I13&lt;=90,"Due ≤90 days","OK"))),"Check date"))</f>
        <v/>
      </c>
      <c r="K13" s="21" t="n"/>
      <c r="L13" s="21" t="n"/>
      <c r="M13" s="21" t="n"/>
      <c r="N13" s="21" t="n"/>
      <c r="O13" s="21" t="n"/>
      <c r="P13" s="21" t="n"/>
    </row>
    <row r="14">
      <c r="A14" s="21" t="n"/>
      <c r="B14" s="21" t="n"/>
      <c r="C14" s="21" t="n"/>
      <c r="D14" s="21" t="n"/>
      <c r="E14" s="22" t="n"/>
      <c r="F14" s="22" t="n"/>
      <c r="G14" s="23" t="n"/>
      <c r="H14" s="24">
        <f>IF(ISNUMBER(F14),F14-IF(ISNUMBER(G14),G14,30),"")</f>
        <v/>
      </c>
      <c r="I14" s="25">
        <f>IF(F14="","",IF(ISNUMBER(F14),F14-TODAY(),"Check date"))</f>
        <v/>
      </c>
      <c r="J14" s="26">
        <f>IF(I14="","",IF(ISNUMBER(I14),IF(I14&lt;0,"Expired",IF(I14&lt;=30,"Due ≤30 days",IF(I14&lt;=90,"Due ≤90 days","OK"))),"Check date"))</f>
        <v/>
      </c>
      <c r="K14" s="21" t="n"/>
      <c r="L14" s="21" t="n"/>
      <c r="M14" s="21" t="n"/>
      <c r="N14" s="21" t="n"/>
      <c r="O14" s="21" t="n"/>
      <c r="P14" s="21" t="n"/>
    </row>
    <row r="15">
      <c r="A15" s="21" t="n"/>
      <c r="B15" s="21" t="n"/>
      <c r="C15" s="21" t="n"/>
      <c r="D15" s="21" t="n"/>
      <c r="E15" s="22" t="n"/>
      <c r="F15" s="22" t="n"/>
      <c r="G15" s="23" t="n"/>
      <c r="H15" s="24">
        <f>IF(ISNUMBER(F15),F15-IF(ISNUMBER(G15),G15,30),"")</f>
        <v/>
      </c>
      <c r="I15" s="25">
        <f>IF(F15="","",IF(ISNUMBER(F15),F15-TODAY(),"Check date"))</f>
        <v/>
      </c>
      <c r="J15" s="26">
        <f>IF(I15="","",IF(ISNUMBER(I15),IF(I15&lt;0,"Expired",IF(I15&lt;=30,"Due ≤30 days",IF(I15&lt;=90,"Due ≤90 days","OK"))),"Check date"))</f>
        <v/>
      </c>
      <c r="K15" s="21" t="n"/>
      <c r="L15" s="21" t="n"/>
      <c r="M15" s="21" t="n"/>
      <c r="N15" s="21" t="n"/>
      <c r="O15" s="21" t="n"/>
      <c r="P15" s="21" t="n"/>
    </row>
    <row r="16">
      <c r="A16" s="21" t="n"/>
      <c r="B16" s="21" t="n"/>
      <c r="C16" s="21" t="n"/>
      <c r="D16" s="21" t="n"/>
      <c r="E16" s="22" t="n"/>
      <c r="F16" s="22" t="n"/>
      <c r="G16" s="23" t="n"/>
      <c r="H16" s="24">
        <f>IF(ISNUMBER(F16),F16-IF(ISNUMBER(G16),G16,30),"")</f>
        <v/>
      </c>
      <c r="I16" s="25">
        <f>IF(F16="","",IF(ISNUMBER(F16),F16-TODAY(),"Check date"))</f>
        <v/>
      </c>
      <c r="J16" s="26">
        <f>IF(I16="","",IF(ISNUMBER(I16),IF(I16&lt;0,"Expired",IF(I16&lt;=30,"Due ≤30 days",IF(I16&lt;=90,"Due ≤90 days","OK"))),"Check date"))</f>
        <v/>
      </c>
      <c r="K16" s="21" t="n"/>
      <c r="L16" s="21" t="n"/>
      <c r="M16" s="21" t="n"/>
      <c r="N16" s="21" t="n"/>
      <c r="O16" s="21" t="n"/>
      <c r="P16" s="21" t="n"/>
    </row>
    <row r="17">
      <c r="A17" s="21" t="n"/>
      <c r="B17" s="21" t="n"/>
      <c r="C17" s="21" t="n"/>
      <c r="D17" s="21" t="n"/>
      <c r="E17" s="22" t="n"/>
      <c r="F17" s="22" t="n"/>
      <c r="G17" s="23" t="n"/>
      <c r="H17" s="24">
        <f>IF(ISNUMBER(F17),F17-IF(ISNUMBER(G17),G17,30),"")</f>
        <v/>
      </c>
      <c r="I17" s="25">
        <f>IF(F17="","",IF(ISNUMBER(F17),F17-TODAY(),"Check date"))</f>
        <v/>
      </c>
      <c r="J17" s="26">
        <f>IF(I17="","",IF(ISNUMBER(I17),IF(I17&lt;0,"Expired",IF(I17&lt;=30,"Due ≤30 days",IF(I17&lt;=90,"Due ≤90 days","OK"))),"Check date"))</f>
        <v/>
      </c>
      <c r="K17" s="21" t="n"/>
      <c r="L17" s="21" t="n"/>
      <c r="M17" s="21" t="n"/>
      <c r="N17" s="21" t="n"/>
      <c r="O17" s="21" t="n"/>
      <c r="P17" s="21" t="n"/>
    </row>
    <row r="18">
      <c r="A18" s="21" t="n"/>
      <c r="B18" s="21" t="n"/>
      <c r="C18" s="21" t="n"/>
      <c r="D18" s="21" t="n"/>
      <c r="E18" s="22" t="n"/>
      <c r="F18" s="22" t="n"/>
      <c r="G18" s="23" t="n"/>
      <c r="H18" s="24">
        <f>IF(ISNUMBER(F18),F18-IF(ISNUMBER(G18),G18,30),"")</f>
        <v/>
      </c>
      <c r="I18" s="25">
        <f>IF(F18="","",IF(ISNUMBER(F18),F18-TODAY(),"Check date"))</f>
        <v/>
      </c>
      <c r="J18" s="26">
        <f>IF(I18="","",IF(ISNUMBER(I18),IF(I18&lt;0,"Expired",IF(I18&lt;=30,"Due ≤30 days",IF(I18&lt;=90,"Due ≤90 days","OK"))),"Check date"))</f>
        <v/>
      </c>
      <c r="K18" s="21" t="n"/>
      <c r="L18" s="21" t="n"/>
      <c r="M18" s="21" t="n"/>
      <c r="N18" s="21" t="n"/>
      <c r="O18" s="21" t="n"/>
      <c r="P18" s="21" t="n"/>
    </row>
    <row r="19">
      <c r="A19" s="21" t="n"/>
      <c r="B19" s="21" t="n"/>
      <c r="C19" s="21" t="n"/>
      <c r="D19" s="21" t="n"/>
      <c r="E19" s="22" t="n"/>
      <c r="F19" s="22" t="n"/>
      <c r="G19" s="23" t="n"/>
      <c r="H19" s="24">
        <f>IF(ISNUMBER(F19),F19-IF(ISNUMBER(G19),G19,30),"")</f>
        <v/>
      </c>
      <c r="I19" s="25">
        <f>IF(F19="","",IF(ISNUMBER(F19),F19-TODAY(),"Check date"))</f>
        <v/>
      </c>
      <c r="J19" s="26">
        <f>IF(I19="","",IF(ISNUMBER(I19),IF(I19&lt;0,"Expired",IF(I19&lt;=30,"Due ≤30 days",IF(I19&lt;=90,"Due ≤90 days","OK"))),"Check date"))</f>
        <v/>
      </c>
      <c r="K19" s="21" t="n"/>
      <c r="L19" s="21" t="n"/>
      <c r="M19" s="21" t="n"/>
      <c r="N19" s="21" t="n"/>
      <c r="O19" s="21" t="n"/>
      <c r="P19" s="21" t="n"/>
    </row>
    <row r="20">
      <c r="A20" s="21" t="n"/>
      <c r="B20" s="21" t="n"/>
      <c r="C20" s="21" t="n"/>
      <c r="D20" s="21" t="n"/>
      <c r="E20" s="22" t="n"/>
      <c r="F20" s="22" t="n"/>
      <c r="G20" s="23" t="n"/>
      <c r="H20" s="24">
        <f>IF(ISNUMBER(F20),F20-IF(ISNUMBER(G20),G20,30),"")</f>
        <v/>
      </c>
      <c r="I20" s="25">
        <f>IF(F20="","",IF(ISNUMBER(F20),F20-TODAY(),"Check date"))</f>
        <v/>
      </c>
      <c r="J20" s="26">
        <f>IF(I20="","",IF(ISNUMBER(I20),IF(I20&lt;0,"Expired",IF(I20&lt;=30,"Due ≤30 days",IF(I20&lt;=90,"Due ≤90 days","OK"))),"Check date"))</f>
        <v/>
      </c>
      <c r="K20" s="21" t="n"/>
      <c r="L20" s="21" t="n"/>
      <c r="M20" s="21" t="n"/>
      <c r="N20" s="21" t="n"/>
      <c r="O20" s="21" t="n"/>
      <c r="P20" s="21" t="n"/>
    </row>
    <row r="21">
      <c r="A21" s="21" t="n"/>
      <c r="B21" s="21" t="n"/>
      <c r="C21" s="21" t="n"/>
      <c r="D21" s="21" t="n"/>
      <c r="E21" s="22" t="n"/>
      <c r="F21" s="22" t="n"/>
      <c r="G21" s="23" t="n"/>
      <c r="H21" s="24">
        <f>IF(ISNUMBER(F21),F21-IF(ISNUMBER(G21),G21,30),"")</f>
        <v/>
      </c>
      <c r="I21" s="25">
        <f>IF(F21="","",IF(ISNUMBER(F21),F21-TODAY(),"Check date"))</f>
        <v/>
      </c>
      <c r="J21" s="26">
        <f>IF(I21="","",IF(ISNUMBER(I21),IF(I21&lt;0,"Expired",IF(I21&lt;=30,"Due ≤30 days",IF(I21&lt;=90,"Due ≤90 days","OK"))),"Check date"))</f>
        <v/>
      </c>
      <c r="K21" s="21" t="n"/>
      <c r="L21" s="21" t="n"/>
      <c r="M21" s="21" t="n"/>
      <c r="N21" s="21" t="n"/>
      <c r="O21" s="21" t="n"/>
      <c r="P21" s="21" t="n"/>
    </row>
    <row r="22">
      <c r="A22" s="21" t="n"/>
      <c r="B22" s="21" t="n"/>
      <c r="C22" s="21" t="n"/>
      <c r="D22" s="21" t="n"/>
      <c r="E22" s="22" t="n"/>
      <c r="F22" s="22" t="n"/>
      <c r="G22" s="23" t="n"/>
      <c r="H22" s="24">
        <f>IF(ISNUMBER(F22),F22-IF(ISNUMBER(G22),G22,30),"")</f>
        <v/>
      </c>
      <c r="I22" s="25">
        <f>IF(F22="","",IF(ISNUMBER(F22),F22-TODAY(),"Check date"))</f>
        <v/>
      </c>
      <c r="J22" s="26">
        <f>IF(I22="","",IF(ISNUMBER(I22),IF(I22&lt;0,"Expired",IF(I22&lt;=30,"Due ≤30 days",IF(I22&lt;=90,"Due ≤90 days","OK"))),"Check date"))</f>
        <v/>
      </c>
      <c r="K22" s="21" t="n"/>
      <c r="L22" s="21" t="n"/>
      <c r="M22" s="21" t="n"/>
      <c r="N22" s="21" t="n"/>
      <c r="O22" s="21" t="n"/>
      <c r="P22" s="21" t="n"/>
    </row>
    <row r="23">
      <c r="A23" s="21" t="n"/>
      <c r="B23" s="21" t="n"/>
      <c r="C23" s="21" t="n"/>
      <c r="D23" s="21" t="n"/>
      <c r="E23" s="22" t="n"/>
      <c r="F23" s="22" t="n"/>
      <c r="G23" s="23" t="n"/>
      <c r="H23" s="24">
        <f>IF(ISNUMBER(F23),F23-IF(ISNUMBER(G23),G23,30),"")</f>
        <v/>
      </c>
      <c r="I23" s="25">
        <f>IF(F23="","",IF(ISNUMBER(F23),F23-TODAY(),"Check date"))</f>
        <v/>
      </c>
      <c r="J23" s="26">
        <f>IF(I23="","",IF(ISNUMBER(I23),IF(I23&lt;0,"Expired",IF(I23&lt;=30,"Due ≤30 days",IF(I23&lt;=90,"Due ≤90 days","OK"))),"Check date"))</f>
        <v/>
      </c>
      <c r="K23" s="21" t="n"/>
      <c r="L23" s="21" t="n"/>
      <c r="M23" s="21" t="n"/>
      <c r="N23" s="21" t="n"/>
      <c r="O23" s="21" t="n"/>
      <c r="P23" s="21" t="n"/>
    </row>
    <row r="24">
      <c r="A24" s="21" t="n"/>
      <c r="B24" s="21" t="n"/>
      <c r="C24" s="21" t="n"/>
      <c r="D24" s="21" t="n"/>
      <c r="E24" s="22" t="n"/>
      <c r="F24" s="22" t="n"/>
      <c r="G24" s="23" t="n"/>
      <c r="H24" s="24">
        <f>IF(ISNUMBER(F24),F24-IF(ISNUMBER(G24),G24,30),"")</f>
        <v/>
      </c>
      <c r="I24" s="25">
        <f>IF(F24="","",IF(ISNUMBER(F24),F24-TODAY(),"Check date"))</f>
        <v/>
      </c>
      <c r="J24" s="26">
        <f>IF(I24="","",IF(ISNUMBER(I24),IF(I24&lt;0,"Expired",IF(I24&lt;=30,"Due ≤30 days",IF(I24&lt;=90,"Due ≤90 days","OK"))),"Check date"))</f>
        <v/>
      </c>
      <c r="K24" s="21" t="n"/>
      <c r="L24" s="21" t="n"/>
      <c r="M24" s="21" t="n"/>
      <c r="N24" s="21" t="n"/>
      <c r="O24" s="21" t="n"/>
      <c r="P24" s="21" t="n"/>
    </row>
    <row r="25">
      <c r="A25" s="21" t="n"/>
      <c r="B25" s="21" t="n"/>
      <c r="C25" s="21" t="n"/>
      <c r="D25" s="21" t="n"/>
      <c r="E25" s="22" t="n"/>
      <c r="F25" s="22" t="n"/>
      <c r="G25" s="23" t="n"/>
      <c r="H25" s="24">
        <f>IF(ISNUMBER(F25),F25-IF(ISNUMBER(G25),G25,30),"")</f>
        <v/>
      </c>
      <c r="I25" s="25">
        <f>IF(F25="","",IF(ISNUMBER(F25),F25-TODAY(),"Check date"))</f>
        <v/>
      </c>
      <c r="J25" s="26">
        <f>IF(I25="","",IF(ISNUMBER(I25),IF(I25&lt;0,"Expired",IF(I25&lt;=30,"Due ≤30 days",IF(I25&lt;=90,"Due ≤90 days","OK"))),"Check date"))</f>
        <v/>
      </c>
      <c r="K25" s="21" t="n"/>
      <c r="L25" s="21" t="n"/>
      <c r="M25" s="21" t="n"/>
      <c r="N25" s="21" t="n"/>
      <c r="O25" s="21" t="n"/>
      <c r="P25" s="21" t="n"/>
    </row>
    <row r="26">
      <c r="A26" s="21" t="n"/>
      <c r="B26" s="21" t="n"/>
      <c r="C26" s="21" t="n"/>
      <c r="D26" s="21" t="n"/>
      <c r="E26" s="22" t="n"/>
      <c r="F26" s="22" t="n"/>
      <c r="G26" s="23" t="n"/>
      <c r="H26" s="24">
        <f>IF(ISNUMBER(F26),F26-IF(ISNUMBER(G26),G26,30),"")</f>
        <v/>
      </c>
      <c r="I26" s="25">
        <f>IF(F26="","",IF(ISNUMBER(F26),F26-TODAY(),"Check date"))</f>
        <v/>
      </c>
      <c r="J26" s="26">
        <f>IF(I26="","",IF(ISNUMBER(I26),IF(I26&lt;0,"Expired",IF(I26&lt;=30,"Due ≤30 days",IF(I26&lt;=90,"Due ≤90 days","OK"))),"Check date"))</f>
        <v/>
      </c>
      <c r="K26" s="21" t="n"/>
      <c r="L26" s="21" t="n"/>
      <c r="M26" s="21" t="n"/>
      <c r="N26" s="21" t="n"/>
      <c r="O26" s="21" t="n"/>
      <c r="P26" s="21" t="n"/>
    </row>
    <row r="27">
      <c r="A27" s="21" t="n"/>
      <c r="B27" s="21" t="n"/>
      <c r="C27" s="21" t="n"/>
      <c r="D27" s="21" t="n"/>
      <c r="E27" s="22" t="n"/>
      <c r="F27" s="22" t="n"/>
      <c r="G27" s="23" t="n"/>
      <c r="H27" s="24">
        <f>IF(ISNUMBER(F27),F27-IF(ISNUMBER(G27),G27,30),"")</f>
        <v/>
      </c>
      <c r="I27" s="25">
        <f>IF(F27="","",IF(ISNUMBER(F27),F27-TODAY(),"Check date"))</f>
        <v/>
      </c>
      <c r="J27" s="26">
        <f>IF(I27="","",IF(ISNUMBER(I27),IF(I27&lt;0,"Expired",IF(I27&lt;=30,"Due ≤30 days",IF(I27&lt;=90,"Due ≤90 days","OK"))),"Check date"))</f>
        <v/>
      </c>
      <c r="K27" s="21" t="n"/>
      <c r="L27" s="21" t="n"/>
      <c r="M27" s="21" t="n"/>
      <c r="N27" s="21" t="n"/>
      <c r="O27" s="21" t="n"/>
      <c r="P27" s="21" t="n"/>
    </row>
    <row r="28">
      <c r="A28" s="21" t="n"/>
      <c r="B28" s="21" t="n"/>
      <c r="C28" s="21" t="n"/>
      <c r="D28" s="21" t="n"/>
      <c r="E28" s="22" t="n"/>
      <c r="F28" s="22" t="n"/>
      <c r="G28" s="23" t="n"/>
      <c r="H28" s="24">
        <f>IF(ISNUMBER(F28),F28-IF(ISNUMBER(G28),G28,30),"")</f>
        <v/>
      </c>
      <c r="I28" s="25">
        <f>IF(F28="","",IF(ISNUMBER(F28),F28-TODAY(),"Check date"))</f>
        <v/>
      </c>
      <c r="J28" s="26">
        <f>IF(I28="","",IF(ISNUMBER(I28),IF(I28&lt;0,"Expired",IF(I28&lt;=30,"Due ≤30 days",IF(I28&lt;=90,"Due ≤90 days","OK"))),"Check date"))</f>
        <v/>
      </c>
      <c r="K28" s="21" t="n"/>
      <c r="L28" s="21" t="n"/>
      <c r="M28" s="21" t="n"/>
      <c r="N28" s="21" t="n"/>
      <c r="O28" s="21" t="n"/>
      <c r="P28" s="21" t="n"/>
    </row>
    <row r="29">
      <c r="A29" s="21" t="n"/>
      <c r="B29" s="21" t="n"/>
      <c r="C29" s="21" t="n"/>
      <c r="D29" s="21" t="n"/>
      <c r="E29" s="22" t="n"/>
      <c r="F29" s="22" t="n"/>
      <c r="G29" s="23" t="n"/>
      <c r="H29" s="24">
        <f>IF(ISNUMBER(F29),F29-IF(ISNUMBER(G29),G29,30),"")</f>
        <v/>
      </c>
      <c r="I29" s="25">
        <f>IF(F29="","",IF(ISNUMBER(F29),F29-TODAY(),"Check date"))</f>
        <v/>
      </c>
      <c r="J29" s="26">
        <f>IF(I29="","",IF(ISNUMBER(I29),IF(I29&lt;0,"Expired",IF(I29&lt;=30,"Due ≤30 days",IF(I29&lt;=90,"Due ≤90 days","OK"))),"Check date"))</f>
        <v/>
      </c>
      <c r="K29" s="21" t="n"/>
      <c r="L29" s="21" t="n"/>
      <c r="M29" s="21" t="n"/>
      <c r="N29" s="21" t="n"/>
      <c r="O29" s="21" t="n"/>
      <c r="P29" s="21" t="n"/>
    </row>
    <row r="30">
      <c r="A30" s="21" t="n"/>
      <c r="B30" s="21" t="n"/>
      <c r="C30" s="21" t="n"/>
      <c r="D30" s="21" t="n"/>
      <c r="E30" s="22" t="n"/>
      <c r="F30" s="22" t="n"/>
      <c r="G30" s="23" t="n"/>
      <c r="H30" s="24">
        <f>IF(ISNUMBER(F30),F30-IF(ISNUMBER(G30),G30,30),"")</f>
        <v/>
      </c>
      <c r="I30" s="25">
        <f>IF(F30="","",IF(ISNUMBER(F30),F30-TODAY(),"Check date"))</f>
        <v/>
      </c>
      <c r="J30" s="26">
        <f>IF(I30="","",IF(ISNUMBER(I30),IF(I30&lt;0,"Expired",IF(I30&lt;=30,"Due ≤30 days",IF(I30&lt;=90,"Due ≤90 days","OK"))),"Check date"))</f>
        <v/>
      </c>
      <c r="K30" s="21" t="n"/>
      <c r="L30" s="21" t="n"/>
      <c r="M30" s="21" t="n"/>
      <c r="N30" s="21" t="n"/>
      <c r="O30" s="21" t="n"/>
      <c r="P30" s="21" t="n"/>
    </row>
    <row r="31">
      <c r="A31" s="21" t="n"/>
      <c r="B31" s="21" t="n"/>
      <c r="C31" s="21" t="n"/>
      <c r="D31" s="21" t="n"/>
      <c r="E31" s="22" t="n"/>
      <c r="F31" s="22" t="n"/>
      <c r="G31" s="23" t="n"/>
      <c r="H31" s="24">
        <f>IF(ISNUMBER(F31),F31-IF(ISNUMBER(G31),G31,30),"")</f>
        <v/>
      </c>
      <c r="I31" s="25">
        <f>IF(F31="","",IF(ISNUMBER(F31),F31-TODAY(),"Check date"))</f>
        <v/>
      </c>
      <c r="J31" s="26">
        <f>IF(I31="","",IF(ISNUMBER(I31),IF(I31&lt;0,"Expired",IF(I31&lt;=30,"Due ≤30 days",IF(I31&lt;=90,"Due ≤90 days","OK"))),"Check date"))</f>
        <v/>
      </c>
      <c r="K31" s="21" t="n"/>
      <c r="L31" s="21" t="n"/>
      <c r="M31" s="21" t="n"/>
      <c r="N31" s="21" t="n"/>
      <c r="O31" s="21" t="n"/>
      <c r="P31" s="21" t="n"/>
    </row>
    <row r="32">
      <c r="A32" s="21" t="n"/>
      <c r="B32" s="21" t="n"/>
      <c r="C32" s="21" t="n"/>
      <c r="D32" s="21" t="n"/>
      <c r="E32" s="22" t="n"/>
      <c r="F32" s="22" t="n"/>
      <c r="G32" s="23" t="n"/>
      <c r="H32" s="24">
        <f>IF(ISNUMBER(F32),F32-IF(ISNUMBER(G32),G32,30),"")</f>
        <v/>
      </c>
      <c r="I32" s="25">
        <f>IF(F32="","",IF(ISNUMBER(F32),F32-TODAY(),"Check date"))</f>
        <v/>
      </c>
      <c r="J32" s="26">
        <f>IF(I32="","",IF(ISNUMBER(I32),IF(I32&lt;0,"Expired",IF(I32&lt;=30,"Due ≤30 days",IF(I32&lt;=90,"Due ≤90 days","OK"))),"Check date"))</f>
        <v/>
      </c>
      <c r="K32" s="21" t="n"/>
      <c r="L32" s="21" t="n"/>
      <c r="M32" s="21" t="n"/>
      <c r="N32" s="21" t="n"/>
      <c r="O32" s="21" t="n"/>
      <c r="P32" s="21" t="n"/>
    </row>
    <row r="33">
      <c r="A33" s="21" t="n"/>
      <c r="B33" s="21" t="n"/>
      <c r="C33" s="21" t="n"/>
      <c r="D33" s="21" t="n"/>
      <c r="E33" s="22" t="n"/>
      <c r="F33" s="22" t="n"/>
      <c r="G33" s="23" t="n"/>
      <c r="H33" s="24">
        <f>IF(ISNUMBER(F33),F33-IF(ISNUMBER(G33),G33,30),"")</f>
        <v/>
      </c>
      <c r="I33" s="25">
        <f>IF(F33="","",IF(ISNUMBER(F33),F33-TODAY(),"Check date"))</f>
        <v/>
      </c>
      <c r="J33" s="26">
        <f>IF(I33="","",IF(ISNUMBER(I33),IF(I33&lt;0,"Expired",IF(I33&lt;=30,"Due ≤30 days",IF(I33&lt;=90,"Due ≤90 days","OK"))),"Check date"))</f>
        <v/>
      </c>
      <c r="K33" s="21" t="n"/>
      <c r="L33" s="21" t="n"/>
      <c r="M33" s="21" t="n"/>
      <c r="N33" s="21" t="n"/>
      <c r="O33" s="21" t="n"/>
      <c r="P33" s="21" t="n"/>
    </row>
    <row r="34">
      <c r="A34" s="21" t="n"/>
      <c r="B34" s="21" t="n"/>
      <c r="C34" s="21" t="n"/>
      <c r="D34" s="21" t="n"/>
      <c r="E34" s="22" t="n"/>
      <c r="F34" s="22" t="n"/>
      <c r="G34" s="23" t="n"/>
      <c r="H34" s="24">
        <f>IF(ISNUMBER(F34),F34-IF(ISNUMBER(G34),G34,30),"")</f>
        <v/>
      </c>
      <c r="I34" s="25">
        <f>IF(F34="","",IF(ISNUMBER(F34),F34-TODAY(),"Check date"))</f>
        <v/>
      </c>
      <c r="J34" s="26">
        <f>IF(I34="","",IF(ISNUMBER(I34),IF(I34&lt;0,"Expired",IF(I34&lt;=30,"Due ≤30 days",IF(I34&lt;=90,"Due ≤90 days","OK"))),"Check date"))</f>
        <v/>
      </c>
      <c r="K34" s="21" t="n"/>
      <c r="L34" s="21" t="n"/>
      <c r="M34" s="21" t="n"/>
      <c r="N34" s="21" t="n"/>
      <c r="O34" s="21" t="n"/>
      <c r="P34" s="21" t="n"/>
    </row>
    <row r="35">
      <c r="A35" s="21" t="n"/>
      <c r="B35" s="21" t="n"/>
      <c r="C35" s="21" t="n"/>
      <c r="D35" s="21" t="n"/>
      <c r="E35" s="22" t="n"/>
      <c r="F35" s="22" t="n"/>
      <c r="G35" s="23" t="n"/>
      <c r="H35" s="24">
        <f>IF(ISNUMBER(F35),F35-IF(ISNUMBER(G35),G35,30),"")</f>
        <v/>
      </c>
      <c r="I35" s="25">
        <f>IF(F35="","",IF(ISNUMBER(F35),F35-TODAY(),"Check date"))</f>
        <v/>
      </c>
      <c r="J35" s="26">
        <f>IF(I35="","",IF(ISNUMBER(I35),IF(I35&lt;0,"Expired",IF(I35&lt;=30,"Due ≤30 days",IF(I35&lt;=90,"Due ≤90 days","OK"))),"Check date"))</f>
        <v/>
      </c>
      <c r="K35" s="21" t="n"/>
      <c r="L35" s="21" t="n"/>
      <c r="M35" s="21" t="n"/>
      <c r="N35" s="21" t="n"/>
      <c r="O35" s="21" t="n"/>
      <c r="P35" s="21" t="n"/>
    </row>
    <row r="36">
      <c r="A36" s="21" t="n"/>
      <c r="B36" s="21" t="n"/>
      <c r="C36" s="21" t="n"/>
      <c r="D36" s="21" t="n"/>
      <c r="E36" s="22" t="n"/>
      <c r="F36" s="22" t="n"/>
      <c r="G36" s="23" t="n"/>
      <c r="H36" s="24">
        <f>IF(ISNUMBER(F36),F36-IF(ISNUMBER(G36),G36,30),"")</f>
        <v/>
      </c>
      <c r="I36" s="25">
        <f>IF(F36="","",IF(ISNUMBER(F36),F36-TODAY(),"Check date"))</f>
        <v/>
      </c>
      <c r="J36" s="26">
        <f>IF(I36="","",IF(ISNUMBER(I36),IF(I36&lt;0,"Expired",IF(I36&lt;=30,"Due ≤30 days",IF(I36&lt;=90,"Due ≤90 days","OK"))),"Check date"))</f>
        <v/>
      </c>
      <c r="K36" s="21" t="n"/>
      <c r="L36" s="21" t="n"/>
      <c r="M36" s="21" t="n"/>
      <c r="N36" s="21" t="n"/>
      <c r="O36" s="21" t="n"/>
      <c r="P36" s="21" t="n"/>
    </row>
    <row r="37">
      <c r="A37" s="21" t="n"/>
      <c r="B37" s="21" t="n"/>
      <c r="C37" s="21" t="n"/>
      <c r="D37" s="21" t="n"/>
      <c r="E37" s="22" t="n"/>
      <c r="F37" s="22" t="n"/>
      <c r="G37" s="23" t="n"/>
      <c r="H37" s="24">
        <f>IF(ISNUMBER(F37),F37-IF(ISNUMBER(G37),G37,30),"")</f>
        <v/>
      </c>
      <c r="I37" s="25">
        <f>IF(F37="","",IF(ISNUMBER(F37),F37-TODAY(),"Check date"))</f>
        <v/>
      </c>
      <c r="J37" s="26">
        <f>IF(I37="","",IF(ISNUMBER(I37),IF(I37&lt;0,"Expired",IF(I37&lt;=30,"Due ≤30 days",IF(I37&lt;=90,"Due ≤90 days","OK"))),"Check date"))</f>
        <v/>
      </c>
      <c r="K37" s="21" t="n"/>
      <c r="L37" s="21" t="n"/>
      <c r="M37" s="21" t="n"/>
      <c r="N37" s="21" t="n"/>
      <c r="O37" s="21" t="n"/>
      <c r="P37" s="21" t="n"/>
    </row>
    <row r="38">
      <c r="A38" s="21" t="n"/>
      <c r="B38" s="21" t="n"/>
      <c r="C38" s="21" t="n"/>
      <c r="D38" s="21" t="n"/>
      <c r="E38" s="22" t="n"/>
      <c r="F38" s="22" t="n"/>
      <c r="G38" s="23" t="n"/>
      <c r="H38" s="24">
        <f>IF(ISNUMBER(F38),F38-IF(ISNUMBER(G38),G38,30),"")</f>
        <v/>
      </c>
      <c r="I38" s="25">
        <f>IF(F38="","",IF(ISNUMBER(F38),F38-TODAY(),"Check date"))</f>
        <v/>
      </c>
      <c r="J38" s="26">
        <f>IF(I38="","",IF(ISNUMBER(I38),IF(I38&lt;0,"Expired",IF(I38&lt;=30,"Due ≤30 days",IF(I38&lt;=90,"Due ≤90 days","OK"))),"Check date"))</f>
        <v/>
      </c>
      <c r="K38" s="21" t="n"/>
      <c r="L38" s="21" t="n"/>
      <c r="M38" s="21" t="n"/>
      <c r="N38" s="21" t="n"/>
      <c r="O38" s="21" t="n"/>
      <c r="P38" s="21" t="n"/>
    </row>
    <row r="39">
      <c r="A39" s="21" t="n"/>
      <c r="B39" s="21" t="n"/>
      <c r="C39" s="21" t="n"/>
      <c r="D39" s="21" t="n"/>
      <c r="E39" s="22" t="n"/>
      <c r="F39" s="22" t="n"/>
      <c r="G39" s="23" t="n"/>
      <c r="H39" s="24">
        <f>IF(ISNUMBER(F39),F39-IF(ISNUMBER(G39),G39,30),"")</f>
        <v/>
      </c>
      <c r="I39" s="25">
        <f>IF(F39="","",IF(ISNUMBER(F39),F39-TODAY(),"Check date"))</f>
        <v/>
      </c>
      <c r="J39" s="26">
        <f>IF(I39="","",IF(ISNUMBER(I39),IF(I39&lt;0,"Expired",IF(I39&lt;=30,"Due ≤30 days",IF(I39&lt;=90,"Due ≤90 days","OK"))),"Check date"))</f>
        <v/>
      </c>
      <c r="K39" s="21" t="n"/>
      <c r="L39" s="21" t="n"/>
      <c r="M39" s="21" t="n"/>
      <c r="N39" s="21" t="n"/>
      <c r="O39" s="21" t="n"/>
      <c r="P39" s="21" t="n"/>
    </row>
    <row r="40">
      <c r="A40" s="21" t="n"/>
      <c r="B40" s="21" t="n"/>
      <c r="C40" s="21" t="n"/>
      <c r="D40" s="21" t="n"/>
      <c r="E40" s="22" t="n"/>
      <c r="F40" s="22" t="n"/>
      <c r="G40" s="23" t="n"/>
      <c r="H40" s="24">
        <f>IF(ISNUMBER(F40),F40-IF(ISNUMBER(G40),G40,30),"")</f>
        <v/>
      </c>
      <c r="I40" s="25">
        <f>IF(F40="","",IF(ISNUMBER(F40),F40-TODAY(),"Check date"))</f>
        <v/>
      </c>
      <c r="J40" s="26">
        <f>IF(I40="","",IF(ISNUMBER(I40),IF(I40&lt;0,"Expired",IF(I40&lt;=30,"Due ≤30 days",IF(I40&lt;=90,"Due ≤90 days","OK"))),"Check date"))</f>
        <v/>
      </c>
      <c r="K40" s="21" t="n"/>
      <c r="L40" s="21" t="n"/>
      <c r="M40" s="21" t="n"/>
      <c r="N40" s="21" t="n"/>
      <c r="O40" s="21" t="n"/>
      <c r="P40" s="21" t="n"/>
    </row>
    <row r="41">
      <c r="A41" s="21" t="n"/>
      <c r="B41" s="21" t="n"/>
      <c r="C41" s="21" t="n"/>
      <c r="D41" s="21" t="n"/>
      <c r="E41" s="22" t="n"/>
      <c r="F41" s="22" t="n"/>
      <c r="G41" s="23" t="n"/>
      <c r="H41" s="24">
        <f>IF(ISNUMBER(F41),F41-IF(ISNUMBER(G41),G41,30),"")</f>
        <v/>
      </c>
      <c r="I41" s="25">
        <f>IF(F41="","",IF(ISNUMBER(F41),F41-TODAY(),"Check date"))</f>
        <v/>
      </c>
      <c r="J41" s="26">
        <f>IF(I41="","",IF(ISNUMBER(I41),IF(I41&lt;0,"Expired",IF(I41&lt;=30,"Due ≤30 days",IF(I41&lt;=90,"Due ≤90 days","OK"))),"Check date"))</f>
        <v/>
      </c>
      <c r="K41" s="21" t="n"/>
      <c r="L41" s="21" t="n"/>
      <c r="M41" s="21" t="n"/>
      <c r="N41" s="21" t="n"/>
      <c r="O41" s="21" t="n"/>
      <c r="P41" s="21" t="n"/>
    </row>
    <row r="42">
      <c r="A42" s="21" t="n"/>
      <c r="B42" s="21" t="n"/>
      <c r="C42" s="21" t="n"/>
      <c r="D42" s="21" t="n"/>
      <c r="E42" s="22" t="n"/>
      <c r="F42" s="22" t="n"/>
      <c r="G42" s="23" t="n"/>
      <c r="H42" s="24">
        <f>IF(ISNUMBER(F42),F42-IF(ISNUMBER(G42),G42,30),"")</f>
        <v/>
      </c>
      <c r="I42" s="25">
        <f>IF(F42="","",IF(ISNUMBER(F42),F42-TODAY(),"Check date"))</f>
        <v/>
      </c>
      <c r="J42" s="26">
        <f>IF(I42="","",IF(ISNUMBER(I42),IF(I42&lt;0,"Expired",IF(I42&lt;=30,"Due ≤30 days",IF(I42&lt;=90,"Due ≤90 days","OK"))),"Check date"))</f>
        <v/>
      </c>
      <c r="K42" s="21" t="n"/>
      <c r="L42" s="21" t="n"/>
      <c r="M42" s="21" t="n"/>
      <c r="N42" s="21" t="n"/>
      <c r="O42" s="21" t="n"/>
      <c r="P42" s="21" t="n"/>
    </row>
    <row r="43">
      <c r="A43" s="21" t="n"/>
      <c r="B43" s="21" t="n"/>
      <c r="C43" s="21" t="n"/>
      <c r="D43" s="21" t="n"/>
      <c r="E43" s="22" t="n"/>
      <c r="F43" s="22" t="n"/>
      <c r="G43" s="23" t="n"/>
      <c r="H43" s="24">
        <f>IF(ISNUMBER(F43),F43-IF(ISNUMBER(G43),G43,30),"")</f>
        <v/>
      </c>
      <c r="I43" s="25">
        <f>IF(F43="","",IF(ISNUMBER(F43),F43-TODAY(),"Check date"))</f>
        <v/>
      </c>
      <c r="J43" s="26">
        <f>IF(I43="","",IF(ISNUMBER(I43),IF(I43&lt;0,"Expired",IF(I43&lt;=30,"Due ≤30 days",IF(I43&lt;=90,"Due ≤90 days","OK"))),"Check date"))</f>
        <v/>
      </c>
      <c r="K43" s="21" t="n"/>
      <c r="L43" s="21" t="n"/>
      <c r="M43" s="21" t="n"/>
      <c r="N43" s="21" t="n"/>
      <c r="O43" s="21" t="n"/>
      <c r="P43" s="21" t="n"/>
    </row>
    <row r="44">
      <c r="A44" s="21" t="n"/>
      <c r="B44" s="21" t="n"/>
      <c r="C44" s="21" t="n"/>
      <c r="D44" s="21" t="n"/>
      <c r="E44" s="22" t="n"/>
      <c r="F44" s="22" t="n"/>
      <c r="G44" s="23" t="n"/>
      <c r="H44" s="24">
        <f>IF(ISNUMBER(F44),F44-IF(ISNUMBER(G44),G44,30),"")</f>
        <v/>
      </c>
      <c r="I44" s="25">
        <f>IF(F44="","",IF(ISNUMBER(F44),F44-TODAY(),"Check date"))</f>
        <v/>
      </c>
      <c r="J44" s="26">
        <f>IF(I44="","",IF(ISNUMBER(I44),IF(I44&lt;0,"Expired",IF(I44&lt;=30,"Due ≤30 days",IF(I44&lt;=90,"Due ≤90 days","OK"))),"Check date"))</f>
        <v/>
      </c>
      <c r="K44" s="21" t="n"/>
      <c r="L44" s="21" t="n"/>
      <c r="M44" s="21" t="n"/>
      <c r="N44" s="21" t="n"/>
      <c r="O44" s="21" t="n"/>
      <c r="P44" s="21" t="n"/>
    </row>
    <row r="45">
      <c r="A45" s="21" t="n"/>
      <c r="B45" s="21" t="n"/>
      <c r="C45" s="21" t="n"/>
      <c r="D45" s="21" t="n"/>
      <c r="E45" s="22" t="n"/>
      <c r="F45" s="22" t="n"/>
      <c r="G45" s="23" t="n"/>
      <c r="H45" s="24">
        <f>IF(ISNUMBER(F45),F45-IF(ISNUMBER(G45),G45,30),"")</f>
        <v/>
      </c>
      <c r="I45" s="25">
        <f>IF(F45="","",IF(ISNUMBER(F45),F45-TODAY(),"Check date"))</f>
        <v/>
      </c>
      <c r="J45" s="26">
        <f>IF(I45="","",IF(ISNUMBER(I45),IF(I45&lt;0,"Expired",IF(I45&lt;=30,"Due ≤30 days",IF(I45&lt;=90,"Due ≤90 days","OK"))),"Check date"))</f>
        <v/>
      </c>
      <c r="K45" s="21" t="n"/>
      <c r="L45" s="21" t="n"/>
      <c r="M45" s="21" t="n"/>
      <c r="N45" s="21" t="n"/>
      <c r="O45" s="21" t="n"/>
      <c r="P45" s="21" t="n"/>
    </row>
    <row r="46">
      <c r="A46" s="21" t="n"/>
      <c r="B46" s="21" t="n"/>
      <c r="C46" s="21" t="n"/>
      <c r="D46" s="21" t="n"/>
      <c r="E46" s="22" t="n"/>
      <c r="F46" s="22" t="n"/>
      <c r="G46" s="23" t="n"/>
      <c r="H46" s="24">
        <f>IF(ISNUMBER(F46),F46-IF(ISNUMBER(G46),G46,30),"")</f>
        <v/>
      </c>
      <c r="I46" s="25">
        <f>IF(F46="","",IF(ISNUMBER(F46),F46-TODAY(),"Check date"))</f>
        <v/>
      </c>
      <c r="J46" s="26">
        <f>IF(I46="","",IF(ISNUMBER(I46),IF(I46&lt;0,"Expired",IF(I46&lt;=30,"Due ≤30 days",IF(I46&lt;=90,"Due ≤90 days","OK"))),"Check date"))</f>
        <v/>
      </c>
      <c r="K46" s="21" t="n"/>
      <c r="L46" s="21" t="n"/>
      <c r="M46" s="21" t="n"/>
      <c r="N46" s="21" t="n"/>
      <c r="O46" s="21" t="n"/>
      <c r="P46" s="21" t="n"/>
    </row>
    <row r="47">
      <c r="A47" s="21" t="n"/>
      <c r="B47" s="21" t="n"/>
      <c r="C47" s="21" t="n"/>
      <c r="D47" s="21" t="n"/>
      <c r="E47" s="22" t="n"/>
      <c r="F47" s="22" t="n"/>
      <c r="G47" s="23" t="n"/>
      <c r="H47" s="24">
        <f>IF(ISNUMBER(F47),F47-IF(ISNUMBER(G47),G47,30),"")</f>
        <v/>
      </c>
      <c r="I47" s="25">
        <f>IF(F47="","",IF(ISNUMBER(F47),F47-TODAY(),"Check date"))</f>
        <v/>
      </c>
      <c r="J47" s="26">
        <f>IF(I47="","",IF(ISNUMBER(I47),IF(I47&lt;0,"Expired",IF(I47&lt;=30,"Due ≤30 days",IF(I47&lt;=90,"Due ≤90 days","OK"))),"Check date"))</f>
        <v/>
      </c>
      <c r="K47" s="21" t="n"/>
      <c r="L47" s="21" t="n"/>
      <c r="M47" s="21" t="n"/>
      <c r="N47" s="21" t="n"/>
      <c r="O47" s="21" t="n"/>
      <c r="P47" s="21" t="n"/>
    </row>
    <row r="48">
      <c r="A48" s="21" t="n"/>
      <c r="B48" s="21" t="n"/>
      <c r="C48" s="21" t="n"/>
      <c r="D48" s="21" t="n"/>
      <c r="E48" s="22" t="n"/>
      <c r="F48" s="22" t="n"/>
      <c r="G48" s="23" t="n"/>
      <c r="H48" s="24">
        <f>IF(ISNUMBER(F48),F48-IF(ISNUMBER(G48),G48,30),"")</f>
        <v/>
      </c>
      <c r="I48" s="25">
        <f>IF(F48="","",IF(ISNUMBER(F48),F48-TODAY(),"Check date"))</f>
        <v/>
      </c>
      <c r="J48" s="26">
        <f>IF(I48="","",IF(ISNUMBER(I48),IF(I48&lt;0,"Expired",IF(I48&lt;=30,"Due ≤30 days",IF(I48&lt;=90,"Due ≤90 days","OK"))),"Check date"))</f>
        <v/>
      </c>
      <c r="K48" s="21" t="n"/>
      <c r="L48" s="21" t="n"/>
      <c r="M48" s="21" t="n"/>
      <c r="N48" s="21" t="n"/>
      <c r="O48" s="21" t="n"/>
      <c r="P48" s="21" t="n"/>
    </row>
    <row r="49">
      <c r="A49" s="21" t="n"/>
      <c r="B49" s="21" t="n"/>
      <c r="C49" s="21" t="n"/>
      <c r="D49" s="21" t="n"/>
      <c r="E49" s="22" t="n"/>
      <c r="F49" s="22" t="n"/>
      <c r="G49" s="23" t="n"/>
      <c r="H49" s="24">
        <f>IF(ISNUMBER(F49),F49-IF(ISNUMBER(G49),G49,30),"")</f>
        <v/>
      </c>
      <c r="I49" s="25">
        <f>IF(F49="","",IF(ISNUMBER(F49),F49-TODAY(),"Check date"))</f>
        <v/>
      </c>
      <c r="J49" s="26">
        <f>IF(I49="","",IF(ISNUMBER(I49),IF(I49&lt;0,"Expired",IF(I49&lt;=30,"Due ≤30 days",IF(I49&lt;=90,"Due ≤90 days","OK"))),"Check date"))</f>
        <v/>
      </c>
      <c r="K49" s="21" t="n"/>
      <c r="L49" s="21" t="n"/>
      <c r="M49" s="21" t="n"/>
      <c r="N49" s="21" t="n"/>
      <c r="O49" s="21" t="n"/>
      <c r="P49" s="21" t="n"/>
    </row>
    <row r="50">
      <c r="A50" s="21" t="n"/>
      <c r="B50" s="21" t="n"/>
      <c r="C50" s="21" t="n"/>
      <c r="D50" s="21" t="n"/>
      <c r="E50" s="22" t="n"/>
      <c r="F50" s="22" t="n"/>
      <c r="G50" s="23" t="n"/>
      <c r="H50" s="24">
        <f>IF(ISNUMBER(F50),F50-IF(ISNUMBER(G50),G50,30),"")</f>
        <v/>
      </c>
      <c r="I50" s="25">
        <f>IF(F50="","",IF(ISNUMBER(F50),F50-TODAY(),"Check date"))</f>
        <v/>
      </c>
      <c r="J50" s="26">
        <f>IF(I50="","",IF(ISNUMBER(I50),IF(I50&lt;0,"Expired",IF(I50&lt;=30,"Due ≤30 days",IF(I50&lt;=90,"Due ≤90 days","OK"))),"Check date"))</f>
        <v/>
      </c>
      <c r="K50" s="21" t="n"/>
      <c r="L50" s="21" t="n"/>
      <c r="M50" s="21" t="n"/>
      <c r="N50" s="21" t="n"/>
      <c r="O50" s="21" t="n"/>
      <c r="P50" s="21" t="n"/>
    </row>
    <row r="51">
      <c r="A51" s="21" t="n"/>
      <c r="B51" s="21" t="n"/>
      <c r="C51" s="21" t="n"/>
      <c r="D51" s="21" t="n"/>
      <c r="E51" s="22" t="n"/>
      <c r="F51" s="22" t="n"/>
      <c r="G51" s="23" t="n"/>
      <c r="H51" s="24">
        <f>IF(ISNUMBER(F51),F51-IF(ISNUMBER(G51),G51,30),"")</f>
        <v/>
      </c>
      <c r="I51" s="25">
        <f>IF(F51="","",IF(ISNUMBER(F51),F51-TODAY(),"Check date"))</f>
        <v/>
      </c>
      <c r="J51" s="26">
        <f>IF(I51="","",IF(ISNUMBER(I51),IF(I51&lt;0,"Expired",IF(I51&lt;=30,"Due ≤30 days",IF(I51&lt;=90,"Due ≤90 days","OK"))),"Check date"))</f>
        <v/>
      </c>
      <c r="K51" s="21" t="n"/>
      <c r="L51" s="21" t="n"/>
      <c r="M51" s="21" t="n"/>
      <c r="N51" s="21" t="n"/>
      <c r="O51" s="21" t="n"/>
      <c r="P51" s="21" t="n"/>
    </row>
    <row r="52">
      <c r="A52" s="21" t="n"/>
      <c r="B52" s="21" t="n"/>
      <c r="C52" s="21" t="n"/>
      <c r="D52" s="21" t="n"/>
      <c r="E52" s="22" t="n"/>
      <c r="F52" s="22" t="n"/>
      <c r="G52" s="23" t="n"/>
      <c r="H52" s="24">
        <f>IF(ISNUMBER(F52),F52-IF(ISNUMBER(G52),G52,30),"")</f>
        <v/>
      </c>
      <c r="I52" s="25">
        <f>IF(F52="","",IF(ISNUMBER(F52),F52-TODAY(),"Check date"))</f>
        <v/>
      </c>
      <c r="J52" s="26">
        <f>IF(I52="","",IF(ISNUMBER(I52),IF(I52&lt;0,"Expired",IF(I52&lt;=30,"Due ≤30 days",IF(I52&lt;=90,"Due ≤90 days","OK"))),"Check date"))</f>
        <v/>
      </c>
      <c r="K52" s="21" t="n"/>
      <c r="L52" s="21" t="n"/>
      <c r="M52" s="21" t="n"/>
      <c r="N52" s="21" t="n"/>
      <c r="O52" s="21" t="n"/>
      <c r="P52" s="21" t="n"/>
    </row>
    <row r="53">
      <c r="A53" s="21" t="n"/>
      <c r="B53" s="21" t="n"/>
      <c r="C53" s="21" t="n"/>
      <c r="D53" s="21" t="n"/>
      <c r="E53" s="22" t="n"/>
      <c r="F53" s="22" t="n"/>
      <c r="G53" s="23" t="n"/>
      <c r="H53" s="24">
        <f>IF(ISNUMBER(F53),F53-IF(ISNUMBER(G53),G53,30),"")</f>
        <v/>
      </c>
      <c r="I53" s="25">
        <f>IF(F53="","",IF(ISNUMBER(F53),F53-TODAY(),"Check date"))</f>
        <v/>
      </c>
      <c r="J53" s="26">
        <f>IF(I53="","",IF(ISNUMBER(I53),IF(I53&lt;0,"Expired",IF(I53&lt;=30,"Due ≤30 days",IF(I53&lt;=90,"Due ≤90 days","OK"))),"Check date"))</f>
        <v/>
      </c>
      <c r="K53" s="21" t="n"/>
      <c r="L53" s="21" t="n"/>
      <c r="M53" s="21" t="n"/>
      <c r="N53" s="21" t="n"/>
      <c r="O53" s="21" t="n"/>
      <c r="P53" s="21" t="n"/>
    </row>
    <row r="54">
      <c r="A54" s="21" t="n"/>
      <c r="B54" s="21" t="n"/>
      <c r="C54" s="21" t="n"/>
      <c r="D54" s="21" t="n"/>
      <c r="E54" s="22" t="n"/>
      <c r="F54" s="22" t="n"/>
      <c r="G54" s="23" t="n"/>
      <c r="H54" s="24">
        <f>IF(ISNUMBER(F54),F54-IF(ISNUMBER(G54),G54,30),"")</f>
        <v/>
      </c>
      <c r="I54" s="25">
        <f>IF(F54="","",IF(ISNUMBER(F54),F54-TODAY(),"Check date"))</f>
        <v/>
      </c>
      <c r="J54" s="26">
        <f>IF(I54="","",IF(ISNUMBER(I54),IF(I54&lt;0,"Expired",IF(I54&lt;=30,"Due ≤30 days",IF(I54&lt;=90,"Due ≤90 days","OK"))),"Check date"))</f>
        <v/>
      </c>
      <c r="K54" s="21" t="n"/>
      <c r="L54" s="21" t="n"/>
      <c r="M54" s="21" t="n"/>
      <c r="N54" s="21" t="n"/>
      <c r="O54" s="21" t="n"/>
      <c r="P54" s="21" t="n"/>
    </row>
    <row r="55">
      <c r="A55" s="21" t="n"/>
      <c r="B55" s="21" t="n"/>
      <c r="C55" s="21" t="n"/>
      <c r="D55" s="21" t="n"/>
      <c r="E55" s="22" t="n"/>
      <c r="F55" s="22" t="n"/>
      <c r="G55" s="23" t="n"/>
      <c r="H55" s="24">
        <f>IF(ISNUMBER(F55),F55-IF(ISNUMBER(G55),G55,30),"")</f>
        <v/>
      </c>
      <c r="I55" s="25">
        <f>IF(F55="","",IF(ISNUMBER(F55),F55-TODAY(),"Check date"))</f>
        <v/>
      </c>
      <c r="J55" s="26">
        <f>IF(I55="","",IF(ISNUMBER(I55),IF(I55&lt;0,"Expired",IF(I55&lt;=30,"Due ≤30 days",IF(I55&lt;=90,"Due ≤90 days","OK"))),"Check date"))</f>
        <v/>
      </c>
      <c r="K55" s="21" t="n"/>
      <c r="L55" s="21" t="n"/>
      <c r="M55" s="21" t="n"/>
      <c r="N55" s="21" t="n"/>
      <c r="O55" s="21" t="n"/>
      <c r="P55" s="21" t="n"/>
    </row>
    <row r="56">
      <c r="A56" s="21" t="n"/>
      <c r="B56" s="21" t="n"/>
      <c r="C56" s="21" t="n"/>
      <c r="D56" s="21" t="n"/>
      <c r="E56" s="22" t="n"/>
      <c r="F56" s="22" t="n"/>
      <c r="G56" s="23" t="n"/>
      <c r="H56" s="24">
        <f>IF(ISNUMBER(F56),F56-IF(ISNUMBER(G56),G56,30),"")</f>
        <v/>
      </c>
      <c r="I56" s="25">
        <f>IF(F56="","",IF(ISNUMBER(F56),F56-TODAY(),"Check date"))</f>
        <v/>
      </c>
      <c r="J56" s="26">
        <f>IF(I56="","",IF(ISNUMBER(I56),IF(I56&lt;0,"Expired",IF(I56&lt;=30,"Due ≤30 days",IF(I56&lt;=90,"Due ≤90 days","OK"))),"Check date"))</f>
        <v/>
      </c>
      <c r="K56" s="21" t="n"/>
      <c r="L56" s="21" t="n"/>
      <c r="M56" s="21" t="n"/>
      <c r="N56" s="21" t="n"/>
      <c r="O56" s="21" t="n"/>
      <c r="P56" s="21" t="n"/>
    </row>
    <row r="57">
      <c r="A57" s="21" t="n"/>
      <c r="B57" s="21" t="n"/>
      <c r="C57" s="21" t="n"/>
      <c r="D57" s="21" t="n"/>
      <c r="E57" s="22" t="n"/>
      <c r="F57" s="22" t="n"/>
      <c r="G57" s="23" t="n"/>
      <c r="H57" s="24">
        <f>IF(ISNUMBER(F57),F57-IF(ISNUMBER(G57),G57,30),"")</f>
        <v/>
      </c>
      <c r="I57" s="25">
        <f>IF(F57="","",IF(ISNUMBER(F57),F57-TODAY(),"Check date"))</f>
        <v/>
      </c>
      <c r="J57" s="26">
        <f>IF(I57="","",IF(ISNUMBER(I57),IF(I57&lt;0,"Expired",IF(I57&lt;=30,"Due ≤30 days",IF(I57&lt;=90,"Due ≤90 days","OK"))),"Check date"))</f>
        <v/>
      </c>
      <c r="K57" s="21" t="n"/>
      <c r="L57" s="21" t="n"/>
      <c r="M57" s="21" t="n"/>
      <c r="N57" s="21" t="n"/>
      <c r="O57" s="21" t="n"/>
      <c r="P57" s="21" t="n"/>
    </row>
    <row r="58">
      <c r="A58" s="21" t="n"/>
      <c r="B58" s="21" t="n"/>
      <c r="C58" s="21" t="n"/>
      <c r="D58" s="21" t="n"/>
      <c r="E58" s="22" t="n"/>
      <c r="F58" s="22" t="n"/>
      <c r="G58" s="23" t="n"/>
      <c r="H58" s="24">
        <f>IF(ISNUMBER(F58),F58-IF(ISNUMBER(G58),G58,30),"")</f>
        <v/>
      </c>
      <c r="I58" s="25">
        <f>IF(F58="","",IF(ISNUMBER(F58),F58-TODAY(),"Check date"))</f>
        <v/>
      </c>
      <c r="J58" s="26">
        <f>IF(I58="","",IF(ISNUMBER(I58),IF(I58&lt;0,"Expired",IF(I58&lt;=30,"Due ≤30 days",IF(I58&lt;=90,"Due ≤90 days","OK"))),"Check date"))</f>
        <v/>
      </c>
      <c r="K58" s="21" t="n"/>
      <c r="L58" s="21" t="n"/>
      <c r="M58" s="21" t="n"/>
      <c r="N58" s="21" t="n"/>
      <c r="O58" s="21" t="n"/>
      <c r="P58" s="21" t="n"/>
    </row>
    <row r="59">
      <c r="A59" s="21" t="n"/>
      <c r="B59" s="21" t="n"/>
      <c r="C59" s="21" t="n"/>
      <c r="D59" s="21" t="n"/>
      <c r="E59" s="22" t="n"/>
      <c r="F59" s="22" t="n"/>
      <c r="G59" s="23" t="n"/>
      <c r="H59" s="24">
        <f>IF(ISNUMBER(F59),F59-IF(ISNUMBER(G59),G59,30),"")</f>
        <v/>
      </c>
      <c r="I59" s="25">
        <f>IF(F59="","",IF(ISNUMBER(F59),F59-TODAY(),"Check date"))</f>
        <v/>
      </c>
      <c r="J59" s="26">
        <f>IF(I59="","",IF(ISNUMBER(I59),IF(I59&lt;0,"Expired",IF(I59&lt;=30,"Due ≤30 days",IF(I59&lt;=90,"Due ≤90 days","OK"))),"Check date"))</f>
        <v/>
      </c>
      <c r="K59" s="21" t="n"/>
      <c r="L59" s="21" t="n"/>
      <c r="M59" s="21" t="n"/>
      <c r="N59" s="21" t="n"/>
      <c r="O59" s="21" t="n"/>
      <c r="P59" s="21" t="n"/>
    </row>
    <row r="60">
      <c r="A60" s="21" t="n"/>
      <c r="B60" s="21" t="n"/>
      <c r="C60" s="21" t="n"/>
      <c r="D60" s="21" t="n"/>
      <c r="E60" s="22" t="n"/>
      <c r="F60" s="22" t="n"/>
      <c r="G60" s="23" t="n"/>
      <c r="H60" s="24">
        <f>IF(ISNUMBER(F60),F60-IF(ISNUMBER(G60),G60,30),"")</f>
        <v/>
      </c>
      <c r="I60" s="25">
        <f>IF(F60="","",IF(ISNUMBER(F60),F60-TODAY(),"Check date"))</f>
        <v/>
      </c>
      <c r="J60" s="26">
        <f>IF(I60="","",IF(ISNUMBER(I60),IF(I60&lt;0,"Expired",IF(I60&lt;=30,"Due ≤30 days",IF(I60&lt;=90,"Due ≤90 days","OK"))),"Check date"))</f>
        <v/>
      </c>
      <c r="K60" s="21" t="n"/>
      <c r="L60" s="21" t="n"/>
      <c r="M60" s="21" t="n"/>
      <c r="N60" s="21" t="n"/>
      <c r="O60" s="21" t="n"/>
      <c r="P60" s="21" t="n"/>
    </row>
    <row r="61">
      <c r="A61" s="21" t="n"/>
      <c r="B61" s="21" t="n"/>
      <c r="C61" s="21" t="n"/>
      <c r="D61" s="21" t="n"/>
      <c r="E61" s="22" t="n"/>
      <c r="F61" s="22" t="n"/>
      <c r="G61" s="23" t="n"/>
      <c r="H61" s="24">
        <f>IF(ISNUMBER(F61),F61-IF(ISNUMBER(G61),G61,30),"")</f>
        <v/>
      </c>
      <c r="I61" s="25">
        <f>IF(F61="","",IF(ISNUMBER(F61),F61-TODAY(),"Check date"))</f>
        <v/>
      </c>
      <c r="J61" s="26">
        <f>IF(I61="","",IF(ISNUMBER(I61),IF(I61&lt;0,"Expired",IF(I61&lt;=30,"Due ≤30 days",IF(I61&lt;=90,"Due ≤90 days","OK"))),"Check date"))</f>
        <v/>
      </c>
      <c r="K61" s="21" t="n"/>
      <c r="L61" s="21" t="n"/>
      <c r="M61" s="21" t="n"/>
      <c r="N61" s="21" t="n"/>
      <c r="O61" s="21" t="n"/>
      <c r="P61" s="21" t="n"/>
    </row>
    <row r="62">
      <c r="A62" s="21" t="n"/>
      <c r="B62" s="21" t="n"/>
      <c r="C62" s="21" t="n"/>
      <c r="D62" s="21" t="n"/>
      <c r="E62" s="22" t="n"/>
      <c r="F62" s="22" t="n"/>
      <c r="G62" s="23" t="n"/>
      <c r="H62" s="24">
        <f>IF(ISNUMBER(F62),F62-IF(ISNUMBER(G62),G62,30),"")</f>
        <v/>
      </c>
      <c r="I62" s="25">
        <f>IF(F62="","",IF(ISNUMBER(F62),F62-TODAY(),"Check date"))</f>
        <v/>
      </c>
      <c r="J62" s="26">
        <f>IF(I62="","",IF(ISNUMBER(I62),IF(I62&lt;0,"Expired",IF(I62&lt;=30,"Due ≤30 days",IF(I62&lt;=90,"Due ≤90 days","OK"))),"Check date"))</f>
        <v/>
      </c>
      <c r="K62" s="21" t="n"/>
      <c r="L62" s="21" t="n"/>
      <c r="M62" s="21" t="n"/>
      <c r="N62" s="21" t="n"/>
      <c r="O62" s="21" t="n"/>
      <c r="P62" s="21" t="n"/>
    </row>
    <row r="63">
      <c r="A63" s="21" t="n"/>
      <c r="B63" s="21" t="n"/>
      <c r="C63" s="21" t="n"/>
      <c r="D63" s="21" t="n"/>
      <c r="E63" s="22" t="n"/>
      <c r="F63" s="22" t="n"/>
      <c r="G63" s="23" t="n"/>
      <c r="H63" s="24">
        <f>IF(ISNUMBER(F63),F63-IF(ISNUMBER(G63),G63,30),"")</f>
        <v/>
      </c>
      <c r="I63" s="25">
        <f>IF(F63="","",IF(ISNUMBER(F63),F63-TODAY(),"Check date"))</f>
        <v/>
      </c>
      <c r="J63" s="26">
        <f>IF(I63="","",IF(ISNUMBER(I63),IF(I63&lt;0,"Expired",IF(I63&lt;=30,"Due ≤30 days",IF(I63&lt;=90,"Due ≤90 days","OK"))),"Check date"))</f>
        <v/>
      </c>
      <c r="K63" s="21" t="n"/>
      <c r="L63" s="21" t="n"/>
      <c r="M63" s="21" t="n"/>
      <c r="N63" s="21" t="n"/>
      <c r="O63" s="21" t="n"/>
      <c r="P63" s="21" t="n"/>
    </row>
    <row r="64">
      <c r="A64" s="21" t="n"/>
      <c r="B64" s="21" t="n"/>
      <c r="C64" s="21" t="n"/>
      <c r="D64" s="21" t="n"/>
      <c r="E64" s="22" t="n"/>
      <c r="F64" s="22" t="n"/>
      <c r="G64" s="23" t="n"/>
      <c r="H64" s="24">
        <f>IF(ISNUMBER(F64),F64-IF(ISNUMBER(G64),G64,30),"")</f>
        <v/>
      </c>
      <c r="I64" s="25">
        <f>IF(F64="","",IF(ISNUMBER(F64),F64-TODAY(),"Check date"))</f>
        <v/>
      </c>
      <c r="J64" s="26">
        <f>IF(I64="","",IF(ISNUMBER(I64),IF(I64&lt;0,"Expired",IF(I64&lt;=30,"Due ≤30 days",IF(I64&lt;=90,"Due ≤90 days","OK"))),"Check date"))</f>
        <v/>
      </c>
      <c r="K64" s="21" t="n"/>
      <c r="L64" s="21" t="n"/>
      <c r="M64" s="21" t="n"/>
      <c r="N64" s="21" t="n"/>
      <c r="O64" s="21" t="n"/>
      <c r="P64" s="21" t="n"/>
    </row>
    <row r="65">
      <c r="A65" s="21" t="n"/>
      <c r="B65" s="21" t="n"/>
      <c r="C65" s="21" t="n"/>
      <c r="D65" s="21" t="n"/>
      <c r="E65" s="22" t="n"/>
      <c r="F65" s="22" t="n"/>
      <c r="G65" s="23" t="n"/>
      <c r="H65" s="24">
        <f>IF(ISNUMBER(F65),F65-IF(ISNUMBER(G65),G65,30),"")</f>
        <v/>
      </c>
      <c r="I65" s="25">
        <f>IF(F65="","",IF(ISNUMBER(F65),F65-TODAY(),"Check date"))</f>
        <v/>
      </c>
      <c r="J65" s="26">
        <f>IF(I65="","",IF(ISNUMBER(I65),IF(I65&lt;0,"Expired",IF(I65&lt;=30,"Due ≤30 days",IF(I65&lt;=90,"Due ≤90 days","OK"))),"Check date"))</f>
        <v/>
      </c>
      <c r="K65" s="21" t="n"/>
      <c r="L65" s="21" t="n"/>
      <c r="M65" s="21" t="n"/>
      <c r="N65" s="21" t="n"/>
      <c r="O65" s="21" t="n"/>
      <c r="P65" s="21" t="n"/>
    </row>
    <row r="66">
      <c r="A66" s="21" t="n"/>
      <c r="B66" s="21" t="n"/>
      <c r="C66" s="21" t="n"/>
      <c r="D66" s="21" t="n"/>
      <c r="E66" s="22" t="n"/>
      <c r="F66" s="22" t="n"/>
      <c r="G66" s="23" t="n"/>
      <c r="H66" s="24">
        <f>IF(ISNUMBER(F66),F66-IF(ISNUMBER(G66),G66,30),"")</f>
        <v/>
      </c>
      <c r="I66" s="25">
        <f>IF(F66="","",IF(ISNUMBER(F66),F66-TODAY(),"Check date"))</f>
        <v/>
      </c>
      <c r="J66" s="26">
        <f>IF(I66="","",IF(ISNUMBER(I66),IF(I66&lt;0,"Expired",IF(I66&lt;=30,"Due ≤30 days",IF(I66&lt;=90,"Due ≤90 days","OK"))),"Check date"))</f>
        <v/>
      </c>
      <c r="K66" s="21" t="n"/>
      <c r="L66" s="21" t="n"/>
      <c r="M66" s="21" t="n"/>
      <c r="N66" s="21" t="n"/>
      <c r="O66" s="21" t="n"/>
      <c r="P66" s="21" t="n"/>
    </row>
    <row r="67">
      <c r="A67" s="21" t="n"/>
      <c r="B67" s="21" t="n"/>
      <c r="C67" s="21" t="n"/>
      <c r="D67" s="21" t="n"/>
      <c r="E67" s="22" t="n"/>
      <c r="F67" s="22" t="n"/>
      <c r="G67" s="23" t="n"/>
      <c r="H67" s="24">
        <f>IF(ISNUMBER(F67),F67-IF(ISNUMBER(G67),G67,30),"")</f>
        <v/>
      </c>
      <c r="I67" s="25">
        <f>IF(F67="","",IF(ISNUMBER(F67),F67-TODAY(),"Check date"))</f>
        <v/>
      </c>
      <c r="J67" s="26">
        <f>IF(I67="","",IF(ISNUMBER(I67),IF(I67&lt;0,"Expired",IF(I67&lt;=30,"Due ≤30 days",IF(I67&lt;=90,"Due ≤90 days","OK"))),"Check date"))</f>
        <v/>
      </c>
      <c r="K67" s="21" t="n"/>
      <c r="L67" s="21" t="n"/>
      <c r="M67" s="21" t="n"/>
      <c r="N67" s="21" t="n"/>
      <c r="O67" s="21" t="n"/>
      <c r="P67" s="21" t="n"/>
    </row>
    <row r="68">
      <c r="A68" s="21" t="n"/>
      <c r="B68" s="21" t="n"/>
      <c r="C68" s="21" t="n"/>
      <c r="D68" s="21" t="n"/>
      <c r="E68" s="22" t="n"/>
      <c r="F68" s="22" t="n"/>
      <c r="G68" s="23" t="n"/>
      <c r="H68" s="24">
        <f>IF(ISNUMBER(F68),F68-IF(ISNUMBER(G68),G68,30),"")</f>
        <v/>
      </c>
      <c r="I68" s="25">
        <f>IF(F68="","",IF(ISNUMBER(F68),F68-TODAY(),"Check date"))</f>
        <v/>
      </c>
      <c r="J68" s="26">
        <f>IF(I68="","",IF(ISNUMBER(I68),IF(I68&lt;0,"Expired",IF(I68&lt;=30,"Due ≤30 days",IF(I68&lt;=90,"Due ≤90 days","OK"))),"Check date"))</f>
        <v/>
      </c>
      <c r="K68" s="21" t="n"/>
      <c r="L68" s="21" t="n"/>
      <c r="M68" s="21" t="n"/>
      <c r="N68" s="21" t="n"/>
      <c r="O68" s="21" t="n"/>
      <c r="P68" s="21" t="n"/>
    </row>
    <row r="69">
      <c r="A69" s="21" t="n"/>
      <c r="B69" s="21" t="n"/>
      <c r="C69" s="21" t="n"/>
      <c r="D69" s="21" t="n"/>
      <c r="E69" s="22" t="n"/>
      <c r="F69" s="22" t="n"/>
      <c r="G69" s="23" t="n"/>
      <c r="H69" s="24">
        <f>IF(ISNUMBER(F69),F69-IF(ISNUMBER(G69),G69,30),"")</f>
        <v/>
      </c>
      <c r="I69" s="25">
        <f>IF(F69="","",IF(ISNUMBER(F69),F69-TODAY(),"Check date"))</f>
        <v/>
      </c>
      <c r="J69" s="26">
        <f>IF(I69="","",IF(ISNUMBER(I69),IF(I69&lt;0,"Expired",IF(I69&lt;=30,"Due ≤30 days",IF(I69&lt;=90,"Due ≤90 days","OK"))),"Check date"))</f>
        <v/>
      </c>
      <c r="K69" s="21" t="n"/>
      <c r="L69" s="21" t="n"/>
      <c r="M69" s="21" t="n"/>
      <c r="N69" s="21" t="n"/>
      <c r="O69" s="21" t="n"/>
      <c r="P69" s="21" t="n"/>
    </row>
    <row r="70">
      <c r="A70" s="21" t="n"/>
      <c r="B70" s="21" t="n"/>
      <c r="C70" s="21" t="n"/>
      <c r="D70" s="21" t="n"/>
      <c r="E70" s="22" t="n"/>
      <c r="F70" s="22" t="n"/>
      <c r="G70" s="23" t="n"/>
      <c r="H70" s="24">
        <f>IF(ISNUMBER(F70),F70-IF(ISNUMBER(G70),G70,30),"")</f>
        <v/>
      </c>
      <c r="I70" s="25">
        <f>IF(F70="","",IF(ISNUMBER(F70),F70-TODAY(),"Check date"))</f>
        <v/>
      </c>
      <c r="J70" s="26">
        <f>IF(I70="","",IF(ISNUMBER(I70),IF(I70&lt;0,"Expired",IF(I70&lt;=30,"Due ≤30 days",IF(I70&lt;=90,"Due ≤90 days","OK"))),"Check date"))</f>
        <v/>
      </c>
      <c r="K70" s="21" t="n"/>
      <c r="L70" s="21" t="n"/>
      <c r="M70" s="21" t="n"/>
      <c r="N70" s="21" t="n"/>
      <c r="O70" s="21" t="n"/>
      <c r="P70" s="21" t="n"/>
    </row>
    <row r="71">
      <c r="A71" s="21" t="n"/>
      <c r="B71" s="21" t="n"/>
      <c r="C71" s="21" t="n"/>
      <c r="D71" s="21" t="n"/>
      <c r="E71" s="22" t="n"/>
      <c r="F71" s="22" t="n"/>
      <c r="G71" s="23" t="n"/>
      <c r="H71" s="24">
        <f>IF(ISNUMBER(F71),F71-IF(ISNUMBER(G71),G71,30),"")</f>
        <v/>
      </c>
      <c r="I71" s="25">
        <f>IF(F71="","",IF(ISNUMBER(F71),F71-TODAY(),"Check date"))</f>
        <v/>
      </c>
      <c r="J71" s="26">
        <f>IF(I71="","",IF(ISNUMBER(I71),IF(I71&lt;0,"Expired",IF(I71&lt;=30,"Due ≤30 days",IF(I71&lt;=90,"Due ≤90 days","OK"))),"Check date"))</f>
        <v/>
      </c>
      <c r="K71" s="21" t="n"/>
      <c r="L71" s="21" t="n"/>
      <c r="M71" s="21" t="n"/>
      <c r="N71" s="21" t="n"/>
      <c r="O71" s="21" t="n"/>
      <c r="P71" s="21" t="n"/>
    </row>
    <row r="72">
      <c r="A72" s="21" t="n"/>
      <c r="B72" s="21" t="n"/>
      <c r="C72" s="21" t="n"/>
      <c r="D72" s="21" t="n"/>
      <c r="E72" s="22" t="n"/>
      <c r="F72" s="22" t="n"/>
      <c r="G72" s="23" t="n"/>
      <c r="H72" s="24">
        <f>IF(ISNUMBER(F72),F72-IF(ISNUMBER(G72),G72,30),"")</f>
        <v/>
      </c>
      <c r="I72" s="25">
        <f>IF(F72="","",IF(ISNUMBER(F72),F72-TODAY(),"Check date"))</f>
        <v/>
      </c>
      <c r="J72" s="26">
        <f>IF(I72="","",IF(ISNUMBER(I72),IF(I72&lt;0,"Expired",IF(I72&lt;=30,"Due ≤30 days",IF(I72&lt;=90,"Due ≤90 days","OK"))),"Check date"))</f>
        <v/>
      </c>
      <c r="K72" s="21" t="n"/>
      <c r="L72" s="21" t="n"/>
      <c r="M72" s="21" t="n"/>
      <c r="N72" s="21" t="n"/>
      <c r="O72" s="21" t="n"/>
      <c r="P72" s="21" t="n"/>
    </row>
    <row r="73">
      <c r="A73" s="21" t="n"/>
      <c r="B73" s="21" t="n"/>
      <c r="C73" s="21" t="n"/>
      <c r="D73" s="21" t="n"/>
      <c r="E73" s="22" t="n"/>
      <c r="F73" s="22" t="n"/>
      <c r="G73" s="23" t="n"/>
      <c r="H73" s="24">
        <f>IF(ISNUMBER(F73),F73-IF(ISNUMBER(G73),G73,30),"")</f>
        <v/>
      </c>
      <c r="I73" s="25">
        <f>IF(F73="","",IF(ISNUMBER(F73),F73-TODAY(),"Check date"))</f>
        <v/>
      </c>
      <c r="J73" s="26">
        <f>IF(I73="","",IF(ISNUMBER(I73),IF(I73&lt;0,"Expired",IF(I73&lt;=30,"Due ≤30 days",IF(I73&lt;=90,"Due ≤90 days","OK"))),"Check date"))</f>
        <v/>
      </c>
      <c r="K73" s="21" t="n"/>
      <c r="L73" s="21" t="n"/>
      <c r="M73" s="21" t="n"/>
      <c r="N73" s="21" t="n"/>
      <c r="O73" s="21" t="n"/>
      <c r="P73" s="21" t="n"/>
    </row>
    <row r="74">
      <c r="A74" s="21" t="n"/>
      <c r="B74" s="21" t="n"/>
      <c r="C74" s="21" t="n"/>
      <c r="D74" s="21" t="n"/>
      <c r="E74" s="22" t="n"/>
      <c r="F74" s="22" t="n"/>
      <c r="G74" s="23" t="n"/>
      <c r="H74" s="24">
        <f>IF(ISNUMBER(F74),F74-IF(ISNUMBER(G74),G74,30),"")</f>
        <v/>
      </c>
      <c r="I74" s="25">
        <f>IF(F74="","",IF(ISNUMBER(F74),F74-TODAY(),"Check date"))</f>
        <v/>
      </c>
      <c r="J74" s="26">
        <f>IF(I74="","",IF(ISNUMBER(I74),IF(I74&lt;0,"Expired",IF(I74&lt;=30,"Due ≤30 days",IF(I74&lt;=90,"Due ≤90 days","OK"))),"Check date"))</f>
        <v/>
      </c>
      <c r="K74" s="21" t="n"/>
      <c r="L74" s="21" t="n"/>
      <c r="M74" s="21" t="n"/>
      <c r="N74" s="21" t="n"/>
      <c r="O74" s="21" t="n"/>
      <c r="P74" s="21" t="n"/>
    </row>
    <row r="75">
      <c r="A75" s="21" t="n"/>
      <c r="B75" s="21" t="n"/>
      <c r="C75" s="21" t="n"/>
      <c r="D75" s="21" t="n"/>
      <c r="E75" s="22" t="n"/>
      <c r="F75" s="22" t="n"/>
      <c r="G75" s="23" t="n"/>
      <c r="H75" s="24">
        <f>IF(ISNUMBER(F75),F75-IF(ISNUMBER(G75),G75,30),"")</f>
        <v/>
      </c>
      <c r="I75" s="25">
        <f>IF(F75="","",IF(ISNUMBER(F75),F75-TODAY(),"Check date"))</f>
        <v/>
      </c>
      <c r="J75" s="26">
        <f>IF(I75="","",IF(ISNUMBER(I75),IF(I75&lt;0,"Expired",IF(I75&lt;=30,"Due ≤30 days",IF(I75&lt;=90,"Due ≤90 days","OK"))),"Check date"))</f>
        <v/>
      </c>
      <c r="K75" s="21" t="n"/>
      <c r="L75" s="21" t="n"/>
      <c r="M75" s="21" t="n"/>
      <c r="N75" s="21" t="n"/>
      <c r="O75" s="21" t="n"/>
      <c r="P75" s="21" t="n"/>
    </row>
    <row r="76">
      <c r="A76" s="21" t="n"/>
      <c r="B76" s="21" t="n"/>
      <c r="C76" s="21" t="n"/>
      <c r="D76" s="21" t="n"/>
      <c r="E76" s="22" t="n"/>
      <c r="F76" s="22" t="n"/>
      <c r="G76" s="23" t="n"/>
      <c r="H76" s="24">
        <f>IF(ISNUMBER(F76),F76-IF(ISNUMBER(G76),G76,30),"")</f>
        <v/>
      </c>
      <c r="I76" s="25">
        <f>IF(F76="","",IF(ISNUMBER(F76),F76-TODAY(),"Check date"))</f>
        <v/>
      </c>
      <c r="J76" s="26">
        <f>IF(I76="","",IF(ISNUMBER(I76),IF(I76&lt;0,"Expired",IF(I76&lt;=30,"Due ≤30 days",IF(I76&lt;=90,"Due ≤90 days","OK"))),"Check date"))</f>
        <v/>
      </c>
      <c r="K76" s="21" t="n"/>
      <c r="L76" s="21" t="n"/>
      <c r="M76" s="21" t="n"/>
      <c r="N76" s="21" t="n"/>
      <c r="O76" s="21" t="n"/>
      <c r="P76" s="21" t="n"/>
    </row>
    <row r="77">
      <c r="A77" s="21" t="n"/>
      <c r="B77" s="21" t="n"/>
      <c r="C77" s="21" t="n"/>
      <c r="D77" s="21" t="n"/>
      <c r="E77" s="22" t="n"/>
      <c r="F77" s="22" t="n"/>
      <c r="G77" s="23" t="n"/>
      <c r="H77" s="24">
        <f>IF(ISNUMBER(F77),F77-IF(ISNUMBER(G77),G77,30),"")</f>
        <v/>
      </c>
      <c r="I77" s="25">
        <f>IF(F77="","",IF(ISNUMBER(F77),F77-TODAY(),"Check date"))</f>
        <v/>
      </c>
      <c r="J77" s="26">
        <f>IF(I77="","",IF(ISNUMBER(I77),IF(I77&lt;0,"Expired",IF(I77&lt;=30,"Due ≤30 days",IF(I77&lt;=90,"Due ≤90 days","OK"))),"Check date"))</f>
        <v/>
      </c>
      <c r="K77" s="21" t="n"/>
      <c r="L77" s="21" t="n"/>
      <c r="M77" s="21" t="n"/>
      <c r="N77" s="21" t="n"/>
      <c r="O77" s="21" t="n"/>
      <c r="P77" s="21" t="n"/>
    </row>
    <row r="78">
      <c r="A78" s="21" t="n"/>
      <c r="B78" s="21" t="n"/>
      <c r="C78" s="21" t="n"/>
      <c r="D78" s="21" t="n"/>
      <c r="E78" s="22" t="n"/>
      <c r="F78" s="22" t="n"/>
      <c r="G78" s="23" t="n"/>
      <c r="H78" s="24">
        <f>IF(ISNUMBER(F78),F78-IF(ISNUMBER(G78),G78,30),"")</f>
        <v/>
      </c>
      <c r="I78" s="25">
        <f>IF(F78="","",IF(ISNUMBER(F78),F78-TODAY(),"Check date"))</f>
        <v/>
      </c>
      <c r="J78" s="26">
        <f>IF(I78="","",IF(ISNUMBER(I78),IF(I78&lt;0,"Expired",IF(I78&lt;=30,"Due ≤30 days",IF(I78&lt;=90,"Due ≤90 days","OK"))),"Check date"))</f>
        <v/>
      </c>
      <c r="K78" s="21" t="n"/>
      <c r="L78" s="21" t="n"/>
      <c r="M78" s="21" t="n"/>
      <c r="N78" s="21" t="n"/>
      <c r="O78" s="21" t="n"/>
      <c r="P78" s="21" t="n"/>
    </row>
    <row r="79">
      <c r="A79" s="21" t="n"/>
      <c r="B79" s="21" t="n"/>
      <c r="C79" s="21" t="n"/>
      <c r="D79" s="21" t="n"/>
      <c r="E79" s="22" t="n"/>
      <c r="F79" s="22" t="n"/>
      <c r="G79" s="23" t="n"/>
      <c r="H79" s="24">
        <f>IF(ISNUMBER(F79),F79-IF(ISNUMBER(G79),G79,30),"")</f>
        <v/>
      </c>
      <c r="I79" s="25">
        <f>IF(F79="","",IF(ISNUMBER(F79),F79-TODAY(),"Check date"))</f>
        <v/>
      </c>
      <c r="J79" s="26">
        <f>IF(I79="","",IF(ISNUMBER(I79),IF(I79&lt;0,"Expired",IF(I79&lt;=30,"Due ≤30 days",IF(I79&lt;=90,"Due ≤90 days","OK"))),"Check date"))</f>
        <v/>
      </c>
      <c r="K79" s="21" t="n"/>
      <c r="L79" s="21" t="n"/>
      <c r="M79" s="21" t="n"/>
      <c r="N79" s="21" t="n"/>
      <c r="O79" s="21" t="n"/>
      <c r="P79" s="21" t="n"/>
    </row>
    <row r="80">
      <c r="A80" s="21" t="n"/>
      <c r="B80" s="21" t="n"/>
      <c r="C80" s="21" t="n"/>
      <c r="D80" s="21" t="n"/>
      <c r="E80" s="22" t="n"/>
      <c r="F80" s="22" t="n"/>
      <c r="G80" s="23" t="n"/>
      <c r="H80" s="24">
        <f>IF(ISNUMBER(F80),F80-IF(ISNUMBER(G80),G80,30),"")</f>
        <v/>
      </c>
      <c r="I80" s="25">
        <f>IF(F80="","",IF(ISNUMBER(F80),F80-TODAY(),"Check date"))</f>
        <v/>
      </c>
      <c r="J80" s="26">
        <f>IF(I80="","",IF(ISNUMBER(I80),IF(I80&lt;0,"Expired",IF(I80&lt;=30,"Due ≤30 days",IF(I80&lt;=90,"Due ≤90 days","OK"))),"Check date"))</f>
        <v/>
      </c>
      <c r="K80" s="21" t="n"/>
      <c r="L80" s="21" t="n"/>
      <c r="M80" s="21" t="n"/>
      <c r="N80" s="21" t="n"/>
      <c r="O80" s="21" t="n"/>
      <c r="P80" s="21" t="n"/>
    </row>
    <row r="81">
      <c r="A81" s="21" t="n"/>
      <c r="B81" s="21" t="n"/>
      <c r="C81" s="21" t="n"/>
      <c r="D81" s="21" t="n"/>
      <c r="E81" s="22" t="n"/>
      <c r="F81" s="22" t="n"/>
      <c r="G81" s="23" t="n"/>
      <c r="H81" s="24">
        <f>IF(ISNUMBER(F81),F81-IF(ISNUMBER(G81),G81,30),"")</f>
        <v/>
      </c>
      <c r="I81" s="25">
        <f>IF(F81="","",IF(ISNUMBER(F81),F81-TODAY(),"Check date"))</f>
        <v/>
      </c>
      <c r="J81" s="26">
        <f>IF(I81="","",IF(ISNUMBER(I81),IF(I81&lt;0,"Expired",IF(I81&lt;=30,"Due ≤30 days",IF(I81&lt;=90,"Due ≤90 days","OK"))),"Check date"))</f>
        <v/>
      </c>
      <c r="K81" s="21" t="n"/>
      <c r="L81" s="21" t="n"/>
      <c r="M81" s="21" t="n"/>
      <c r="N81" s="21" t="n"/>
      <c r="O81" s="21" t="n"/>
      <c r="P81" s="21" t="n"/>
    </row>
    <row r="82">
      <c r="A82" s="21" t="n"/>
      <c r="B82" s="21" t="n"/>
      <c r="C82" s="21" t="n"/>
      <c r="D82" s="21" t="n"/>
      <c r="E82" s="22" t="n"/>
      <c r="F82" s="22" t="n"/>
      <c r="G82" s="23" t="n"/>
      <c r="H82" s="24">
        <f>IF(ISNUMBER(F82),F82-IF(ISNUMBER(G82),G82,30),"")</f>
        <v/>
      </c>
      <c r="I82" s="25">
        <f>IF(F82="","",IF(ISNUMBER(F82),F82-TODAY(),"Check date"))</f>
        <v/>
      </c>
      <c r="J82" s="26">
        <f>IF(I82="","",IF(ISNUMBER(I82),IF(I82&lt;0,"Expired",IF(I82&lt;=30,"Due ≤30 days",IF(I82&lt;=90,"Due ≤90 days","OK"))),"Check date"))</f>
        <v/>
      </c>
      <c r="K82" s="21" t="n"/>
      <c r="L82" s="21" t="n"/>
      <c r="M82" s="21" t="n"/>
      <c r="N82" s="21" t="n"/>
      <c r="O82" s="21" t="n"/>
      <c r="P82" s="21" t="n"/>
    </row>
    <row r="83">
      <c r="A83" s="21" t="n"/>
      <c r="B83" s="21" t="n"/>
      <c r="C83" s="21" t="n"/>
      <c r="D83" s="21" t="n"/>
      <c r="E83" s="22" t="n"/>
      <c r="F83" s="22" t="n"/>
      <c r="G83" s="23" t="n"/>
      <c r="H83" s="24">
        <f>IF(ISNUMBER(F83),F83-IF(ISNUMBER(G83),G83,30),"")</f>
        <v/>
      </c>
      <c r="I83" s="25">
        <f>IF(F83="","",IF(ISNUMBER(F83),F83-TODAY(),"Check date"))</f>
        <v/>
      </c>
      <c r="J83" s="26">
        <f>IF(I83="","",IF(ISNUMBER(I83),IF(I83&lt;0,"Expired",IF(I83&lt;=30,"Due ≤30 days",IF(I83&lt;=90,"Due ≤90 days","OK"))),"Check date"))</f>
        <v/>
      </c>
      <c r="K83" s="21" t="n"/>
      <c r="L83" s="21" t="n"/>
      <c r="M83" s="21" t="n"/>
      <c r="N83" s="21" t="n"/>
      <c r="O83" s="21" t="n"/>
      <c r="P83" s="21" t="n"/>
    </row>
    <row r="84">
      <c r="A84" s="21" t="n"/>
      <c r="B84" s="21" t="n"/>
      <c r="C84" s="21" t="n"/>
      <c r="D84" s="21" t="n"/>
      <c r="E84" s="22" t="n"/>
      <c r="F84" s="22" t="n"/>
      <c r="G84" s="23" t="n"/>
      <c r="H84" s="24">
        <f>IF(ISNUMBER(F84),F84-IF(ISNUMBER(G84),G84,30),"")</f>
        <v/>
      </c>
      <c r="I84" s="25">
        <f>IF(F84="","",IF(ISNUMBER(F84),F84-TODAY(),"Check date"))</f>
        <v/>
      </c>
      <c r="J84" s="26">
        <f>IF(I84="","",IF(ISNUMBER(I84),IF(I84&lt;0,"Expired",IF(I84&lt;=30,"Due ≤30 days",IF(I84&lt;=90,"Due ≤90 days","OK"))),"Check date"))</f>
        <v/>
      </c>
      <c r="K84" s="21" t="n"/>
      <c r="L84" s="21" t="n"/>
      <c r="M84" s="21" t="n"/>
      <c r="N84" s="21" t="n"/>
      <c r="O84" s="21" t="n"/>
      <c r="P84" s="21" t="n"/>
    </row>
    <row r="85">
      <c r="A85" s="21" t="n"/>
      <c r="B85" s="21" t="n"/>
      <c r="C85" s="21" t="n"/>
      <c r="D85" s="21" t="n"/>
      <c r="E85" s="22" t="n"/>
      <c r="F85" s="22" t="n"/>
      <c r="G85" s="23" t="n"/>
      <c r="H85" s="24">
        <f>IF(ISNUMBER(F85),F85-IF(ISNUMBER(G85),G85,30),"")</f>
        <v/>
      </c>
      <c r="I85" s="25">
        <f>IF(F85="","",IF(ISNUMBER(F85),F85-TODAY(),"Check date"))</f>
        <v/>
      </c>
      <c r="J85" s="26">
        <f>IF(I85="","",IF(ISNUMBER(I85),IF(I85&lt;0,"Expired",IF(I85&lt;=30,"Due ≤30 days",IF(I85&lt;=90,"Due ≤90 days","OK"))),"Check date"))</f>
        <v/>
      </c>
      <c r="K85" s="21" t="n"/>
      <c r="L85" s="21" t="n"/>
      <c r="M85" s="21" t="n"/>
      <c r="N85" s="21" t="n"/>
      <c r="O85" s="21" t="n"/>
      <c r="P85" s="21" t="n"/>
    </row>
    <row r="86">
      <c r="A86" s="21" t="n"/>
      <c r="B86" s="21" t="n"/>
      <c r="C86" s="21" t="n"/>
      <c r="D86" s="21" t="n"/>
      <c r="E86" s="22" t="n"/>
      <c r="F86" s="22" t="n"/>
      <c r="G86" s="23" t="n"/>
      <c r="H86" s="24">
        <f>IF(ISNUMBER(F86),F86-IF(ISNUMBER(G86),G86,30),"")</f>
        <v/>
      </c>
      <c r="I86" s="25">
        <f>IF(F86="","",IF(ISNUMBER(F86),F86-TODAY(),"Check date"))</f>
        <v/>
      </c>
      <c r="J86" s="26">
        <f>IF(I86="","",IF(ISNUMBER(I86),IF(I86&lt;0,"Expired",IF(I86&lt;=30,"Due ≤30 days",IF(I86&lt;=90,"Due ≤90 days","OK"))),"Check date"))</f>
        <v/>
      </c>
      <c r="K86" s="21" t="n"/>
      <c r="L86" s="21" t="n"/>
      <c r="M86" s="21" t="n"/>
      <c r="N86" s="21" t="n"/>
      <c r="O86" s="21" t="n"/>
      <c r="P86" s="21" t="n"/>
    </row>
    <row r="87">
      <c r="A87" s="21" t="n"/>
      <c r="B87" s="21" t="n"/>
      <c r="C87" s="21" t="n"/>
      <c r="D87" s="21" t="n"/>
      <c r="E87" s="22" t="n"/>
      <c r="F87" s="22" t="n"/>
      <c r="G87" s="23" t="n"/>
      <c r="H87" s="24">
        <f>IF(ISNUMBER(F87),F87-IF(ISNUMBER(G87),G87,30),"")</f>
        <v/>
      </c>
      <c r="I87" s="25">
        <f>IF(F87="","",IF(ISNUMBER(F87),F87-TODAY(),"Check date"))</f>
        <v/>
      </c>
      <c r="J87" s="26">
        <f>IF(I87="","",IF(ISNUMBER(I87),IF(I87&lt;0,"Expired",IF(I87&lt;=30,"Due ≤30 days",IF(I87&lt;=90,"Due ≤90 days","OK"))),"Check date"))</f>
        <v/>
      </c>
      <c r="K87" s="21" t="n"/>
      <c r="L87" s="21" t="n"/>
      <c r="M87" s="21" t="n"/>
      <c r="N87" s="21" t="n"/>
      <c r="O87" s="21" t="n"/>
      <c r="P87" s="21" t="n"/>
    </row>
    <row r="88">
      <c r="A88" s="21" t="n"/>
      <c r="B88" s="21" t="n"/>
      <c r="C88" s="21" t="n"/>
      <c r="D88" s="21" t="n"/>
      <c r="E88" s="22" t="n"/>
      <c r="F88" s="22" t="n"/>
      <c r="G88" s="23" t="n"/>
      <c r="H88" s="24">
        <f>IF(ISNUMBER(F88),F88-IF(ISNUMBER(G88),G88,30),"")</f>
        <v/>
      </c>
      <c r="I88" s="25">
        <f>IF(F88="","",IF(ISNUMBER(F88),F88-TODAY(),"Check date"))</f>
        <v/>
      </c>
      <c r="J88" s="26">
        <f>IF(I88="","",IF(ISNUMBER(I88),IF(I88&lt;0,"Expired",IF(I88&lt;=30,"Due ≤30 days",IF(I88&lt;=90,"Due ≤90 days","OK"))),"Check date"))</f>
        <v/>
      </c>
      <c r="K88" s="21" t="n"/>
      <c r="L88" s="21" t="n"/>
      <c r="M88" s="21" t="n"/>
      <c r="N88" s="21" t="n"/>
      <c r="O88" s="21" t="n"/>
      <c r="P88" s="21" t="n"/>
    </row>
    <row r="89">
      <c r="A89" s="21" t="n"/>
      <c r="B89" s="21" t="n"/>
      <c r="C89" s="21" t="n"/>
      <c r="D89" s="21" t="n"/>
      <c r="E89" s="22" t="n"/>
      <c r="F89" s="22" t="n"/>
      <c r="G89" s="23" t="n"/>
      <c r="H89" s="24">
        <f>IF(ISNUMBER(F89),F89-IF(ISNUMBER(G89),G89,30),"")</f>
        <v/>
      </c>
      <c r="I89" s="25">
        <f>IF(F89="","",IF(ISNUMBER(F89),F89-TODAY(),"Check date"))</f>
        <v/>
      </c>
      <c r="J89" s="26">
        <f>IF(I89="","",IF(ISNUMBER(I89),IF(I89&lt;0,"Expired",IF(I89&lt;=30,"Due ≤30 days",IF(I89&lt;=90,"Due ≤90 days","OK"))),"Check date"))</f>
        <v/>
      </c>
      <c r="K89" s="21" t="n"/>
      <c r="L89" s="21" t="n"/>
      <c r="M89" s="21" t="n"/>
      <c r="N89" s="21" t="n"/>
      <c r="O89" s="21" t="n"/>
      <c r="P89" s="21" t="n"/>
    </row>
    <row r="90">
      <c r="A90" s="21" t="n"/>
      <c r="B90" s="21" t="n"/>
      <c r="C90" s="21" t="n"/>
      <c r="D90" s="21" t="n"/>
      <c r="E90" s="22" t="n"/>
      <c r="F90" s="22" t="n"/>
      <c r="G90" s="23" t="n"/>
      <c r="H90" s="24">
        <f>IF(ISNUMBER(F90),F90-IF(ISNUMBER(G90),G90,30),"")</f>
        <v/>
      </c>
      <c r="I90" s="25">
        <f>IF(F90="","",IF(ISNUMBER(F90),F90-TODAY(),"Check date"))</f>
        <v/>
      </c>
      <c r="J90" s="26">
        <f>IF(I90="","",IF(ISNUMBER(I90),IF(I90&lt;0,"Expired",IF(I90&lt;=30,"Due ≤30 days",IF(I90&lt;=90,"Due ≤90 days","OK"))),"Check date"))</f>
        <v/>
      </c>
      <c r="K90" s="21" t="n"/>
      <c r="L90" s="21" t="n"/>
      <c r="M90" s="21" t="n"/>
      <c r="N90" s="21" t="n"/>
      <c r="O90" s="21" t="n"/>
      <c r="P90" s="21" t="n"/>
    </row>
    <row r="91">
      <c r="A91" s="21" t="n"/>
      <c r="B91" s="21" t="n"/>
      <c r="C91" s="21" t="n"/>
      <c r="D91" s="21" t="n"/>
      <c r="E91" s="22" t="n"/>
      <c r="F91" s="22" t="n"/>
      <c r="G91" s="23" t="n"/>
      <c r="H91" s="24">
        <f>IF(ISNUMBER(F91),F91-IF(ISNUMBER(G91),G91,30),"")</f>
        <v/>
      </c>
      <c r="I91" s="25">
        <f>IF(F91="","",IF(ISNUMBER(F91),F91-TODAY(),"Check date"))</f>
        <v/>
      </c>
      <c r="J91" s="26">
        <f>IF(I91="","",IF(ISNUMBER(I91),IF(I91&lt;0,"Expired",IF(I91&lt;=30,"Due ≤30 days",IF(I91&lt;=90,"Due ≤90 days","OK"))),"Check date"))</f>
        <v/>
      </c>
      <c r="K91" s="21" t="n"/>
      <c r="L91" s="21" t="n"/>
      <c r="M91" s="21" t="n"/>
      <c r="N91" s="21" t="n"/>
      <c r="O91" s="21" t="n"/>
      <c r="P91" s="21" t="n"/>
    </row>
    <row r="92">
      <c r="A92" s="21" t="n"/>
      <c r="B92" s="21" t="n"/>
      <c r="C92" s="21" t="n"/>
      <c r="D92" s="21" t="n"/>
      <c r="E92" s="22" t="n"/>
      <c r="F92" s="22" t="n"/>
      <c r="G92" s="23" t="n"/>
      <c r="H92" s="24">
        <f>IF(ISNUMBER(F92),F92-IF(ISNUMBER(G92),G92,30),"")</f>
        <v/>
      </c>
      <c r="I92" s="25">
        <f>IF(F92="","",IF(ISNUMBER(F92),F92-TODAY(),"Check date"))</f>
        <v/>
      </c>
      <c r="J92" s="26">
        <f>IF(I92="","",IF(ISNUMBER(I92),IF(I92&lt;0,"Expired",IF(I92&lt;=30,"Due ≤30 days",IF(I92&lt;=90,"Due ≤90 days","OK"))),"Check date"))</f>
        <v/>
      </c>
      <c r="K92" s="21" t="n"/>
      <c r="L92" s="21" t="n"/>
      <c r="M92" s="21" t="n"/>
      <c r="N92" s="21" t="n"/>
      <c r="O92" s="21" t="n"/>
      <c r="P92" s="21" t="n"/>
    </row>
    <row r="93">
      <c r="A93" s="21" t="n"/>
      <c r="B93" s="21" t="n"/>
      <c r="C93" s="21" t="n"/>
      <c r="D93" s="21" t="n"/>
      <c r="E93" s="22" t="n"/>
      <c r="F93" s="22" t="n"/>
      <c r="G93" s="23" t="n"/>
      <c r="H93" s="24">
        <f>IF(ISNUMBER(F93),F93-IF(ISNUMBER(G93),G93,30),"")</f>
        <v/>
      </c>
      <c r="I93" s="25">
        <f>IF(F93="","",IF(ISNUMBER(F93),F93-TODAY(),"Check date"))</f>
        <v/>
      </c>
      <c r="J93" s="26">
        <f>IF(I93="","",IF(ISNUMBER(I93),IF(I93&lt;0,"Expired",IF(I93&lt;=30,"Due ≤30 days",IF(I93&lt;=90,"Due ≤90 days","OK"))),"Check date"))</f>
        <v/>
      </c>
      <c r="K93" s="21" t="n"/>
      <c r="L93" s="21" t="n"/>
      <c r="M93" s="21" t="n"/>
      <c r="N93" s="21" t="n"/>
      <c r="O93" s="21" t="n"/>
      <c r="P93" s="21" t="n"/>
    </row>
    <row r="94">
      <c r="A94" s="21" t="n"/>
      <c r="B94" s="21" t="n"/>
      <c r="C94" s="21" t="n"/>
      <c r="D94" s="21" t="n"/>
      <c r="E94" s="22" t="n"/>
      <c r="F94" s="22" t="n"/>
      <c r="G94" s="23" t="n"/>
      <c r="H94" s="24">
        <f>IF(ISNUMBER(F94),F94-IF(ISNUMBER(G94),G94,30),"")</f>
        <v/>
      </c>
      <c r="I94" s="25">
        <f>IF(F94="","",IF(ISNUMBER(F94),F94-TODAY(),"Check date"))</f>
        <v/>
      </c>
      <c r="J94" s="26">
        <f>IF(I94="","",IF(ISNUMBER(I94),IF(I94&lt;0,"Expired",IF(I94&lt;=30,"Due ≤30 days",IF(I94&lt;=90,"Due ≤90 days","OK"))),"Check date"))</f>
        <v/>
      </c>
      <c r="K94" s="21" t="n"/>
      <c r="L94" s="21" t="n"/>
      <c r="M94" s="21" t="n"/>
      <c r="N94" s="21" t="n"/>
      <c r="O94" s="21" t="n"/>
      <c r="P94" s="21" t="n"/>
    </row>
    <row r="95">
      <c r="A95" s="21" t="n"/>
      <c r="B95" s="21" t="n"/>
      <c r="C95" s="21" t="n"/>
      <c r="D95" s="21" t="n"/>
      <c r="E95" s="22" t="n"/>
      <c r="F95" s="22" t="n"/>
      <c r="G95" s="23" t="n"/>
      <c r="H95" s="24">
        <f>IF(ISNUMBER(F95),F95-IF(ISNUMBER(G95),G95,30),"")</f>
        <v/>
      </c>
      <c r="I95" s="25">
        <f>IF(F95="","",IF(ISNUMBER(F95),F95-TODAY(),"Check date"))</f>
        <v/>
      </c>
      <c r="J95" s="26">
        <f>IF(I95="","",IF(ISNUMBER(I95),IF(I95&lt;0,"Expired",IF(I95&lt;=30,"Due ≤30 days",IF(I95&lt;=90,"Due ≤90 days","OK"))),"Check date"))</f>
        <v/>
      </c>
      <c r="K95" s="21" t="n"/>
      <c r="L95" s="21" t="n"/>
      <c r="M95" s="21" t="n"/>
      <c r="N95" s="21" t="n"/>
      <c r="O95" s="21" t="n"/>
      <c r="P95" s="21" t="n"/>
    </row>
    <row r="96">
      <c r="A96" s="21" t="n"/>
      <c r="B96" s="21" t="n"/>
      <c r="C96" s="21" t="n"/>
      <c r="D96" s="21" t="n"/>
      <c r="E96" s="22" t="n"/>
      <c r="F96" s="22" t="n"/>
      <c r="G96" s="23" t="n"/>
      <c r="H96" s="24">
        <f>IF(ISNUMBER(F96),F96-IF(ISNUMBER(G96),G96,30),"")</f>
        <v/>
      </c>
      <c r="I96" s="25">
        <f>IF(F96="","",IF(ISNUMBER(F96),F96-TODAY(),"Check date"))</f>
        <v/>
      </c>
      <c r="J96" s="26">
        <f>IF(I96="","",IF(ISNUMBER(I96),IF(I96&lt;0,"Expired",IF(I96&lt;=30,"Due ≤30 days",IF(I96&lt;=90,"Due ≤90 days","OK"))),"Check date"))</f>
        <v/>
      </c>
      <c r="K96" s="21" t="n"/>
      <c r="L96" s="21" t="n"/>
      <c r="M96" s="21" t="n"/>
      <c r="N96" s="21" t="n"/>
      <c r="O96" s="21" t="n"/>
      <c r="P96" s="21" t="n"/>
    </row>
    <row r="97">
      <c r="A97" s="21" t="n"/>
      <c r="B97" s="21" t="n"/>
      <c r="C97" s="21" t="n"/>
      <c r="D97" s="21" t="n"/>
      <c r="E97" s="22" t="n"/>
      <c r="F97" s="22" t="n"/>
      <c r="G97" s="23" t="n"/>
      <c r="H97" s="24">
        <f>IF(ISNUMBER(F97),F97-IF(ISNUMBER(G97),G97,30),"")</f>
        <v/>
      </c>
      <c r="I97" s="25">
        <f>IF(F97="","",IF(ISNUMBER(F97),F97-TODAY(),"Check date"))</f>
        <v/>
      </c>
      <c r="J97" s="26">
        <f>IF(I97="","",IF(ISNUMBER(I97),IF(I97&lt;0,"Expired",IF(I97&lt;=30,"Due ≤30 days",IF(I97&lt;=90,"Due ≤90 days","OK"))),"Check date"))</f>
        <v/>
      </c>
      <c r="K97" s="21" t="n"/>
      <c r="L97" s="21" t="n"/>
      <c r="M97" s="21" t="n"/>
      <c r="N97" s="21" t="n"/>
      <c r="O97" s="21" t="n"/>
      <c r="P97" s="21" t="n"/>
    </row>
    <row r="98">
      <c r="A98" s="21" t="n"/>
      <c r="B98" s="21" t="n"/>
      <c r="C98" s="21" t="n"/>
      <c r="D98" s="21" t="n"/>
      <c r="E98" s="22" t="n"/>
      <c r="F98" s="22" t="n"/>
      <c r="G98" s="23" t="n"/>
      <c r="H98" s="24">
        <f>IF(ISNUMBER(F98),F98-IF(ISNUMBER(G98),G98,30),"")</f>
        <v/>
      </c>
      <c r="I98" s="25">
        <f>IF(F98="","",IF(ISNUMBER(F98),F98-TODAY(),"Check date"))</f>
        <v/>
      </c>
      <c r="J98" s="26">
        <f>IF(I98="","",IF(ISNUMBER(I98),IF(I98&lt;0,"Expired",IF(I98&lt;=30,"Due ≤30 days",IF(I98&lt;=90,"Due ≤90 days","OK"))),"Check date"))</f>
        <v/>
      </c>
      <c r="K98" s="21" t="n"/>
      <c r="L98" s="21" t="n"/>
      <c r="M98" s="21" t="n"/>
      <c r="N98" s="21" t="n"/>
      <c r="O98" s="21" t="n"/>
      <c r="P98" s="21" t="n"/>
    </row>
    <row r="99">
      <c r="A99" s="21" t="n"/>
      <c r="B99" s="21" t="n"/>
      <c r="C99" s="21" t="n"/>
      <c r="D99" s="21" t="n"/>
      <c r="E99" s="22" t="n"/>
      <c r="F99" s="22" t="n"/>
      <c r="G99" s="23" t="n"/>
      <c r="H99" s="24">
        <f>IF(ISNUMBER(F99),F99-IF(ISNUMBER(G99),G99,30),"")</f>
        <v/>
      </c>
      <c r="I99" s="25">
        <f>IF(F99="","",IF(ISNUMBER(F99),F99-TODAY(),"Check date"))</f>
        <v/>
      </c>
      <c r="J99" s="26">
        <f>IF(I99="","",IF(ISNUMBER(I99),IF(I99&lt;0,"Expired",IF(I99&lt;=30,"Due ≤30 days",IF(I99&lt;=90,"Due ≤90 days","OK"))),"Check date"))</f>
        <v/>
      </c>
      <c r="K99" s="21" t="n"/>
      <c r="L99" s="21" t="n"/>
      <c r="M99" s="21" t="n"/>
      <c r="N99" s="21" t="n"/>
      <c r="O99" s="21" t="n"/>
      <c r="P99" s="21" t="n"/>
    </row>
    <row r="100">
      <c r="A100" s="21" t="n"/>
      <c r="B100" s="21" t="n"/>
      <c r="C100" s="21" t="n"/>
      <c r="D100" s="21" t="n"/>
      <c r="E100" s="22" t="n"/>
      <c r="F100" s="22" t="n"/>
      <c r="G100" s="23" t="n"/>
      <c r="H100" s="24">
        <f>IF(ISNUMBER(F100),F100-IF(ISNUMBER(G100),G100,30),"")</f>
        <v/>
      </c>
      <c r="I100" s="25">
        <f>IF(F100="","",IF(ISNUMBER(F100),F100-TODAY(),"Check date"))</f>
        <v/>
      </c>
      <c r="J100" s="26">
        <f>IF(I100="","",IF(ISNUMBER(I100),IF(I100&lt;0,"Expired",IF(I100&lt;=30,"Due ≤30 days",IF(I100&lt;=90,"Due ≤90 days","OK"))),"Check date"))</f>
        <v/>
      </c>
      <c r="K100" s="21" t="n"/>
      <c r="L100" s="21" t="n"/>
      <c r="M100" s="21" t="n"/>
      <c r="N100" s="21" t="n"/>
      <c r="O100" s="21" t="n"/>
      <c r="P100" s="21" t="n"/>
    </row>
    <row r="101">
      <c r="A101" s="21" t="n"/>
      <c r="B101" s="21" t="n"/>
      <c r="C101" s="21" t="n"/>
      <c r="D101" s="21" t="n"/>
      <c r="E101" s="22" t="n"/>
      <c r="F101" s="22" t="n"/>
      <c r="G101" s="23" t="n"/>
      <c r="H101" s="24">
        <f>IF(ISNUMBER(F101),F101-IF(ISNUMBER(G101),G101,30),"")</f>
        <v/>
      </c>
      <c r="I101" s="25">
        <f>IF(F101="","",IF(ISNUMBER(F101),F101-TODAY(),"Check date"))</f>
        <v/>
      </c>
      <c r="J101" s="26">
        <f>IF(I101="","",IF(ISNUMBER(I101),IF(I101&lt;0,"Expired",IF(I101&lt;=30,"Due ≤30 days",IF(I101&lt;=90,"Due ≤90 days","OK"))),"Check date"))</f>
        <v/>
      </c>
      <c r="K101" s="21" t="n"/>
      <c r="L101" s="21" t="n"/>
      <c r="M101" s="21" t="n"/>
      <c r="N101" s="21" t="n"/>
      <c r="O101" s="21" t="n"/>
      <c r="P101" s="21" t="n"/>
    </row>
    <row r="102">
      <c r="A102" s="21" t="n"/>
      <c r="B102" s="21" t="n"/>
      <c r="C102" s="21" t="n"/>
      <c r="D102" s="21" t="n"/>
      <c r="E102" s="22" t="n"/>
      <c r="F102" s="22" t="n"/>
      <c r="G102" s="23" t="n"/>
      <c r="H102" s="24">
        <f>IF(ISNUMBER(F102),F102-IF(ISNUMBER(G102),G102,30),"")</f>
        <v/>
      </c>
      <c r="I102" s="25">
        <f>IF(F102="","",IF(ISNUMBER(F102),F102-TODAY(),"Check date"))</f>
        <v/>
      </c>
      <c r="J102" s="26">
        <f>IF(I102="","",IF(ISNUMBER(I102),IF(I102&lt;0,"Expired",IF(I102&lt;=30,"Due ≤30 days",IF(I102&lt;=90,"Due ≤90 days","OK"))),"Check date"))</f>
        <v/>
      </c>
      <c r="K102" s="21" t="n"/>
      <c r="L102" s="21" t="n"/>
      <c r="M102" s="21" t="n"/>
      <c r="N102" s="21" t="n"/>
      <c r="O102" s="21" t="n"/>
      <c r="P102" s="21" t="n"/>
    </row>
    <row r="103">
      <c r="A103" s="21" t="n"/>
      <c r="B103" s="21" t="n"/>
      <c r="C103" s="21" t="n"/>
      <c r="D103" s="21" t="n"/>
      <c r="E103" s="22" t="n"/>
      <c r="F103" s="22" t="n"/>
      <c r="G103" s="23" t="n"/>
      <c r="H103" s="24">
        <f>IF(ISNUMBER(F103),F103-IF(ISNUMBER(G103),G103,30),"")</f>
        <v/>
      </c>
      <c r="I103" s="25">
        <f>IF(F103="","",IF(ISNUMBER(F103),F103-TODAY(),"Check date"))</f>
        <v/>
      </c>
      <c r="J103" s="26">
        <f>IF(I103="","",IF(ISNUMBER(I103),IF(I103&lt;0,"Expired",IF(I103&lt;=30,"Due ≤30 days",IF(I103&lt;=90,"Due ≤90 days","OK"))),"Check date"))</f>
        <v/>
      </c>
      <c r="K103" s="21" t="n"/>
      <c r="L103" s="21" t="n"/>
      <c r="M103" s="21" t="n"/>
      <c r="N103" s="21" t="n"/>
      <c r="O103" s="21" t="n"/>
      <c r="P103" s="21" t="n"/>
    </row>
    <row r="104">
      <c r="A104" s="21" t="n"/>
      <c r="B104" s="21" t="n"/>
      <c r="C104" s="21" t="n"/>
      <c r="D104" s="21" t="n"/>
      <c r="E104" s="22" t="n"/>
      <c r="F104" s="22" t="n"/>
      <c r="G104" s="23" t="n"/>
      <c r="H104" s="24">
        <f>IF(ISNUMBER(F104),F104-IF(ISNUMBER(G104),G104,30),"")</f>
        <v/>
      </c>
      <c r="I104" s="25">
        <f>IF(F104="","",IF(ISNUMBER(F104),F104-TODAY(),"Check date"))</f>
        <v/>
      </c>
      <c r="J104" s="26">
        <f>IF(I104="","",IF(ISNUMBER(I104),IF(I104&lt;0,"Expired",IF(I104&lt;=30,"Due ≤30 days",IF(I104&lt;=90,"Due ≤90 days","OK"))),"Check date"))</f>
        <v/>
      </c>
      <c r="K104" s="21" t="n"/>
      <c r="L104" s="21" t="n"/>
      <c r="M104" s="21" t="n"/>
      <c r="N104" s="21" t="n"/>
      <c r="O104" s="21" t="n"/>
      <c r="P104" s="21" t="n"/>
    </row>
    <row r="105">
      <c r="A105" s="21" t="n"/>
      <c r="B105" s="21" t="n"/>
      <c r="C105" s="21" t="n"/>
      <c r="D105" s="21" t="n"/>
      <c r="E105" s="22" t="n"/>
      <c r="F105" s="22" t="n"/>
      <c r="G105" s="23" t="n"/>
      <c r="H105" s="24">
        <f>IF(ISNUMBER(F105),F105-IF(ISNUMBER(G105),G105,30),"")</f>
        <v/>
      </c>
      <c r="I105" s="25">
        <f>IF(F105="","",IF(ISNUMBER(F105),F105-TODAY(),"Check date"))</f>
        <v/>
      </c>
      <c r="J105" s="26">
        <f>IF(I105="","",IF(ISNUMBER(I105),IF(I105&lt;0,"Expired",IF(I105&lt;=30,"Due ≤30 days",IF(I105&lt;=90,"Due ≤90 days","OK"))),"Check date"))</f>
        <v/>
      </c>
      <c r="K105" s="21" t="n"/>
      <c r="L105" s="21" t="n"/>
      <c r="M105" s="21" t="n"/>
      <c r="N105" s="21" t="n"/>
      <c r="O105" s="21" t="n"/>
      <c r="P105" s="21" t="n"/>
    </row>
    <row r="106">
      <c r="A106" s="21" t="n"/>
      <c r="B106" s="21" t="n"/>
      <c r="C106" s="21" t="n"/>
      <c r="D106" s="21" t="n"/>
      <c r="E106" s="22" t="n"/>
      <c r="F106" s="22" t="n"/>
      <c r="G106" s="23" t="n"/>
      <c r="H106" s="24">
        <f>IF(ISNUMBER(F106),F106-IF(ISNUMBER(G106),G106,30),"")</f>
        <v/>
      </c>
      <c r="I106" s="25">
        <f>IF(F106="","",IF(ISNUMBER(F106),F106-TODAY(),"Check date"))</f>
        <v/>
      </c>
      <c r="J106" s="26">
        <f>IF(I106="","",IF(ISNUMBER(I106),IF(I106&lt;0,"Expired",IF(I106&lt;=30,"Due ≤30 days",IF(I106&lt;=90,"Due ≤90 days","OK"))),"Check date"))</f>
        <v/>
      </c>
      <c r="K106" s="21" t="n"/>
      <c r="L106" s="21" t="n"/>
      <c r="M106" s="21" t="n"/>
      <c r="N106" s="21" t="n"/>
      <c r="O106" s="21" t="n"/>
      <c r="P106" s="21" t="n"/>
    </row>
    <row r="107">
      <c r="A107" s="21" t="n"/>
      <c r="B107" s="21" t="n"/>
      <c r="C107" s="21" t="n"/>
      <c r="D107" s="21" t="n"/>
      <c r="E107" s="22" t="n"/>
      <c r="F107" s="22" t="n"/>
      <c r="G107" s="23" t="n"/>
      <c r="H107" s="24">
        <f>IF(ISNUMBER(F107),F107-IF(ISNUMBER(G107),G107,30),"")</f>
        <v/>
      </c>
      <c r="I107" s="25">
        <f>IF(F107="","",IF(ISNUMBER(F107),F107-TODAY(),"Check date"))</f>
        <v/>
      </c>
      <c r="J107" s="26">
        <f>IF(I107="","",IF(ISNUMBER(I107),IF(I107&lt;0,"Expired",IF(I107&lt;=30,"Due ≤30 days",IF(I107&lt;=90,"Due ≤90 days","OK"))),"Check date"))</f>
        <v/>
      </c>
      <c r="K107" s="21" t="n"/>
      <c r="L107" s="21" t="n"/>
      <c r="M107" s="21" t="n"/>
      <c r="N107" s="21" t="n"/>
      <c r="O107" s="21" t="n"/>
      <c r="P107" s="21" t="n"/>
    </row>
    <row r="108">
      <c r="A108" s="21" t="n"/>
      <c r="B108" s="21" t="n"/>
      <c r="C108" s="21" t="n"/>
      <c r="D108" s="21" t="n"/>
      <c r="E108" s="22" t="n"/>
      <c r="F108" s="22" t="n"/>
      <c r="G108" s="23" t="n"/>
      <c r="H108" s="24">
        <f>IF(ISNUMBER(F108),F108-IF(ISNUMBER(G108),G108,30),"")</f>
        <v/>
      </c>
      <c r="I108" s="25">
        <f>IF(F108="","",IF(ISNUMBER(F108),F108-TODAY(),"Check date"))</f>
        <v/>
      </c>
      <c r="J108" s="26">
        <f>IF(I108="","",IF(ISNUMBER(I108),IF(I108&lt;0,"Expired",IF(I108&lt;=30,"Due ≤30 days",IF(I108&lt;=90,"Due ≤90 days","OK"))),"Check date"))</f>
        <v/>
      </c>
      <c r="K108" s="21" t="n"/>
      <c r="L108" s="21" t="n"/>
      <c r="M108" s="21" t="n"/>
      <c r="N108" s="21" t="n"/>
      <c r="O108" s="21" t="n"/>
      <c r="P108" s="21" t="n"/>
    </row>
    <row r="109">
      <c r="A109" s="21" t="n"/>
      <c r="B109" s="21" t="n"/>
      <c r="C109" s="21" t="n"/>
      <c r="D109" s="21" t="n"/>
      <c r="E109" s="22" t="n"/>
      <c r="F109" s="22" t="n"/>
      <c r="G109" s="23" t="n"/>
      <c r="H109" s="24">
        <f>IF(ISNUMBER(F109),F109-IF(ISNUMBER(G109),G109,30),"")</f>
        <v/>
      </c>
      <c r="I109" s="25">
        <f>IF(F109="","",IF(ISNUMBER(F109),F109-TODAY(),"Check date"))</f>
        <v/>
      </c>
      <c r="J109" s="26">
        <f>IF(I109="","",IF(ISNUMBER(I109),IF(I109&lt;0,"Expired",IF(I109&lt;=30,"Due ≤30 days",IF(I109&lt;=90,"Due ≤90 days","OK"))),"Check date"))</f>
        <v/>
      </c>
      <c r="K109" s="21" t="n"/>
      <c r="L109" s="21" t="n"/>
      <c r="M109" s="21" t="n"/>
      <c r="N109" s="21" t="n"/>
      <c r="O109" s="21" t="n"/>
      <c r="P109" s="21" t="n"/>
    </row>
    <row r="110">
      <c r="A110" s="21" t="n"/>
      <c r="B110" s="21" t="n"/>
      <c r="C110" s="21" t="n"/>
      <c r="D110" s="21" t="n"/>
      <c r="E110" s="22" t="n"/>
      <c r="F110" s="22" t="n"/>
      <c r="G110" s="23" t="n"/>
      <c r="H110" s="24">
        <f>IF(ISNUMBER(F110),F110-IF(ISNUMBER(G110),G110,30),"")</f>
        <v/>
      </c>
      <c r="I110" s="25">
        <f>IF(F110="","",IF(ISNUMBER(F110),F110-TODAY(),"Check date"))</f>
        <v/>
      </c>
      <c r="J110" s="26">
        <f>IF(I110="","",IF(ISNUMBER(I110),IF(I110&lt;0,"Expired",IF(I110&lt;=30,"Due ≤30 days",IF(I110&lt;=90,"Due ≤90 days","OK"))),"Check date"))</f>
        <v/>
      </c>
      <c r="K110" s="21" t="n"/>
      <c r="L110" s="21" t="n"/>
      <c r="M110" s="21" t="n"/>
      <c r="N110" s="21" t="n"/>
      <c r="O110" s="21" t="n"/>
      <c r="P110" s="21" t="n"/>
    </row>
    <row r="111">
      <c r="A111" s="21" t="n"/>
      <c r="B111" s="21" t="n"/>
      <c r="C111" s="21" t="n"/>
      <c r="D111" s="21" t="n"/>
      <c r="E111" s="22" t="n"/>
      <c r="F111" s="22" t="n"/>
      <c r="G111" s="23" t="n"/>
      <c r="H111" s="24">
        <f>IF(ISNUMBER(F111),F111-IF(ISNUMBER(G111),G111,30),"")</f>
        <v/>
      </c>
      <c r="I111" s="25">
        <f>IF(F111="","",IF(ISNUMBER(F111),F111-TODAY(),"Check date"))</f>
        <v/>
      </c>
      <c r="J111" s="26">
        <f>IF(I111="","",IF(ISNUMBER(I111),IF(I111&lt;0,"Expired",IF(I111&lt;=30,"Due ≤30 days",IF(I111&lt;=90,"Due ≤90 days","OK"))),"Check date"))</f>
        <v/>
      </c>
      <c r="K111" s="21" t="n"/>
      <c r="L111" s="21" t="n"/>
      <c r="M111" s="21" t="n"/>
      <c r="N111" s="21" t="n"/>
      <c r="O111" s="21" t="n"/>
      <c r="P111" s="21" t="n"/>
    </row>
    <row r="112">
      <c r="A112" s="21" t="n"/>
      <c r="B112" s="21" t="n"/>
      <c r="C112" s="21" t="n"/>
      <c r="D112" s="21" t="n"/>
      <c r="E112" s="22" t="n"/>
      <c r="F112" s="22" t="n"/>
      <c r="G112" s="23" t="n"/>
      <c r="H112" s="24">
        <f>IF(ISNUMBER(F112),F112-IF(ISNUMBER(G112),G112,30),"")</f>
        <v/>
      </c>
      <c r="I112" s="25">
        <f>IF(F112="","",IF(ISNUMBER(F112),F112-TODAY(),"Check date"))</f>
        <v/>
      </c>
      <c r="J112" s="26">
        <f>IF(I112="","",IF(ISNUMBER(I112),IF(I112&lt;0,"Expired",IF(I112&lt;=30,"Due ≤30 days",IF(I112&lt;=90,"Due ≤90 days","OK"))),"Check date"))</f>
        <v/>
      </c>
      <c r="K112" s="21" t="n"/>
      <c r="L112" s="21" t="n"/>
      <c r="M112" s="21" t="n"/>
      <c r="N112" s="21" t="n"/>
      <c r="O112" s="21" t="n"/>
      <c r="P112" s="21" t="n"/>
    </row>
    <row r="113">
      <c r="A113" s="21" t="n"/>
      <c r="B113" s="21" t="n"/>
      <c r="C113" s="21" t="n"/>
      <c r="D113" s="21" t="n"/>
      <c r="E113" s="22" t="n"/>
      <c r="F113" s="22" t="n"/>
      <c r="G113" s="23" t="n"/>
      <c r="H113" s="24">
        <f>IF(ISNUMBER(F113),F113-IF(ISNUMBER(G113),G113,30),"")</f>
        <v/>
      </c>
      <c r="I113" s="25">
        <f>IF(F113="","",IF(ISNUMBER(F113),F113-TODAY(),"Check date"))</f>
        <v/>
      </c>
      <c r="J113" s="26">
        <f>IF(I113="","",IF(ISNUMBER(I113),IF(I113&lt;0,"Expired",IF(I113&lt;=30,"Due ≤30 days",IF(I113&lt;=90,"Due ≤90 days","OK"))),"Check date"))</f>
        <v/>
      </c>
      <c r="K113" s="21" t="n"/>
      <c r="L113" s="21" t="n"/>
      <c r="M113" s="21" t="n"/>
      <c r="N113" s="21" t="n"/>
      <c r="O113" s="21" t="n"/>
      <c r="P113" s="21" t="n"/>
    </row>
    <row r="114">
      <c r="A114" s="21" t="n"/>
      <c r="B114" s="21" t="n"/>
      <c r="C114" s="21" t="n"/>
      <c r="D114" s="21" t="n"/>
      <c r="E114" s="22" t="n"/>
      <c r="F114" s="22" t="n"/>
      <c r="G114" s="23" t="n"/>
      <c r="H114" s="24">
        <f>IF(ISNUMBER(F114),F114-IF(ISNUMBER(G114),G114,30),"")</f>
        <v/>
      </c>
      <c r="I114" s="25">
        <f>IF(F114="","",IF(ISNUMBER(F114),F114-TODAY(),"Check date"))</f>
        <v/>
      </c>
      <c r="J114" s="26">
        <f>IF(I114="","",IF(ISNUMBER(I114),IF(I114&lt;0,"Expired",IF(I114&lt;=30,"Due ≤30 days",IF(I114&lt;=90,"Due ≤90 days","OK"))),"Check date"))</f>
        <v/>
      </c>
      <c r="K114" s="21" t="n"/>
      <c r="L114" s="21" t="n"/>
      <c r="M114" s="21" t="n"/>
      <c r="N114" s="21" t="n"/>
      <c r="O114" s="21" t="n"/>
      <c r="P114" s="21" t="n"/>
    </row>
    <row r="115">
      <c r="A115" s="21" t="n"/>
      <c r="B115" s="21" t="n"/>
      <c r="C115" s="21" t="n"/>
      <c r="D115" s="21" t="n"/>
      <c r="E115" s="22" t="n"/>
      <c r="F115" s="22" t="n"/>
      <c r="G115" s="23" t="n"/>
      <c r="H115" s="24">
        <f>IF(ISNUMBER(F115),F115-IF(ISNUMBER(G115),G115,30),"")</f>
        <v/>
      </c>
      <c r="I115" s="25">
        <f>IF(F115="","",IF(ISNUMBER(F115),F115-TODAY(),"Check date"))</f>
        <v/>
      </c>
      <c r="J115" s="26">
        <f>IF(I115="","",IF(ISNUMBER(I115),IF(I115&lt;0,"Expired",IF(I115&lt;=30,"Due ≤30 days",IF(I115&lt;=90,"Due ≤90 days","OK"))),"Check date"))</f>
        <v/>
      </c>
      <c r="K115" s="21" t="n"/>
      <c r="L115" s="21" t="n"/>
      <c r="M115" s="21" t="n"/>
      <c r="N115" s="21" t="n"/>
      <c r="O115" s="21" t="n"/>
      <c r="P115" s="21" t="n"/>
    </row>
    <row r="116">
      <c r="A116" s="21" t="n"/>
      <c r="B116" s="21" t="n"/>
      <c r="C116" s="21" t="n"/>
      <c r="D116" s="21" t="n"/>
      <c r="E116" s="22" t="n"/>
      <c r="F116" s="22" t="n"/>
      <c r="G116" s="23" t="n"/>
      <c r="H116" s="24">
        <f>IF(ISNUMBER(F116),F116-IF(ISNUMBER(G116),G116,30),"")</f>
        <v/>
      </c>
      <c r="I116" s="25">
        <f>IF(F116="","",IF(ISNUMBER(F116),F116-TODAY(),"Check date"))</f>
        <v/>
      </c>
      <c r="J116" s="26">
        <f>IF(I116="","",IF(ISNUMBER(I116),IF(I116&lt;0,"Expired",IF(I116&lt;=30,"Due ≤30 days",IF(I116&lt;=90,"Due ≤90 days","OK"))),"Check date"))</f>
        <v/>
      </c>
      <c r="K116" s="21" t="n"/>
      <c r="L116" s="21" t="n"/>
      <c r="M116" s="21" t="n"/>
      <c r="N116" s="21" t="n"/>
      <c r="O116" s="21" t="n"/>
      <c r="P116" s="21" t="n"/>
    </row>
    <row r="117">
      <c r="A117" s="21" t="n"/>
      <c r="B117" s="21" t="n"/>
      <c r="C117" s="21" t="n"/>
      <c r="D117" s="21" t="n"/>
      <c r="E117" s="22" t="n"/>
      <c r="F117" s="22" t="n"/>
      <c r="G117" s="23" t="n"/>
      <c r="H117" s="24">
        <f>IF(ISNUMBER(F117),F117-IF(ISNUMBER(G117),G117,30),"")</f>
        <v/>
      </c>
      <c r="I117" s="25">
        <f>IF(F117="","",IF(ISNUMBER(F117),F117-TODAY(),"Check date"))</f>
        <v/>
      </c>
      <c r="J117" s="26">
        <f>IF(I117="","",IF(ISNUMBER(I117),IF(I117&lt;0,"Expired",IF(I117&lt;=30,"Due ≤30 days",IF(I117&lt;=90,"Due ≤90 days","OK"))),"Check date"))</f>
        <v/>
      </c>
      <c r="K117" s="21" t="n"/>
      <c r="L117" s="21" t="n"/>
      <c r="M117" s="21" t="n"/>
      <c r="N117" s="21" t="n"/>
      <c r="O117" s="21" t="n"/>
      <c r="P117" s="21" t="n"/>
    </row>
    <row r="118">
      <c r="A118" s="21" t="n"/>
      <c r="B118" s="21" t="n"/>
      <c r="C118" s="21" t="n"/>
      <c r="D118" s="21" t="n"/>
      <c r="E118" s="22" t="n"/>
      <c r="F118" s="22" t="n"/>
      <c r="G118" s="23" t="n"/>
      <c r="H118" s="24">
        <f>IF(ISNUMBER(F118),F118-IF(ISNUMBER(G118),G118,30),"")</f>
        <v/>
      </c>
      <c r="I118" s="25">
        <f>IF(F118="","",IF(ISNUMBER(F118),F118-TODAY(),"Check date"))</f>
        <v/>
      </c>
      <c r="J118" s="26">
        <f>IF(I118="","",IF(ISNUMBER(I118),IF(I118&lt;0,"Expired",IF(I118&lt;=30,"Due ≤30 days",IF(I118&lt;=90,"Due ≤90 days","OK"))),"Check date"))</f>
        <v/>
      </c>
      <c r="K118" s="21" t="n"/>
      <c r="L118" s="21" t="n"/>
      <c r="M118" s="21" t="n"/>
      <c r="N118" s="21" t="n"/>
      <c r="O118" s="21" t="n"/>
      <c r="P118" s="21" t="n"/>
    </row>
    <row r="119">
      <c r="A119" s="21" t="n"/>
      <c r="B119" s="21" t="n"/>
      <c r="C119" s="21" t="n"/>
      <c r="D119" s="21" t="n"/>
      <c r="E119" s="22" t="n"/>
      <c r="F119" s="22" t="n"/>
      <c r="G119" s="23" t="n"/>
      <c r="H119" s="24">
        <f>IF(ISNUMBER(F119),F119-IF(ISNUMBER(G119),G119,30),"")</f>
        <v/>
      </c>
      <c r="I119" s="25">
        <f>IF(F119="","",IF(ISNUMBER(F119),F119-TODAY(),"Check date"))</f>
        <v/>
      </c>
      <c r="J119" s="26">
        <f>IF(I119="","",IF(ISNUMBER(I119),IF(I119&lt;0,"Expired",IF(I119&lt;=30,"Due ≤30 days",IF(I119&lt;=90,"Due ≤90 days","OK"))),"Check date"))</f>
        <v/>
      </c>
      <c r="K119" s="21" t="n"/>
      <c r="L119" s="21" t="n"/>
      <c r="M119" s="21" t="n"/>
      <c r="N119" s="21" t="n"/>
      <c r="O119" s="21" t="n"/>
      <c r="P119" s="21" t="n"/>
    </row>
    <row r="120">
      <c r="A120" s="21" t="n"/>
      <c r="B120" s="21" t="n"/>
      <c r="C120" s="21" t="n"/>
      <c r="D120" s="21" t="n"/>
      <c r="E120" s="22" t="n"/>
      <c r="F120" s="22" t="n"/>
      <c r="G120" s="23" t="n"/>
      <c r="H120" s="24">
        <f>IF(ISNUMBER(F120),F120-IF(ISNUMBER(G120),G120,30),"")</f>
        <v/>
      </c>
      <c r="I120" s="25">
        <f>IF(F120="","",IF(ISNUMBER(F120),F120-TODAY(),"Check date"))</f>
        <v/>
      </c>
      <c r="J120" s="26">
        <f>IF(I120="","",IF(ISNUMBER(I120),IF(I120&lt;0,"Expired",IF(I120&lt;=30,"Due ≤30 days",IF(I120&lt;=90,"Due ≤90 days","OK"))),"Check date"))</f>
        <v/>
      </c>
      <c r="K120" s="21" t="n"/>
      <c r="L120" s="21" t="n"/>
      <c r="M120" s="21" t="n"/>
      <c r="N120" s="21" t="n"/>
      <c r="O120" s="21" t="n"/>
      <c r="P120" s="21" t="n"/>
    </row>
    <row r="121">
      <c r="A121" s="21" t="n"/>
      <c r="B121" s="21" t="n"/>
      <c r="C121" s="21" t="n"/>
      <c r="D121" s="21" t="n"/>
      <c r="E121" s="22" t="n"/>
      <c r="F121" s="22" t="n"/>
      <c r="G121" s="23" t="n"/>
      <c r="H121" s="24">
        <f>IF(ISNUMBER(F121),F121-IF(ISNUMBER(G121),G121,30),"")</f>
        <v/>
      </c>
      <c r="I121" s="25">
        <f>IF(F121="","",IF(ISNUMBER(F121),F121-TODAY(),"Check date"))</f>
        <v/>
      </c>
      <c r="J121" s="26">
        <f>IF(I121="","",IF(ISNUMBER(I121),IF(I121&lt;0,"Expired",IF(I121&lt;=30,"Due ≤30 days",IF(I121&lt;=90,"Due ≤90 days","OK"))),"Check date"))</f>
        <v/>
      </c>
      <c r="K121" s="21" t="n"/>
      <c r="L121" s="21" t="n"/>
      <c r="M121" s="21" t="n"/>
      <c r="N121" s="21" t="n"/>
      <c r="O121" s="21" t="n"/>
      <c r="P121" s="21" t="n"/>
    </row>
    <row r="122">
      <c r="A122" s="21" t="n"/>
      <c r="B122" s="21" t="n"/>
      <c r="C122" s="21" t="n"/>
      <c r="D122" s="21" t="n"/>
      <c r="E122" s="22" t="n"/>
      <c r="F122" s="22" t="n"/>
      <c r="G122" s="23" t="n"/>
      <c r="H122" s="24">
        <f>IF(ISNUMBER(F122),F122-IF(ISNUMBER(G122),G122,30),"")</f>
        <v/>
      </c>
      <c r="I122" s="25">
        <f>IF(F122="","",IF(ISNUMBER(F122),F122-TODAY(),"Check date"))</f>
        <v/>
      </c>
      <c r="J122" s="26">
        <f>IF(I122="","",IF(ISNUMBER(I122),IF(I122&lt;0,"Expired",IF(I122&lt;=30,"Due ≤30 days",IF(I122&lt;=90,"Due ≤90 days","OK"))),"Check date"))</f>
        <v/>
      </c>
      <c r="K122" s="21" t="n"/>
      <c r="L122" s="21" t="n"/>
      <c r="M122" s="21" t="n"/>
      <c r="N122" s="21" t="n"/>
      <c r="O122" s="21" t="n"/>
      <c r="P122" s="21" t="n"/>
    </row>
    <row r="123">
      <c r="A123" s="21" t="n"/>
      <c r="B123" s="21" t="n"/>
      <c r="C123" s="21" t="n"/>
      <c r="D123" s="21" t="n"/>
      <c r="E123" s="22" t="n"/>
      <c r="F123" s="22" t="n"/>
      <c r="G123" s="23" t="n"/>
      <c r="H123" s="24">
        <f>IF(ISNUMBER(F123),F123-IF(ISNUMBER(G123),G123,30),"")</f>
        <v/>
      </c>
      <c r="I123" s="25">
        <f>IF(F123="","",IF(ISNUMBER(F123),F123-TODAY(),"Check date"))</f>
        <v/>
      </c>
      <c r="J123" s="26">
        <f>IF(I123="","",IF(ISNUMBER(I123),IF(I123&lt;0,"Expired",IF(I123&lt;=30,"Due ≤30 days",IF(I123&lt;=90,"Due ≤90 days","OK"))),"Check date"))</f>
        <v/>
      </c>
      <c r="K123" s="21" t="n"/>
      <c r="L123" s="21" t="n"/>
      <c r="M123" s="21" t="n"/>
      <c r="N123" s="21" t="n"/>
      <c r="O123" s="21" t="n"/>
      <c r="P123" s="21" t="n"/>
    </row>
    <row r="124">
      <c r="A124" s="21" t="n"/>
      <c r="B124" s="21" t="n"/>
      <c r="C124" s="21" t="n"/>
      <c r="D124" s="21" t="n"/>
      <c r="E124" s="22" t="n"/>
      <c r="F124" s="22" t="n"/>
      <c r="G124" s="23" t="n"/>
      <c r="H124" s="24">
        <f>IF(ISNUMBER(F124),F124-IF(ISNUMBER(G124),G124,30),"")</f>
        <v/>
      </c>
      <c r="I124" s="25">
        <f>IF(F124="","",IF(ISNUMBER(F124),F124-TODAY(),"Check date"))</f>
        <v/>
      </c>
      <c r="J124" s="26">
        <f>IF(I124="","",IF(ISNUMBER(I124),IF(I124&lt;0,"Expired",IF(I124&lt;=30,"Due ≤30 days",IF(I124&lt;=90,"Due ≤90 days","OK"))),"Check date"))</f>
        <v/>
      </c>
      <c r="K124" s="21" t="n"/>
      <c r="L124" s="21" t="n"/>
      <c r="M124" s="21" t="n"/>
      <c r="N124" s="21" t="n"/>
      <c r="O124" s="21" t="n"/>
      <c r="P124" s="21" t="n"/>
    </row>
    <row r="125">
      <c r="A125" s="21" t="n"/>
      <c r="B125" s="21" t="n"/>
      <c r="C125" s="21" t="n"/>
      <c r="D125" s="21" t="n"/>
      <c r="E125" s="22" t="n"/>
      <c r="F125" s="22" t="n"/>
      <c r="G125" s="23" t="n"/>
      <c r="H125" s="24">
        <f>IF(ISNUMBER(F125),F125-IF(ISNUMBER(G125),G125,30),"")</f>
        <v/>
      </c>
      <c r="I125" s="25">
        <f>IF(F125="","",IF(ISNUMBER(F125),F125-TODAY(),"Check date"))</f>
        <v/>
      </c>
      <c r="J125" s="26">
        <f>IF(I125="","",IF(ISNUMBER(I125),IF(I125&lt;0,"Expired",IF(I125&lt;=30,"Due ≤30 days",IF(I125&lt;=90,"Due ≤90 days","OK"))),"Check date"))</f>
        <v/>
      </c>
      <c r="K125" s="21" t="n"/>
      <c r="L125" s="21" t="n"/>
      <c r="M125" s="21" t="n"/>
      <c r="N125" s="21" t="n"/>
      <c r="O125" s="21" t="n"/>
      <c r="P125" s="21" t="n"/>
    </row>
    <row r="126">
      <c r="A126" s="21" t="n"/>
      <c r="B126" s="21" t="n"/>
      <c r="C126" s="21" t="n"/>
      <c r="D126" s="21" t="n"/>
      <c r="E126" s="22" t="n"/>
      <c r="F126" s="22" t="n"/>
      <c r="G126" s="23" t="n"/>
      <c r="H126" s="24">
        <f>IF(ISNUMBER(F126),F126-IF(ISNUMBER(G126),G126,30),"")</f>
        <v/>
      </c>
      <c r="I126" s="25">
        <f>IF(F126="","",IF(ISNUMBER(F126),F126-TODAY(),"Check date"))</f>
        <v/>
      </c>
      <c r="J126" s="26">
        <f>IF(I126="","",IF(ISNUMBER(I126),IF(I126&lt;0,"Expired",IF(I126&lt;=30,"Due ≤30 days",IF(I126&lt;=90,"Due ≤90 days","OK"))),"Check date"))</f>
        <v/>
      </c>
      <c r="K126" s="21" t="n"/>
      <c r="L126" s="21" t="n"/>
      <c r="M126" s="21" t="n"/>
      <c r="N126" s="21" t="n"/>
      <c r="O126" s="21" t="n"/>
      <c r="P126" s="21" t="n"/>
    </row>
    <row r="127">
      <c r="A127" s="21" t="n"/>
      <c r="B127" s="21" t="n"/>
      <c r="C127" s="21" t="n"/>
      <c r="D127" s="21" t="n"/>
      <c r="E127" s="22" t="n"/>
      <c r="F127" s="22" t="n"/>
      <c r="G127" s="23" t="n"/>
      <c r="H127" s="24">
        <f>IF(ISNUMBER(F127),F127-IF(ISNUMBER(G127),G127,30),"")</f>
        <v/>
      </c>
      <c r="I127" s="25">
        <f>IF(F127="","",IF(ISNUMBER(F127),F127-TODAY(),"Check date"))</f>
        <v/>
      </c>
      <c r="J127" s="26">
        <f>IF(I127="","",IF(ISNUMBER(I127),IF(I127&lt;0,"Expired",IF(I127&lt;=30,"Due ≤30 days",IF(I127&lt;=90,"Due ≤90 days","OK"))),"Check date"))</f>
        <v/>
      </c>
      <c r="K127" s="21" t="n"/>
      <c r="L127" s="21" t="n"/>
      <c r="M127" s="21" t="n"/>
      <c r="N127" s="21" t="n"/>
      <c r="O127" s="21" t="n"/>
      <c r="P127" s="21" t="n"/>
    </row>
    <row r="128">
      <c r="A128" s="21" t="n"/>
      <c r="B128" s="21" t="n"/>
      <c r="C128" s="21" t="n"/>
      <c r="D128" s="21" t="n"/>
      <c r="E128" s="22" t="n"/>
      <c r="F128" s="22" t="n"/>
      <c r="G128" s="23" t="n"/>
      <c r="H128" s="24">
        <f>IF(ISNUMBER(F128),F128-IF(ISNUMBER(G128),G128,30),"")</f>
        <v/>
      </c>
      <c r="I128" s="25">
        <f>IF(F128="","",IF(ISNUMBER(F128),F128-TODAY(),"Check date"))</f>
        <v/>
      </c>
      <c r="J128" s="26">
        <f>IF(I128="","",IF(ISNUMBER(I128),IF(I128&lt;0,"Expired",IF(I128&lt;=30,"Due ≤30 days",IF(I128&lt;=90,"Due ≤90 days","OK"))),"Check date"))</f>
        <v/>
      </c>
      <c r="K128" s="21" t="n"/>
      <c r="L128" s="21" t="n"/>
      <c r="M128" s="21" t="n"/>
      <c r="N128" s="21" t="n"/>
      <c r="O128" s="21" t="n"/>
      <c r="P128" s="21" t="n"/>
    </row>
    <row r="129">
      <c r="A129" s="21" t="n"/>
      <c r="B129" s="21" t="n"/>
      <c r="C129" s="21" t="n"/>
      <c r="D129" s="21" t="n"/>
      <c r="E129" s="22" t="n"/>
      <c r="F129" s="22" t="n"/>
      <c r="G129" s="23" t="n"/>
      <c r="H129" s="24">
        <f>IF(ISNUMBER(F129),F129-IF(ISNUMBER(G129),G129,30),"")</f>
        <v/>
      </c>
      <c r="I129" s="25">
        <f>IF(F129="","",IF(ISNUMBER(F129),F129-TODAY(),"Check date"))</f>
        <v/>
      </c>
      <c r="J129" s="26">
        <f>IF(I129="","",IF(ISNUMBER(I129),IF(I129&lt;0,"Expired",IF(I129&lt;=30,"Due ≤30 days",IF(I129&lt;=90,"Due ≤90 days","OK"))),"Check date"))</f>
        <v/>
      </c>
      <c r="K129" s="21" t="n"/>
      <c r="L129" s="21" t="n"/>
      <c r="M129" s="21" t="n"/>
      <c r="N129" s="21" t="n"/>
      <c r="O129" s="21" t="n"/>
      <c r="P129" s="21" t="n"/>
    </row>
    <row r="130">
      <c r="A130" s="21" t="n"/>
      <c r="B130" s="21" t="n"/>
      <c r="C130" s="21" t="n"/>
      <c r="D130" s="21" t="n"/>
      <c r="E130" s="22" t="n"/>
      <c r="F130" s="22" t="n"/>
      <c r="G130" s="23" t="n"/>
      <c r="H130" s="24">
        <f>IF(ISNUMBER(F130),F130-IF(ISNUMBER(G130),G130,30),"")</f>
        <v/>
      </c>
      <c r="I130" s="25">
        <f>IF(F130="","",IF(ISNUMBER(F130),F130-TODAY(),"Check date"))</f>
        <v/>
      </c>
      <c r="J130" s="26">
        <f>IF(I130="","",IF(ISNUMBER(I130),IF(I130&lt;0,"Expired",IF(I130&lt;=30,"Due ≤30 days",IF(I130&lt;=90,"Due ≤90 days","OK"))),"Check date"))</f>
        <v/>
      </c>
      <c r="K130" s="21" t="n"/>
      <c r="L130" s="21" t="n"/>
      <c r="M130" s="21" t="n"/>
      <c r="N130" s="21" t="n"/>
      <c r="O130" s="21" t="n"/>
      <c r="P130" s="21" t="n"/>
    </row>
    <row r="131">
      <c r="A131" s="21" t="n"/>
      <c r="B131" s="21" t="n"/>
      <c r="C131" s="21" t="n"/>
      <c r="D131" s="21" t="n"/>
      <c r="E131" s="22" t="n"/>
      <c r="F131" s="22" t="n"/>
      <c r="G131" s="23" t="n"/>
      <c r="H131" s="24">
        <f>IF(ISNUMBER(F131),F131-IF(ISNUMBER(G131),G131,30),"")</f>
        <v/>
      </c>
      <c r="I131" s="25">
        <f>IF(F131="","",IF(ISNUMBER(F131),F131-TODAY(),"Check date"))</f>
        <v/>
      </c>
      <c r="J131" s="26">
        <f>IF(I131="","",IF(ISNUMBER(I131),IF(I131&lt;0,"Expired",IF(I131&lt;=30,"Due ≤30 days",IF(I131&lt;=90,"Due ≤90 days","OK"))),"Check date"))</f>
        <v/>
      </c>
      <c r="K131" s="21" t="n"/>
      <c r="L131" s="21" t="n"/>
      <c r="M131" s="21" t="n"/>
      <c r="N131" s="21" t="n"/>
      <c r="O131" s="21" t="n"/>
      <c r="P131" s="21" t="n"/>
    </row>
    <row r="132">
      <c r="A132" s="21" t="n"/>
      <c r="B132" s="21" t="n"/>
      <c r="C132" s="21" t="n"/>
      <c r="D132" s="21" t="n"/>
      <c r="E132" s="22" t="n"/>
      <c r="F132" s="22" t="n"/>
      <c r="G132" s="23" t="n"/>
      <c r="H132" s="24">
        <f>IF(ISNUMBER(F132),F132-IF(ISNUMBER(G132),G132,30),"")</f>
        <v/>
      </c>
      <c r="I132" s="25">
        <f>IF(F132="","",IF(ISNUMBER(F132),F132-TODAY(),"Check date"))</f>
        <v/>
      </c>
      <c r="J132" s="26">
        <f>IF(I132="","",IF(ISNUMBER(I132),IF(I132&lt;0,"Expired",IF(I132&lt;=30,"Due ≤30 days",IF(I132&lt;=90,"Due ≤90 days","OK"))),"Check date"))</f>
        <v/>
      </c>
      <c r="K132" s="21" t="n"/>
      <c r="L132" s="21" t="n"/>
      <c r="M132" s="21" t="n"/>
      <c r="N132" s="21" t="n"/>
      <c r="O132" s="21" t="n"/>
      <c r="P132" s="21" t="n"/>
    </row>
    <row r="133">
      <c r="A133" s="21" t="n"/>
      <c r="B133" s="21" t="n"/>
      <c r="C133" s="21" t="n"/>
      <c r="D133" s="21" t="n"/>
      <c r="E133" s="22" t="n"/>
      <c r="F133" s="22" t="n"/>
      <c r="G133" s="23" t="n"/>
      <c r="H133" s="24">
        <f>IF(ISNUMBER(F133),F133-IF(ISNUMBER(G133),G133,30),"")</f>
        <v/>
      </c>
      <c r="I133" s="25">
        <f>IF(F133="","",IF(ISNUMBER(F133),F133-TODAY(),"Check date"))</f>
        <v/>
      </c>
      <c r="J133" s="26">
        <f>IF(I133="","",IF(ISNUMBER(I133),IF(I133&lt;0,"Expired",IF(I133&lt;=30,"Due ≤30 days",IF(I133&lt;=90,"Due ≤90 days","OK"))),"Check date"))</f>
        <v/>
      </c>
      <c r="K133" s="21" t="n"/>
      <c r="L133" s="21" t="n"/>
      <c r="M133" s="21" t="n"/>
      <c r="N133" s="21" t="n"/>
      <c r="O133" s="21" t="n"/>
      <c r="P133" s="21" t="n"/>
    </row>
    <row r="134">
      <c r="A134" s="21" t="n"/>
      <c r="B134" s="21" t="n"/>
      <c r="C134" s="21" t="n"/>
      <c r="D134" s="21" t="n"/>
      <c r="E134" s="22" t="n"/>
      <c r="F134" s="22" t="n"/>
      <c r="G134" s="23" t="n"/>
      <c r="H134" s="24">
        <f>IF(ISNUMBER(F134),F134-IF(ISNUMBER(G134),G134,30),"")</f>
        <v/>
      </c>
      <c r="I134" s="25">
        <f>IF(F134="","",IF(ISNUMBER(F134),F134-TODAY(),"Check date"))</f>
        <v/>
      </c>
      <c r="J134" s="26">
        <f>IF(I134="","",IF(ISNUMBER(I134),IF(I134&lt;0,"Expired",IF(I134&lt;=30,"Due ≤30 days",IF(I134&lt;=90,"Due ≤90 days","OK"))),"Check date"))</f>
        <v/>
      </c>
      <c r="K134" s="21" t="n"/>
      <c r="L134" s="21" t="n"/>
      <c r="M134" s="21" t="n"/>
      <c r="N134" s="21" t="n"/>
      <c r="O134" s="21" t="n"/>
      <c r="P134" s="21" t="n"/>
    </row>
    <row r="135">
      <c r="A135" s="21" t="n"/>
      <c r="B135" s="21" t="n"/>
      <c r="C135" s="21" t="n"/>
      <c r="D135" s="21" t="n"/>
      <c r="E135" s="22" t="n"/>
      <c r="F135" s="22" t="n"/>
      <c r="G135" s="23" t="n"/>
      <c r="H135" s="24">
        <f>IF(ISNUMBER(F135),F135-IF(ISNUMBER(G135),G135,30),"")</f>
        <v/>
      </c>
      <c r="I135" s="25">
        <f>IF(F135="","",IF(ISNUMBER(F135),F135-TODAY(),"Check date"))</f>
        <v/>
      </c>
      <c r="J135" s="26">
        <f>IF(I135="","",IF(ISNUMBER(I135),IF(I135&lt;0,"Expired",IF(I135&lt;=30,"Due ≤30 days",IF(I135&lt;=90,"Due ≤90 days","OK"))),"Check date"))</f>
        <v/>
      </c>
      <c r="K135" s="21" t="n"/>
      <c r="L135" s="21" t="n"/>
      <c r="M135" s="21" t="n"/>
      <c r="N135" s="21" t="n"/>
      <c r="O135" s="21" t="n"/>
      <c r="P135" s="21" t="n"/>
    </row>
    <row r="136">
      <c r="A136" s="21" t="n"/>
      <c r="B136" s="21" t="n"/>
      <c r="C136" s="21" t="n"/>
      <c r="D136" s="21" t="n"/>
      <c r="E136" s="22" t="n"/>
      <c r="F136" s="22" t="n"/>
      <c r="G136" s="23" t="n"/>
      <c r="H136" s="24">
        <f>IF(ISNUMBER(F136),F136-IF(ISNUMBER(G136),G136,30),"")</f>
        <v/>
      </c>
      <c r="I136" s="25">
        <f>IF(F136="","",IF(ISNUMBER(F136),F136-TODAY(),"Check date"))</f>
        <v/>
      </c>
      <c r="J136" s="26">
        <f>IF(I136="","",IF(ISNUMBER(I136),IF(I136&lt;0,"Expired",IF(I136&lt;=30,"Due ≤30 days",IF(I136&lt;=90,"Due ≤90 days","OK"))),"Check date"))</f>
        <v/>
      </c>
      <c r="K136" s="21" t="n"/>
      <c r="L136" s="21" t="n"/>
      <c r="M136" s="21" t="n"/>
      <c r="N136" s="21" t="n"/>
      <c r="O136" s="21" t="n"/>
      <c r="P136" s="21" t="n"/>
    </row>
    <row r="137">
      <c r="A137" s="21" t="n"/>
      <c r="B137" s="21" t="n"/>
      <c r="C137" s="21" t="n"/>
      <c r="D137" s="21" t="n"/>
      <c r="E137" s="22" t="n"/>
      <c r="F137" s="22" t="n"/>
      <c r="G137" s="23" t="n"/>
      <c r="H137" s="24">
        <f>IF(ISNUMBER(F137),F137-IF(ISNUMBER(G137),G137,30),"")</f>
        <v/>
      </c>
      <c r="I137" s="25">
        <f>IF(F137="","",IF(ISNUMBER(F137),F137-TODAY(),"Check date"))</f>
        <v/>
      </c>
      <c r="J137" s="26">
        <f>IF(I137="","",IF(ISNUMBER(I137),IF(I137&lt;0,"Expired",IF(I137&lt;=30,"Due ≤30 days",IF(I137&lt;=90,"Due ≤90 days","OK"))),"Check date"))</f>
        <v/>
      </c>
      <c r="K137" s="21" t="n"/>
      <c r="L137" s="21" t="n"/>
      <c r="M137" s="21" t="n"/>
      <c r="N137" s="21" t="n"/>
      <c r="O137" s="21" t="n"/>
      <c r="P137" s="21" t="n"/>
    </row>
    <row r="138">
      <c r="A138" s="21" t="n"/>
      <c r="B138" s="21" t="n"/>
      <c r="C138" s="21" t="n"/>
      <c r="D138" s="21" t="n"/>
      <c r="E138" s="22" t="n"/>
      <c r="F138" s="22" t="n"/>
      <c r="G138" s="23" t="n"/>
      <c r="H138" s="24">
        <f>IF(ISNUMBER(F138),F138-IF(ISNUMBER(G138),G138,30),"")</f>
        <v/>
      </c>
      <c r="I138" s="25">
        <f>IF(F138="","",IF(ISNUMBER(F138),F138-TODAY(),"Check date"))</f>
        <v/>
      </c>
      <c r="J138" s="26">
        <f>IF(I138="","",IF(ISNUMBER(I138),IF(I138&lt;0,"Expired",IF(I138&lt;=30,"Due ≤30 days",IF(I138&lt;=90,"Due ≤90 days","OK"))),"Check date"))</f>
        <v/>
      </c>
      <c r="K138" s="21" t="n"/>
      <c r="L138" s="21" t="n"/>
      <c r="M138" s="21" t="n"/>
      <c r="N138" s="21" t="n"/>
      <c r="O138" s="21" t="n"/>
      <c r="P138" s="21" t="n"/>
    </row>
    <row r="139">
      <c r="A139" s="21" t="n"/>
      <c r="B139" s="21" t="n"/>
      <c r="C139" s="21" t="n"/>
      <c r="D139" s="21" t="n"/>
      <c r="E139" s="22" t="n"/>
      <c r="F139" s="22" t="n"/>
      <c r="G139" s="23" t="n"/>
      <c r="H139" s="24">
        <f>IF(ISNUMBER(F139),F139-IF(ISNUMBER(G139),G139,30),"")</f>
        <v/>
      </c>
      <c r="I139" s="25">
        <f>IF(F139="","",IF(ISNUMBER(F139),F139-TODAY(),"Check date"))</f>
        <v/>
      </c>
      <c r="J139" s="26">
        <f>IF(I139="","",IF(ISNUMBER(I139),IF(I139&lt;0,"Expired",IF(I139&lt;=30,"Due ≤30 days",IF(I139&lt;=90,"Due ≤90 days","OK"))),"Check date"))</f>
        <v/>
      </c>
      <c r="K139" s="21" t="n"/>
      <c r="L139" s="21" t="n"/>
      <c r="M139" s="21" t="n"/>
      <c r="N139" s="21" t="n"/>
      <c r="O139" s="21" t="n"/>
      <c r="P139" s="21" t="n"/>
    </row>
    <row r="140">
      <c r="A140" s="21" t="n"/>
      <c r="B140" s="21" t="n"/>
      <c r="C140" s="21" t="n"/>
      <c r="D140" s="21" t="n"/>
      <c r="E140" s="22" t="n"/>
      <c r="F140" s="22" t="n"/>
      <c r="G140" s="23" t="n"/>
      <c r="H140" s="24">
        <f>IF(ISNUMBER(F140),F140-IF(ISNUMBER(G140),G140,30),"")</f>
        <v/>
      </c>
      <c r="I140" s="25">
        <f>IF(F140="","",IF(ISNUMBER(F140),F140-TODAY(),"Check date"))</f>
        <v/>
      </c>
      <c r="J140" s="26">
        <f>IF(I140="","",IF(ISNUMBER(I140),IF(I140&lt;0,"Expired",IF(I140&lt;=30,"Due ≤30 days",IF(I140&lt;=90,"Due ≤90 days","OK"))),"Check date"))</f>
        <v/>
      </c>
      <c r="K140" s="21" t="n"/>
      <c r="L140" s="21" t="n"/>
      <c r="M140" s="21" t="n"/>
      <c r="N140" s="21" t="n"/>
      <c r="O140" s="21" t="n"/>
      <c r="P140" s="21" t="n"/>
    </row>
    <row r="141">
      <c r="A141" s="21" t="n"/>
      <c r="B141" s="21" t="n"/>
      <c r="C141" s="21" t="n"/>
      <c r="D141" s="21" t="n"/>
      <c r="E141" s="22" t="n"/>
      <c r="F141" s="22" t="n"/>
      <c r="G141" s="23" t="n"/>
      <c r="H141" s="24">
        <f>IF(ISNUMBER(F141),F141-IF(ISNUMBER(G141),G141,30),"")</f>
        <v/>
      </c>
      <c r="I141" s="25">
        <f>IF(F141="","",IF(ISNUMBER(F141),F141-TODAY(),"Check date"))</f>
        <v/>
      </c>
      <c r="J141" s="26">
        <f>IF(I141="","",IF(ISNUMBER(I141),IF(I141&lt;0,"Expired",IF(I141&lt;=30,"Due ≤30 days",IF(I141&lt;=90,"Due ≤90 days","OK"))),"Check date"))</f>
        <v/>
      </c>
      <c r="K141" s="21" t="n"/>
      <c r="L141" s="21" t="n"/>
      <c r="M141" s="21" t="n"/>
      <c r="N141" s="21" t="n"/>
      <c r="O141" s="21" t="n"/>
      <c r="P141" s="21" t="n"/>
    </row>
    <row r="142">
      <c r="A142" s="21" t="n"/>
      <c r="B142" s="21" t="n"/>
      <c r="C142" s="21" t="n"/>
      <c r="D142" s="21" t="n"/>
      <c r="E142" s="22" t="n"/>
      <c r="F142" s="22" t="n"/>
      <c r="G142" s="23" t="n"/>
      <c r="H142" s="24">
        <f>IF(ISNUMBER(F142),F142-IF(ISNUMBER(G142),G142,30),"")</f>
        <v/>
      </c>
      <c r="I142" s="25">
        <f>IF(F142="","",IF(ISNUMBER(F142),F142-TODAY(),"Check date"))</f>
        <v/>
      </c>
      <c r="J142" s="26">
        <f>IF(I142="","",IF(ISNUMBER(I142),IF(I142&lt;0,"Expired",IF(I142&lt;=30,"Due ≤30 days",IF(I142&lt;=90,"Due ≤90 days","OK"))),"Check date"))</f>
        <v/>
      </c>
      <c r="K142" s="21" t="n"/>
      <c r="L142" s="21" t="n"/>
      <c r="M142" s="21" t="n"/>
      <c r="N142" s="21" t="n"/>
      <c r="O142" s="21" t="n"/>
      <c r="P142" s="21" t="n"/>
    </row>
    <row r="143">
      <c r="A143" s="21" t="n"/>
      <c r="B143" s="21" t="n"/>
      <c r="C143" s="21" t="n"/>
      <c r="D143" s="21" t="n"/>
      <c r="E143" s="22" t="n"/>
      <c r="F143" s="22" t="n"/>
      <c r="G143" s="23" t="n"/>
      <c r="H143" s="24">
        <f>IF(ISNUMBER(F143),F143-IF(ISNUMBER(G143),G143,30),"")</f>
        <v/>
      </c>
      <c r="I143" s="25">
        <f>IF(F143="","",IF(ISNUMBER(F143),F143-TODAY(),"Check date"))</f>
        <v/>
      </c>
      <c r="J143" s="26">
        <f>IF(I143="","",IF(ISNUMBER(I143),IF(I143&lt;0,"Expired",IF(I143&lt;=30,"Due ≤30 days",IF(I143&lt;=90,"Due ≤90 days","OK"))),"Check date"))</f>
        <v/>
      </c>
      <c r="K143" s="21" t="n"/>
      <c r="L143" s="21" t="n"/>
      <c r="M143" s="21" t="n"/>
      <c r="N143" s="21" t="n"/>
      <c r="O143" s="21" t="n"/>
      <c r="P143" s="21" t="n"/>
    </row>
    <row r="144">
      <c r="A144" s="21" t="n"/>
      <c r="B144" s="21" t="n"/>
      <c r="C144" s="21" t="n"/>
      <c r="D144" s="21" t="n"/>
      <c r="E144" s="22" t="n"/>
      <c r="F144" s="22" t="n"/>
      <c r="G144" s="23" t="n"/>
      <c r="H144" s="24">
        <f>IF(ISNUMBER(F144),F144-IF(ISNUMBER(G144),G144,30),"")</f>
        <v/>
      </c>
      <c r="I144" s="25">
        <f>IF(F144="","",IF(ISNUMBER(F144),F144-TODAY(),"Check date"))</f>
        <v/>
      </c>
      <c r="J144" s="26">
        <f>IF(I144="","",IF(ISNUMBER(I144),IF(I144&lt;0,"Expired",IF(I144&lt;=30,"Due ≤30 days",IF(I144&lt;=90,"Due ≤90 days","OK"))),"Check date"))</f>
        <v/>
      </c>
      <c r="K144" s="21" t="n"/>
      <c r="L144" s="21" t="n"/>
      <c r="M144" s="21" t="n"/>
      <c r="N144" s="21" t="n"/>
      <c r="O144" s="21" t="n"/>
      <c r="P144" s="21" t="n"/>
    </row>
    <row r="145">
      <c r="A145" s="21" t="n"/>
      <c r="B145" s="21" t="n"/>
      <c r="C145" s="21" t="n"/>
      <c r="D145" s="21" t="n"/>
      <c r="E145" s="22" t="n"/>
      <c r="F145" s="22" t="n"/>
      <c r="G145" s="23" t="n"/>
      <c r="H145" s="24">
        <f>IF(ISNUMBER(F145),F145-IF(ISNUMBER(G145),G145,30),"")</f>
        <v/>
      </c>
      <c r="I145" s="25">
        <f>IF(F145="","",IF(ISNUMBER(F145),F145-TODAY(),"Check date"))</f>
        <v/>
      </c>
      <c r="J145" s="26">
        <f>IF(I145="","",IF(ISNUMBER(I145),IF(I145&lt;0,"Expired",IF(I145&lt;=30,"Due ≤30 days",IF(I145&lt;=90,"Due ≤90 days","OK"))),"Check date"))</f>
        <v/>
      </c>
      <c r="K145" s="21" t="n"/>
      <c r="L145" s="21" t="n"/>
      <c r="M145" s="21" t="n"/>
      <c r="N145" s="21" t="n"/>
      <c r="O145" s="21" t="n"/>
      <c r="P145" s="21" t="n"/>
    </row>
    <row r="146">
      <c r="A146" s="21" t="n"/>
      <c r="B146" s="21" t="n"/>
      <c r="C146" s="21" t="n"/>
      <c r="D146" s="21" t="n"/>
      <c r="E146" s="22" t="n"/>
      <c r="F146" s="22" t="n"/>
      <c r="G146" s="23" t="n"/>
      <c r="H146" s="24">
        <f>IF(ISNUMBER(F146),F146-IF(ISNUMBER(G146),G146,30),"")</f>
        <v/>
      </c>
      <c r="I146" s="25">
        <f>IF(F146="","",IF(ISNUMBER(F146),F146-TODAY(),"Check date"))</f>
        <v/>
      </c>
      <c r="J146" s="26">
        <f>IF(I146="","",IF(ISNUMBER(I146),IF(I146&lt;0,"Expired",IF(I146&lt;=30,"Due ≤30 days",IF(I146&lt;=90,"Due ≤90 days","OK"))),"Check date"))</f>
        <v/>
      </c>
      <c r="K146" s="21" t="n"/>
      <c r="L146" s="21" t="n"/>
      <c r="M146" s="21" t="n"/>
      <c r="N146" s="21" t="n"/>
      <c r="O146" s="21" t="n"/>
      <c r="P146" s="21" t="n"/>
    </row>
    <row r="147">
      <c r="A147" s="21" t="n"/>
      <c r="B147" s="21" t="n"/>
      <c r="C147" s="21" t="n"/>
      <c r="D147" s="21" t="n"/>
      <c r="E147" s="22" t="n"/>
      <c r="F147" s="22" t="n"/>
      <c r="G147" s="23" t="n"/>
      <c r="H147" s="24">
        <f>IF(ISNUMBER(F147),F147-IF(ISNUMBER(G147),G147,30),"")</f>
        <v/>
      </c>
      <c r="I147" s="25">
        <f>IF(F147="","",IF(ISNUMBER(F147),F147-TODAY(),"Check date"))</f>
        <v/>
      </c>
      <c r="J147" s="26">
        <f>IF(I147="","",IF(ISNUMBER(I147),IF(I147&lt;0,"Expired",IF(I147&lt;=30,"Due ≤30 days",IF(I147&lt;=90,"Due ≤90 days","OK"))),"Check date"))</f>
        <v/>
      </c>
      <c r="K147" s="21" t="n"/>
      <c r="L147" s="21" t="n"/>
      <c r="M147" s="21" t="n"/>
      <c r="N147" s="21" t="n"/>
      <c r="O147" s="21" t="n"/>
      <c r="P147" s="21" t="n"/>
    </row>
    <row r="148">
      <c r="A148" s="21" t="n"/>
      <c r="B148" s="21" t="n"/>
      <c r="C148" s="21" t="n"/>
      <c r="D148" s="21" t="n"/>
      <c r="E148" s="22" t="n"/>
      <c r="F148" s="22" t="n"/>
      <c r="G148" s="23" t="n"/>
      <c r="H148" s="24">
        <f>IF(ISNUMBER(F148),F148-IF(ISNUMBER(G148),G148,30),"")</f>
        <v/>
      </c>
      <c r="I148" s="25">
        <f>IF(F148="","",IF(ISNUMBER(F148),F148-TODAY(),"Check date"))</f>
        <v/>
      </c>
      <c r="J148" s="26">
        <f>IF(I148="","",IF(ISNUMBER(I148),IF(I148&lt;0,"Expired",IF(I148&lt;=30,"Due ≤30 days",IF(I148&lt;=90,"Due ≤90 days","OK"))),"Check date"))</f>
        <v/>
      </c>
      <c r="K148" s="21" t="n"/>
      <c r="L148" s="21" t="n"/>
      <c r="M148" s="21" t="n"/>
      <c r="N148" s="21" t="n"/>
      <c r="O148" s="21" t="n"/>
      <c r="P148" s="21" t="n"/>
    </row>
    <row r="149">
      <c r="A149" s="21" t="n"/>
      <c r="B149" s="21" t="n"/>
      <c r="C149" s="21" t="n"/>
      <c r="D149" s="21" t="n"/>
      <c r="E149" s="22" t="n"/>
      <c r="F149" s="22" t="n"/>
      <c r="G149" s="23" t="n"/>
      <c r="H149" s="24">
        <f>IF(ISNUMBER(F149),F149-IF(ISNUMBER(G149),G149,30),"")</f>
        <v/>
      </c>
      <c r="I149" s="25">
        <f>IF(F149="","",IF(ISNUMBER(F149),F149-TODAY(),"Check date"))</f>
        <v/>
      </c>
      <c r="J149" s="26">
        <f>IF(I149="","",IF(ISNUMBER(I149),IF(I149&lt;0,"Expired",IF(I149&lt;=30,"Due ≤30 days",IF(I149&lt;=90,"Due ≤90 days","OK"))),"Check date"))</f>
        <v/>
      </c>
      <c r="K149" s="21" t="n"/>
      <c r="L149" s="21" t="n"/>
      <c r="M149" s="21" t="n"/>
      <c r="N149" s="21" t="n"/>
      <c r="O149" s="21" t="n"/>
      <c r="P149" s="21" t="n"/>
    </row>
    <row r="150">
      <c r="A150" s="21" t="n"/>
      <c r="B150" s="21" t="n"/>
      <c r="C150" s="21" t="n"/>
      <c r="D150" s="21" t="n"/>
      <c r="E150" s="22" t="n"/>
      <c r="F150" s="22" t="n"/>
      <c r="G150" s="23" t="n"/>
      <c r="H150" s="24">
        <f>IF(ISNUMBER(F150),F150-IF(ISNUMBER(G150),G150,30),"")</f>
        <v/>
      </c>
      <c r="I150" s="25">
        <f>IF(F150="","",IF(ISNUMBER(F150),F150-TODAY(),"Check date"))</f>
        <v/>
      </c>
      <c r="J150" s="26">
        <f>IF(I150="","",IF(ISNUMBER(I150),IF(I150&lt;0,"Expired",IF(I150&lt;=30,"Due ≤30 days",IF(I150&lt;=90,"Due ≤90 days","OK"))),"Check date"))</f>
        <v/>
      </c>
      <c r="K150" s="21" t="n"/>
      <c r="L150" s="21" t="n"/>
      <c r="M150" s="21" t="n"/>
      <c r="N150" s="21" t="n"/>
      <c r="O150" s="21" t="n"/>
      <c r="P150" s="21" t="n"/>
    </row>
    <row r="151">
      <c r="A151" s="21" t="n"/>
      <c r="B151" s="21" t="n"/>
      <c r="C151" s="21" t="n"/>
      <c r="D151" s="21" t="n"/>
      <c r="E151" s="22" t="n"/>
      <c r="F151" s="22" t="n"/>
      <c r="G151" s="23" t="n"/>
      <c r="H151" s="24">
        <f>IF(ISNUMBER(F151),F151-IF(ISNUMBER(G151),G151,30),"")</f>
        <v/>
      </c>
      <c r="I151" s="25">
        <f>IF(F151="","",IF(ISNUMBER(F151),F151-TODAY(),"Check date"))</f>
        <v/>
      </c>
      <c r="J151" s="26">
        <f>IF(I151="","",IF(ISNUMBER(I151),IF(I151&lt;0,"Expired",IF(I151&lt;=30,"Due ≤30 days",IF(I151&lt;=90,"Due ≤90 days","OK"))),"Check date"))</f>
        <v/>
      </c>
      <c r="K151" s="21" t="n"/>
      <c r="L151" s="21" t="n"/>
      <c r="M151" s="21" t="n"/>
      <c r="N151" s="21" t="n"/>
      <c r="O151" s="21" t="n"/>
      <c r="P151" s="21" t="n"/>
    </row>
    <row r="152">
      <c r="A152" s="21" t="n"/>
      <c r="B152" s="21" t="n"/>
      <c r="C152" s="21" t="n"/>
      <c r="D152" s="21" t="n"/>
      <c r="E152" s="22" t="n"/>
      <c r="F152" s="22" t="n"/>
      <c r="G152" s="23" t="n"/>
      <c r="H152" s="24">
        <f>IF(ISNUMBER(F152),F152-IF(ISNUMBER(G152),G152,30),"")</f>
        <v/>
      </c>
      <c r="I152" s="25">
        <f>IF(F152="","",IF(ISNUMBER(F152),F152-TODAY(),"Check date"))</f>
        <v/>
      </c>
      <c r="J152" s="26">
        <f>IF(I152="","",IF(ISNUMBER(I152),IF(I152&lt;0,"Expired",IF(I152&lt;=30,"Due ≤30 days",IF(I152&lt;=90,"Due ≤90 days","OK"))),"Check date"))</f>
        <v/>
      </c>
      <c r="K152" s="21" t="n"/>
      <c r="L152" s="21" t="n"/>
      <c r="M152" s="21" t="n"/>
      <c r="N152" s="21" t="n"/>
      <c r="O152" s="21" t="n"/>
      <c r="P152" s="21" t="n"/>
    </row>
    <row r="153">
      <c r="A153" s="21" t="n"/>
      <c r="B153" s="21" t="n"/>
      <c r="C153" s="21" t="n"/>
      <c r="D153" s="21" t="n"/>
      <c r="E153" s="22" t="n"/>
      <c r="F153" s="22" t="n"/>
      <c r="G153" s="23" t="n"/>
      <c r="H153" s="24">
        <f>IF(ISNUMBER(F153),F153-IF(ISNUMBER(G153),G153,30),"")</f>
        <v/>
      </c>
      <c r="I153" s="25">
        <f>IF(F153="","",IF(ISNUMBER(F153),F153-TODAY(),"Check date"))</f>
        <v/>
      </c>
      <c r="J153" s="26">
        <f>IF(I153="","",IF(ISNUMBER(I153),IF(I153&lt;0,"Expired",IF(I153&lt;=30,"Due ≤30 days",IF(I153&lt;=90,"Due ≤90 days","OK"))),"Check date"))</f>
        <v/>
      </c>
      <c r="K153" s="21" t="n"/>
      <c r="L153" s="21" t="n"/>
      <c r="M153" s="21" t="n"/>
      <c r="N153" s="21" t="n"/>
      <c r="O153" s="21" t="n"/>
      <c r="P153" s="21" t="n"/>
    </row>
    <row r="154">
      <c r="A154" s="21" t="n"/>
      <c r="B154" s="21" t="n"/>
      <c r="C154" s="21" t="n"/>
      <c r="D154" s="21" t="n"/>
      <c r="E154" s="22" t="n"/>
      <c r="F154" s="22" t="n"/>
      <c r="G154" s="23" t="n"/>
      <c r="H154" s="24">
        <f>IF(ISNUMBER(F154),F154-IF(ISNUMBER(G154),G154,30),"")</f>
        <v/>
      </c>
      <c r="I154" s="25">
        <f>IF(F154="","",IF(ISNUMBER(F154),F154-TODAY(),"Check date"))</f>
        <v/>
      </c>
      <c r="J154" s="26">
        <f>IF(I154="","",IF(ISNUMBER(I154),IF(I154&lt;0,"Expired",IF(I154&lt;=30,"Due ≤30 days",IF(I154&lt;=90,"Due ≤90 days","OK"))),"Check date"))</f>
        <v/>
      </c>
      <c r="K154" s="21" t="n"/>
      <c r="L154" s="21" t="n"/>
      <c r="M154" s="21" t="n"/>
      <c r="N154" s="21" t="n"/>
      <c r="O154" s="21" t="n"/>
      <c r="P154" s="21" t="n"/>
    </row>
    <row r="155">
      <c r="A155" s="21" t="n"/>
      <c r="B155" s="21" t="n"/>
      <c r="C155" s="21" t="n"/>
      <c r="D155" s="21" t="n"/>
      <c r="E155" s="22" t="n"/>
      <c r="F155" s="22" t="n"/>
      <c r="G155" s="23" t="n"/>
      <c r="H155" s="24">
        <f>IF(ISNUMBER(F155),F155-IF(ISNUMBER(G155),G155,30),"")</f>
        <v/>
      </c>
      <c r="I155" s="25">
        <f>IF(F155="","",IF(ISNUMBER(F155),F155-TODAY(),"Check date"))</f>
        <v/>
      </c>
      <c r="J155" s="26">
        <f>IF(I155="","",IF(ISNUMBER(I155),IF(I155&lt;0,"Expired",IF(I155&lt;=30,"Due ≤30 days",IF(I155&lt;=90,"Due ≤90 days","OK"))),"Check date"))</f>
        <v/>
      </c>
      <c r="K155" s="21" t="n"/>
      <c r="L155" s="21" t="n"/>
      <c r="M155" s="21" t="n"/>
      <c r="N155" s="21" t="n"/>
      <c r="O155" s="21" t="n"/>
      <c r="P155" s="21" t="n"/>
    </row>
    <row r="156">
      <c r="A156" s="21" t="n"/>
      <c r="B156" s="21" t="n"/>
      <c r="C156" s="21" t="n"/>
      <c r="D156" s="21" t="n"/>
      <c r="E156" s="22" t="n"/>
      <c r="F156" s="22" t="n"/>
      <c r="G156" s="23" t="n"/>
      <c r="H156" s="24">
        <f>IF(ISNUMBER(F156),F156-IF(ISNUMBER(G156),G156,30),"")</f>
        <v/>
      </c>
      <c r="I156" s="25">
        <f>IF(F156="","",IF(ISNUMBER(F156),F156-TODAY(),"Check date"))</f>
        <v/>
      </c>
      <c r="J156" s="26">
        <f>IF(I156="","",IF(ISNUMBER(I156),IF(I156&lt;0,"Expired",IF(I156&lt;=30,"Due ≤30 days",IF(I156&lt;=90,"Due ≤90 days","OK"))),"Check date"))</f>
        <v/>
      </c>
      <c r="K156" s="21" t="n"/>
      <c r="L156" s="21" t="n"/>
      <c r="M156" s="21" t="n"/>
      <c r="N156" s="21" t="n"/>
      <c r="O156" s="21" t="n"/>
      <c r="P156" s="21" t="n"/>
    </row>
    <row r="157">
      <c r="A157" s="21" t="n"/>
      <c r="B157" s="21" t="n"/>
      <c r="C157" s="21" t="n"/>
      <c r="D157" s="21" t="n"/>
      <c r="E157" s="22" t="n"/>
      <c r="F157" s="22" t="n"/>
      <c r="G157" s="23" t="n"/>
      <c r="H157" s="24">
        <f>IF(ISNUMBER(F157),F157-IF(ISNUMBER(G157),G157,30),"")</f>
        <v/>
      </c>
      <c r="I157" s="25">
        <f>IF(F157="","",IF(ISNUMBER(F157),F157-TODAY(),"Check date"))</f>
        <v/>
      </c>
      <c r="J157" s="26">
        <f>IF(I157="","",IF(ISNUMBER(I157),IF(I157&lt;0,"Expired",IF(I157&lt;=30,"Due ≤30 days",IF(I157&lt;=90,"Due ≤90 days","OK"))),"Check date"))</f>
        <v/>
      </c>
      <c r="K157" s="21" t="n"/>
      <c r="L157" s="21" t="n"/>
      <c r="M157" s="21" t="n"/>
      <c r="N157" s="21" t="n"/>
      <c r="O157" s="21" t="n"/>
      <c r="P157" s="21" t="n"/>
    </row>
    <row r="158">
      <c r="A158" s="21" t="n"/>
      <c r="B158" s="21" t="n"/>
      <c r="C158" s="21" t="n"/>
      <c r="D158" s="21" t="n"/>
      <c r="E158" s="22" t="n"/>
      <c r="F158" s="22" t="n"/>
      <c r="G158" s="23" t="n"/>
      <c r="H158" s="24">
        <f>IF(ISNUMBER(F158),F158-IF(ISNUMBER(G158),G158,30),"")</f>
        <v/>
      </c>
      <c r="I158" s="25">
        <f>IF(F158="","",IF(ISNUMBER(F158),F158-TODAY(),"Check date"))</f>
        <v/>
      </c>
      <c r="J158" s="26">
        <f>IF(I158="","",IF(ISNUMBER(I158),IF(I158&lt;0,"Expired",IF(I158&lt;=30,"Due ≤30 days",IF(I158&lt;=90,"Due ≤90 days","OK"))),"Check date"))</f>
        <v/>
      </c>
      <c r="K158" s="21" t="n"/>
      <c r="L158" s="21" t="n"/>
      <c r="M158" s="21" t="n"/>
      <c r="N158" s="21" t="n"/>
      <c r="O158" s="21" t="n"/>
      <c r="P158" s="21" t="n"/>
    </row>
    <row r="159">
      <c r="A159" s="21" t="n"/>
      <c r="B159" s="21" t="n"/>
      <c r="C159" s="21" t="n"/>
      <c r="D159" s="21" t="n"/>
      <c r="E159" s="22" t="n"/>
      <c r="F159" s="22" t="n"/>
      <c r="G159" s="23" t="n"/>
      <c r="H159" s="24">
        <f>IF(ISNUMBER(F159),F159-IF(ISNUMBER(G159),G159,30),"")</f>
        <v/>
      </c>
      <c r="I159" s="25">
        <f>IF(F159="","",IF(ISNUMBER(F159),F159-TODAY(),"Check date"))</f>
        <v/>
      </c>
      <c r="J159" s="26">
        <f>IF(I159="","",IF(ISNUMBER(I159),IF(I159&lt;0,"Expired",IF(I159&lt;=30,"Due ≤30 days",IF(I159&lt;=90,"Due ≤90 days","OK"))),"Check date"))</f>
        <v/>
      </c>
      <c r="K159" s="21" t="n"/>
      <c r="L159" s="21" t="n"/>
      <c r="M159" s="21" t="n"/>
      <c r="N159" s="21" t="n"/>
      <c r="O159" s="21" t="n"/>
      <c r="P159" s="21" t="n"/>
    </row>
    <row r="160">
      <c r="A160" s="21" t="n"/>
      <c r="B160" s="21" t="n"/>
      <c r="C160" s="21" t="n"/>
      <c r="D160" s="21" t="n"/>
      <c r="E160" s="22" t="n"/>
      <c r="F160" s="22" t="n"/>
      <c r="G160" s="23" t="n"/>
      <c r="H160" s="24">
        <f>IF(ISNUMBER(F160),F160-IF(ISNUMBER(G160),G160,30),"")</f>
        <v/>
      </c>
      <c r="I160" s="25">
        <f>IF(F160="","",IF(ISNUMBER(F160),F160-TODAY(),"Check date"))</f>
        <v/>
      </c>
      <c r="J160" s="26">
        <f>IF(I160="","",IF(ISNUMBER(I160),IF(I160&lt;0,"Expired",IF(I160&lt;=30,"Due ≤30 days",IF(I160&lt;=90,"Due ≤90 days","OK"))),"Check date"))</f>
        <v/>
      </c>
      <c r="K160" s="21" t="n"/>
      <c r="L160" s="21" t="n"/>
      <c r="M160" s="21" t="n"/>
      <c r="N160" s="21" t="n"/>
      <c r="O160" s="21" t="n"/>
      <c r="P160" s="21" t="n"/>
    </row>
    <row r="161">
      <c r="A161" s="21" t="n"/>
      <c r="B161" s="21" t="n"/>
      <c r="C161" s="21" t="n"/>
      <c r="D161" s="21" t="n"/>
      <c r="E161" s="22" t="n"/>
      <c r="F161" s="22" t="n"/>
      <c r="G161" s="23" t="n"/>
      <c r="H161" s="24">
        <f>IF(ISNUMBER(F161),F161-IF(ISNUMBER(G161),G161,30),"")</f>
        <v/>
      </c>
      <c r="I161" s="25">
        <f>IF(F161="","",IF(ISNUMBER(F161),F161-TODAY(),"Check date"))</f>
        <v/>
      </c>
      <c r="J161" s="26">
        <f>IF(I161="","",IF(ISNUMBER(I161),IF(I161&lt;0,"Expired",IF(I161&lt;=30,"Due ≤30 days",IF(I161&lt;=90,"Due ≤90 days","OK"))),"Check date"))</f>
        <v/>
      </c>
      <c r="K161" s="21" t="n"/>
      <c r="L161" s="21" t="n"/>
      <c r="M161" s="21" t="n"/>
      <c r="N161" s="21" t="n"/>
      <c r="O161" s="21" t="n"/>
      <c r="P161" s="21" t="n"/>
    </row>
    <row r="162">
      <c r="A162" s="21" t="n"/>
      <c r="B162" s="21" t="n"/>
      <c r="C162" s="21" t="n"/>
      <c r="D162" s="21" t="n"/>
      <c r="E162" s="22" t="n"/>
      <c r="F162" s="22" t="n"/>
      <c r="G162" s="23" t="n"/>
      <c r="H162" s="24">
        <f>IF(ISNUMBER(F162),F162-IF(ISNUMBER(G162),G162,30),"")</f>
        <v/>
      </c>
      <c r="I162" s="25">
        <f>IF(F162="","",IF(ISNUMBER(F162),F162-TODAY(),"Check date"))</f>
        <v/>
      </c>
      <c r="J162" s="26">
        <f>IF(I162="","",IF(ISNUMBER(I162),IF(I162&lt;0,"Expired",IF(I162&lt;=30,"Due ≤30 days",IF(I162&lt;=90,"Due ≤90 days","OK"))),"Check date"))</f>
        <v/>
      </c>
      <c r="K162" s="21" t="n"/>
      <c r="L162" s="21" t="n"/>
      <c r="M162" s="21" t="n"/>
      <c r="N162" s="21" t="n"/>
      <c r="O162" s="21" t="n"/>
      <c r="P162" s="21" t="n"/>
    </row>
    <row r="163">
      <c r="A163" s="21" t="n"/>
      <c r="B163" s="21" t="n"/>
      <c r="C163" s="21" t="n"/>
      <c r="D163" s="21" t="n"/>
      <c r="E163" s="22" t="n"/>
      <c r="F163" s="22" t="n"/>
      <c r="G163" s="23" t="n"/>
      <c r="H163" s="24">
        <f>IF(ISNUMBER(F163),F163-IF(ISNUMBER(G163),G163,30),"")</f>
        <v/>
      </c>
      <c r="I163" s="25">
        <f>IF(F163="","",IF(ISNUMBER(F163),F163-TODAY(),"Check date"))</f>
        <v/>
      </c>
      <c r="J163" s="26">
        <f>IF(I163="","",IF(ISNUMBER(I163),IF(I163&lt;0,"Expired",IF(I163&lt;=30,"Due ≤30 days",IF(I163&lt;=90,"Due ≤90 days","OK"))),"Check date"))</f>
        <v/>
      </c>
      <c r="K163" s="21" t="n"/>
      <c r="L163" s="21" t="n"/>
      <c r="M163" s="21" t="n"/>
      <c r="N163" s="21" t="n"/>
      <c r="O163" s="21" t="n"/>
      <c r="P163" s="21" t="n"/>
    </row>
    <row r="164">
      <c r="A164" s="21" t="n"/>
      <c r="B164" s="21" t="n"/>
      <c r="C164" s="21" t="n"/>
      <c r="D164" s="21" t="n"/>
      <c r="E164" s="22" t="n"/>
      <c r="F164" s="22" t="n"/>
      <c r="G164" s="23" t="n"/>
      <c r="H164" s="24">
        <f>IF(ISNUMBER(F164),F164-IF(ISNUMBER(G164),G164,30),"")</f>
        <v/>
      </c>
      <c r="I164" s="25">
        <f>IF(F164="","",IF(ISNUMBER(F164),F164-TODAY(),"Check date"))</f>
        <v/>
      </c>
      <c r="J164" s="26">
        <f>IF(I164="","",IF(ISNUMBER(I164),IF(I164&lt;0,"Expired",IF(I164&lt;=30,"Due ≤30 days",IF(I164&lt;=90,"Due ≤90 days","OK"))),"Check date"))</f>
        <v/>
      </c>
      <c r="K164" s="21" t="n"/>
      <c r="L164" s="21" t="n"/>
      <c r="M164" s="21" t="n"/>
      <c r="N164" s="21" t="n"/>
      <c r="O164" s="21" t="n"/>
      <c r="P164" s="21" t="n"/>
    </row>
    <row r="165">
      <c r="A165" s="21" t="n"/>
      <c r="B165" s="21" t="n"/>
      <c r="C165" s="21" t="n"/>
      <c r="D165" s="21" t="n"/>
      <c r="E165" s="22" t="n"/>
      <c r="F165" s="22" t="n"/>
      <c r="G165" s="23" t="n"/>
      <c r="H165" s="24">
        <f>IF(ISNUMBER(F165),F165-IF(ISNUMBER(G165),G165,30),"")</f>
        <v/>
      </c>
      <c r="I165" s="25">
        <f>IF(F165="","",IF(ISNUMBER(F165),F165-TODAY(),"Check date"))</f>
        <v/>
      </c>
      <c r="J165" s="26">
        <f>IF(I165="","",IF(ISNUMBER(I165),IF(I165&lt;0,"Expired",IF(I165&lt;=30,"Due ≤30 days",IF(I165&lt;=90,"Due ≤90 days","OK"))),"Check date"))</f>
        <v/>
      </c>
      <c r="K165" s="21" t="n"/>
      <c r="L165" s="21" t="n"/>
      <c r="M165" s="21" t="n"/>
      <c r="N165" s="21" t="n"/>
      <c r="O165" s="21" t="n"/>
      <c r="P165" s="21" t="n"/>
    </row>
    <row r="166">
      <c r="A166" s="21" t="n"/>
      <c r="B166" s="21" t="n"/>
      <c r="C166" s="21" t="n"/>
      <c r="D166" s="21" t="n"/>
      <c r="E166" s="22" t="n"/>
      <c r="F166" s="22" t="n"/>
      <c r="G166" s="23" t="n"/>
      <c r="H166" s="24">
        <f>IF(ISNUMBER(F166),F166-IF(ISNUMBER(G166),G166,30),"")</f>
        <v/>
      </c>
      <c r="I166" s="25">
        <f>IF(F166="","",IF(ISNUMBER(F166),F166-TODAY(),"Check date"))</f>
        <v/>
      </c>
      <c r="J166" s="26">
        <f>IF(I166="","",IF(ISNUMBER(I166),IF(I166&lt;0,"Expired",IF(I166&lt;=30,"Due ≤30 days",IF(I166&lt;=90,"Due ≤90 days","OK"))),"Check date"))</f>
        <v/>
      </c>
      <c r="K166" s="21" t="n"/>
      <c r="L166" s="21" t="n"/>
      <c r="M166" s="21" t="n"/>
      <c r="N166" s="21" t="n"/>
      <c r="O166" s="21" t="n"/>
      <c r="P166" s="21" t="n"/>
    </row>
    <row r="167">
      <c r="A167" s="21" t="n"/>
      <c r="B167" s="21" t="n"/>
      <c r="C167" s="21" t="n"/>
      <c r="D167" s="21" t="n"/>
      <c r="E167" s="22" t="n"/>
      <c r="F167" s="22" t="n"/>
      <c r="G167" s="23" t="n"/>
      <c r="H167" s="24">
        <f>IF(ISNUMBER(F167),F167-IF(ISNUMBER(G167),G167,30),"")</f>
        <v/>
      </c>
      <c r="I167" s="25">
        <f>IF(F167="","",IF(ISNUMBER(F167),F167-TODAY(),"Check date"))</f>
        <v/>
      </c>
      <c r="J167" s="26">
        <f>IF(I167="","",IF(ISNUMBER(I167),IF(I167&lt;0,"Expired",IF(I167&lt;=30,"Due ≤30 days",IF(I167&lt;=90,"Due ≤90 days","OK"))),"Check date"))</f>
        <v/>
      </c>
      <c r="K167" s="21" t="n"/>
      <c r="L167" s="21" t="n"/>
      <c r="M167" s="21" t="n"/>
      <c r="N167" s="21" t="n"/>
      <c r="O167" s="21" t="n"/>
      <c r="P167" s="21" t="n"/>
    </row>
    <row r="168">
      <c r="A168" s="21" t="n"/>
      <c r="B168" s="21" t="n"/>
      <c r="C168" s="21" t="n"/>
      <c r="D168" s="21" t="n"/>
      <c r="E168" s="22" t="n"/>
      <c r="F168" s="22" t="n"/>
      <c r="G168" s="23" t="n"/>
      <c r="H168" s="24">
        <f>IF(ISNUMBER(F168),F168-IF(ISNUMBER(G168),G168,30),"")</f>
        <v/>
      </c>
      <c r="I168" s="25">
        <f>IF(F168="","",IF(ISNUMBER(F168),F168-TODAY(),"Check date"))</f>
        <v/>
      </c>
      <c r="J168" s="26">
        <f>IF(I168="","",IF(ISNUMBER(I168),IF(I168&lt;0,"Expired",IF(I168&lt;=30,"Due ≤30 days",IF(I168&lt;=90,"Due ≤90 days","OK"))),"Check date"))</f>
        <v/>
      </c>
      <c r="K168" s="21" t="n"/>
      <c r="L168" s="21" t="n"/>
      <c r="M168" s="21" t="n"/>
      <c r="N168" s="21" t="n"/>
      <c r="O168" s="21" t="n"/>
      <c r="P168" s="21" t="n"/>
    </row>
    <row r="169">
      <c r="A169" s="21" t="n"/>
      <c r="B169" s="21" t="n"/>
      <c r="C169" s="21" t="n"/>
      <c r="D169" s="21" t="n"/>
      <c r="E169" s="22" t="n"/>
      <c r="F169" s="22" t="n"/>
      <c r="G169" s="23" t="n"/>
      <c r="H169" s="24">
        <f>IF(ISNUMBER(F169),F169-IF(ISNUMBER(G169),G169,30),"")</f>
        <v/>
      </c>
      <c r="I169" s="25">
        <f>IF(F169="","",IF(ISNUMBER(F169),F169-TODAY(),"Check date"))</f>
        <v/>
      </c>
      <c r="J169" s="26">
        <f>IF(I169="","",IF(ISNUMBER(I169),IF(I169&lt;0,"Expired",IF(I169&lt;=30,"Due ≤30 days",IF(I169&lt;=90,"Due ≤90 days","OK"))),"Check date"))</f>
        <v/>
      </c>
      <c r="K169" s="21" t="n"/>
      <c r="L169" s="21" t="n"/>
      <c r="M169" s="21" t="n"/>
      <c r="N169" s="21" t="n"/>
      <c r="O169" s="21" t="n"/>
      <c r="P169" s="21" t="n"/>
    </row>
    <row r="170">
      <c r="A170" s="21" t="n"/>
      <c r="B170" s="21" t="n"/>
      <c r="C170" s="21" t="n"/>
      <c r="D170" s="21" t="n"/>
      <c r="E170" s="22" t="n"/>
      <c r="F170" s="22" t="n"/>
      <c r="G170" s="23" t="n"/>
      <c r="H170" s="24">
        <f>IF(ISNUMBER(F170),F170-IF(ISNUMBER(G170),G170,30),"")</f>
        <v/>
      </c>
      <c r="I170" s="25">
        <f>IF(F170="","",IF(ISNUMBER(F170),F170-TODAY(),"Check date"))</f>
        <v/>
      </c>
      <c r="J170" s="26">
        <f>IF(I170="","",IF(ISNUMBER(I170),IF(I170&lt;0,"Expired",IF(I170&lt;=30,"Due ≤30 days",IF(I170&lt;=90,"Due ≤90 days","OK"))),"Check date"))</f>
        <v/>
      </c>
      <c r="K170" s="21" t="n"/>
      <c r="L170" s="21" t="n"/>
      <c r="M170" s="21" t="n"/>
      <c r="N170" s="21" t="n"/>
      <c r="O170" s="21" t="n"/>
      <c r="P170" s="21" t="n"/>
    </row>
    <row r="171">
      <c r="A171" s="21" t="n"/>
      <c r="B171" s="21" t="n"/>
      <c r="C171" s="21" t="n"/>
      <c r="D171" s="21" t="n"/>
      <c r="E171" s="22" t="n"/>
      <c r="F171" s="22" t="n"/>
      <c r="G171" s="23" t="n"/>
      <c r="H171" s="24">
        <f>IF(ISNUMBER(F171),F171-IF(ISNUMBER(G171),G171,30),"")</f>
        <v/>
      </c>
      <c r="I171" s="25">
        <f>IF(F171="","",IF(ISNUMBER(F171),F171-TODAY(),"Check date"))</f>
        <v/>
      </c>
      <c r="J171" s="26">
        <f>IF(I171="","",IF(ISNUMBER(I171),IF(I171&lt;0,"Expired",IF(I171&lt;=30,"Due ≤30 days",IF(I171&lt;=90,"Due ≤90 days","OK"))),"Check date"))</f>
        <v/>
      </c>
      <c r="K171" s="21" t="n"/>
      <c r="L171" s="21" t="n"/>
      <c r="M171" s="21" t="n"/>
      <c r="N171" s="21" t="n"/>
      <c r="O171" s="21" t="n"/>
      <c r="P171" s="21" t="n"/>
    </row>
    <row r="172">
      <c r="A172" s="21" t="n"/>
      <c r="B172" s="21" t="n"/>
      <c r="C172" s="21" t="n"/>
      <c r="D172" s="21" t="n"/>
      <c r="E172" s="22" t="n"/>
      <c r="F172" s="22" t="n"/>
      <c r="G172" s="23" t="n"/>
      <c r="H172" s="24">
        <f>IF(ISNUMBER(F172),F172-IF(ISNUMBER(G172),G172,30),"")</f>
        <v/>
      </c>
      <c r="I172" s="25">
        <f>IF(F172="","",IF(ISNUMBER(F172),F172-TODAY(),"Check date"))</f>
        <v/>
      </c>
      <c r="J172" s="26">
        <f>IF(I172="","",IF(ISNUMBER(I172),IF(I172&lt;0,"Expired",IF(I172&lt;=30,"Due ≤30 days",IF(I172&lt;=90,"Due ≤90 days","OK"))),"Check date"))</f>
        <v/>
      </c>
      <c r="K172" s="21" t="n"/>
      <c r="L172" s="21" t="n"/>
      <c r="M172" s="21" t="n"/>
      <c r="N172" s="21" t="n"/>
      <c r="O172" s="21" t="n"/>
      <c r="P172" s="21" t="n"/>
    </row>
    <row r="173">
      <c r="A173" s="21" t="n"/>
      <c r="B173" s="21" t="n"/>
      <c r="C173" s="21" t="n"/>
      <c r="D173" s="21" t="n"/>
      <c r="E173" s="22" t="n"/>
      <c r="F173" s="22" t="n"/>
      <c r="G173" s="23" t="n"/>
      <c r="H173" s="24">
        <f>IF(ISNUMBER(F173),F173-IF(ISNUMBER(G173),G173,30),"")</f>
        <v/>
      </c>
      <c r="I173" s="25">
        <f>IF(F173="","",IF(ISNUMBER(F173),F173-TODAY(),"Check date"))</f>
        <v/>
      </c>
      <c r="J173" s="26">
        <f>IF(I173="","",IF(ISNUMBER(I173),IF(I173&lt;0,"Expired",IF(I173&lt;=30,"Due ≤30 days",IF(I173&lt;=90,"Due ≤90 days","OK"))),"Check date"))</f>
        <v/>
      </c>
      <c r="K173" s="21" t="n"/>
      <c r="L173" s="21" t="n"/>
      <c r="M173" s="21" t="n"/>
      <c r="N173" s="21" t="n"/>
      <c r="O173" s="21" t="n"/>
      <c r="P173" s="21" t="n"/>
    </row>
    <row r="174">
      <c r="A174" s="21" t="n"/>
      <c r="B174" s="21" t="n"/>
      <c r="C174" s="21" t="n"/>
      <c r="D174" s="21" t="n"/>
      <c r="E174" s="22" t="n"/>
      <c r="F174" s="22" t="n"/>
      <c r="G174" s="23" t="n"/>
      <c r="H174" s="24">
        <f>IF(ISNUMBER(F174),F174-IF(ISNUMBER(G174),G174,30),"")</f>
        <v/>
      </c>
      <c r="I174" s="25">
        <f>IF(F174="","",IF(ISNUMBER(F174),F174-TODAY(),"Check date"))</f>
        <v/>
      </c>
      <c r="J174" s="26">
        <f>IF(I174="","",IF(ISNUMBER(I174),IF(I174&lt;0,"Expired",IF(I174&lt;=30,"Due ≤30 days",IF(I174&lt;=90,"Due ≤90 days","OK"))),"Check date"))</f>
        <v/>
      </c>
      <c r="K174" s="21" t="n"/>
      <c r="L174" s="21" t="n"/>
      <c r="M174" s="21" t="n"/>
      <c r="N174" s="21" t="n"/>
      <c r="O174" s="21" t="n"/>
      <c r="P174" s="21" t="n"/>
    </row>
    <row r="175">
      <c r="A175" s="21" t="n"/>
      <c r="B175" s="21" t="n"/>
      <c r="C175" s="21" t="n"/>
      <c r="D175" s="21" t="n"/>
      <c r="E175" s="22" t="n"/>
      <c r="F175" s="22" t="n"/>
      <c r="G175" s="23" t="n"/>
      <c r="H175" s="24">
        <f>IF(ISNUMBER(F175),F175-IF(ISNUMBER(G175),G175,30),"")</f>
        <v/>
      </c>
      <c r="I175" s="25">
        <f>IF(F175="","",IF(ISNUMBER(F175),F175-TODAY(),"Check date"))</f>
        <v/>
      </c>
      <c r="J175" s="26">
        <f>IF(I175="","",IF(ISNUMBER(I175),IF(I175&lt;0,"Expired",IF(I175&lt;=30,"Due ≤30 days",IF(I175&lt;=90,"Due ≤90 days","OK"))),"Check date"))</f>
        <v/>
      </c>
      <c r="K175" s="21" t="n"/>
      <c r="L175" s="21" t="n"/>
      <c r="M175" s="21" t="n"/>
      <c r="N175" s="21" t="n"/>
      <c r="O175" s="21" t="n"/>
      <c r="P175" s="21" t="n"/>
    </row>
    <row r="176">
      <c r="A176" s="21" t="n"/>
      <c r="B176" s="21" t="n"/>
      <c r="C176" s="21" t="n"/>
      <c r="D176" s="21" t="n"/>
      <c r="E176" s="22" t="n"/>
      <c r="F176" s="22" t="n"/>
      <c r="G176" s="23" t="n"/>
      <c r="H176" s="24">
        <f>IF(ISNUMBER(F176),F176-IF(ISNUMBER(G176),G176,30),"")</f>
        <v/>
      </c>
      <c r="I176" s="25">
        <f>IF(F176="","",IF(ISNUMBER(F176),F176-TODAY(),"Check date"))</f>
        <v/>
      </c>
      <c r="J176" s="26">
        <f>IF(I176="","",IF(ISNUMBER(I176),IF(I176&lt;0,"Expired",IF(I176&lt;=30,"Due ≤30 days",IF(I176&lt;=90,"Due ≤90 days","OK"))),"Check date"))</f>
        <v/>
      </c>
      <c r="K176" s="21" t="n"/>
      <c r="L176" s="21" t="n"/>
      <c r="M176" s="21" t="n"/>
      <c r="N176" s="21" t="n"/>
      <c r="O176" s="21" t="n"/>
      <c r="P176" s="21" t="n"/>
    </row>
    <row r="177">
      <c r="A177" s="21" t="n"/>
      <c r="B177" s="21" t="n"/>
      <c r="C177" s="21" t="n"/>
      <c r="D177" s="21" t="n"/>
      <c r="E177" s="22" t="n"/>
      <c r="F177" s="22" t="n"/>
      <c r="G177" s="23" t="n"/>
      <c r="H177" s="24">
        <f>IF(ISNUMBER(F177),F177-IF(ISNUMBER(G177),G177,30),"")</f>
        <v/>
      </c>
      <c r="I177" s="25">
        <f>IF(F177="","",IF(ISNUMBER(F177),F177-TODAY(),"Check date"))</f>
        <v/>
      </c>
      <c r="J177" s="26">
        <f>IF(I177="","",IF(ISNUMBER(I177),IF(I177&lt;0,"Expired",IF(I177&lt;=30,"Due ≤30 days",IF(I177&lt;=90,"Due ≤90 days","OK"))),"Check date"))</f>
        <v/>
      </c>
      <c r="K177" s="21" t="n"/>
      <c r="L177" s="21" t="n"/>
      <c r="M177" s="21" t="n"/>
      <c r="N177" s="21" t="n"/>
      <c r="O177" s="21" t="n"/>
      <c r="P177" s="21" t="n"/>
    </row>
    <row r="178">
      <c r="A178" s="21" t="n"/>
      <c r="B178" s="21" t="n"/>
      <c r="C178" s="21" t="n"/>
      <c r="D178" s="21" t="n"/>
      <c r="E178" s="22" t="n"/>
      <c r="F178" s="22" t="n"/>
      <c r="G178" s="23" t="n"/>
      <c r="H178" s="24">
        <f>IF(ISNUMBER(F178),F178-IF(ISNUMBER(G178),G178,30),"")</f>
        <v/>
      </c>
      <c r="I178" s="25">
        <f>IF(F178="","",IF(ISNUMBER(F178),F178-TODAY(),"Check date"))</f>
        <v/>
      </c>
      <c r="J178" s="26">
        <f>IF(I178="","",IF(ISNUMBER(I178),IF(I178&lt;0,"Expired",IF(I178&lt;=30,"Due ≤30 days",IF(I178&lt;=90,"Due ≤90 days","OK"))),"Check date"))</f>
        <v/>
      </c>
      <c r="K178" s="21" t="n"/>
      <c r="L178" s="21" t="n"/>
      <c r="M178" s="21" t="n"/>
      <c r="N178" s="21" t="n"/>
      <c r="O178" s="21" t="n"/>
      <c r="P178" s="21" t="n"/>
    </row>
    <row r="179">
      <c r="A179" s="21" t="n"/>
      <c r="B179" s="21" t="n"/>
      <c r="C179" s="21" t="n"/>
      <c r="D179" s="21" t="n"/>
      <c r="E179" s="22" t="n"/>
      <c r="F179" s="22" t="n"/>
      <c r="G179" s="23" t="n"/>
      <c r="H179" s="24">
        <f>IF(ISNUMBER(F179),F179-IF(ISNUMBER(G179),G179,30),"")</f>
        <v/>
      </c>
      <c r="I179" s="25">
        <f>IF(F179="","",IF(ISNUMBER(F179),F179-TODAY(),"Check date"))</f>
        <v/>
      </c>
      <c r="J179" s="26">
        <f>IF(I179="","",IF(ISNUMBER(I179),IF(I179&lt;0,"Expired",IF(I179&lt;=30,"Due ≤30 days",IF(I179&lt;=90,"Due ≤90 days","OK"))),"Check date"))</f>
        <v/>
      </c>
      <c r="K179" s="21" t="n"/>
      <c r="L179" s="21" t="n"/>
      <c r="M179" s="21" t="n"/>
      <c r="N179" s="21" t="n"/>
      <c r="O179" s="21" t="n"/>
      <c r="P179" s="21" t="n"/>
    </row>
    <row r="180">
      <c r="A180" s="21" t="n"/>
      <c r="B180" s="21" t="n"/>
      <c r="C180" s="21" t="n"/>
      <c r="D180" s="21" t="n"/>
      <c r="E180" s="22" t="n"/>
      <c r="F180" s="22" t="n"/>
      <c r="G180" s="23" t="n"/>
      <c r="H180" s="24">
        <f>IF(ISNUMBER(F180),F180-IF(ISNUMBER(G180),G180,30),"")</f>
        <v/>
      </c>
      <c r="I180" s="25">
        <f>IF(F180="","",IF(ISNUMBER(F180),F180-TODAY(),"Check date"))</f>
        <v/>
      </c>
      <c r="J180" s="26">
        <f>IF(I180="","",IF(ISNUMBER(I180),IF(I180&lt;0,"Expired",IF(I180&lt;=30,"Due ≤30 days",IF(I180&lt;=90,"Due ≤90 days","OK"))),"Check date"))</f>
        <v/>
      </c>
      <c r="K180" s="21" t="n"/>
      <c r="L180" s="21" t="n"/>
      <c r="M180" s="21" t="n"/>
      <c r="N180" s="21" t="n"/>
      <c r="O180" s="21" t="n"/>
      <c r="P180" s="21" t="n"/>
    </row>
    <row r="181">
      <c r="A181" s="21" t="n"/>
      <c r="B181" s="21" t="n"/>
      <c r="C181" s="21" t="n"/>
      <c r="D181" s="21" t="n"/>
      <c r="E181" s="22" t="n"/>
      <c r="F181" s="22" t="n"/>
      <c r="G181" s="23" t="n"/>
      <c r="H181" s="24">
        <f>IF(ISNUMBER(F181),F181-IF(ISNUMBER(G181),G181,30),"")</f>
        <v/>
      </c>
      <c r="I181" s="25">
        <f>IF(F181="","",IF(ISNUMBER(F181),F181-TODAY(),"Check date"))</f>
        <v/>
      </c>
      <c r="J181" s="26">
        <f>IF(I181="","",IF(ISNUMBER(I181),IF(I181&lt;0,"Expired",IF(I181&lt;=30,"Due ≤30 days",IF(I181&lt;=90,"Due ≤90 days","OK"))),"Check date"))</f>
        <v/>
      </c>
      <c r="K181" s="21" t="n"/>
      <c r="L181" s="21" t="n"/>
      <c r="M181" s="21" t="n"/>
      <c r="N181" s="21" t="n"/>
      <c r="O181" s="21" t="n"/>
      <c r="P181" s="21" t="n"/>
    </row>
    <row r="182">
      <c r="A182" s="21" t="n"/>
      <c r="B182" s="21" t="n"/>
      <c r="C182" s="21" t="n"/>
      <c r="D182" s="21" t="n"/>
      <c r="E182" s="22" t="n"/>
      <c r="F182" s="22" t="n"/>
      <c r="G182" s="23" t="n"/>
      <c r="H182" s="24">
        <f>IF(ISNUMBER(F182),F182-IF(ISNUMBER(G182),G182,30),"")</f>
        <v/>
      </c>
      <c r="I182" s="25">
        <f>IF(F182="","",IF(ISNUMBER(F182),F182-TODAY(),"Check date"))</f>
        <v/>
      </c>
      <c r="J182" s="26">
        <f>IF(I182="","",IF(ISNUMBER(I182),IF(I182&lt;0,"Expired",IF(I182&lt;=30,"Due ≤30 days",IF(I182&lt;=90,"Due ≤90 days","OK"))),"Check date"))</f>
        <v/>
      </c>
      <c r="K182" s="21" t="n"/>
      <c r="L182" s="21" t="n"/>
      <c r="M182" s="21" t="n"/>
      <c r="N182" s="21" t="n"/>
      <c r="O182" s="21" t="n"/>
      <c r="P182" s="21" t="n"/>
    </row>
    <row r="183">
      <c r="A183" s="21" t="n"/>
      <c r="B183" s="21" t="n"/>
      <c r="C183" s="21" t="n"/>
      <c r="D183" s="21" t="n"/>
      <c r="E183" s="22" t="n"/>
      <c r="F183" s="22" t="n"/>
      <c r="G183" s="23" t="n"/>
      <c r="H183" s="24">
        <f>IF(ISNUMBER(F183),F183-IF(ISNUMBER(G183),G183,30),"")</f>
        <v/>
      </c>
      <c r="I183" s="25">
        <f>IF(F183="","",IF(ISNUMBER(F183),F183-TODAY(),"Check date"))</f>
        <v/>
      </c>
      <c r="J183" s="26">
        <f>IF(I183="","",IF(ISNUMBER(I183),IF(I183&lt;0,"Expired",IF(I183&lt;=30,"Due ≤30 days",IF(I183&lt;=90,"Due ≤90 days","OK"))),"Check date"))</f>
        <v/>
      </c>
      <c r="K183" s="21" t="n"/>
      <c r="L183" s="21" t="n"/>
      <c r="M183" s="21" t="n"/>
      <c r="N183" s="21" t="n"/>
      <c r="O183" s="21" t="n"/>
      <c r="P183" s="21" t="n"/>
    </row>
    <row r="184">
      <c r="A184" s="21" t="n"/>
      <c r="B184" s="21" t="n"/>
      <c r="C184" s="21" t="n"/>
      <c r="D184" s="21" t="n"/>
      <c r="E184" s="22" t="n"/>
      <c r="F184" s="22" t="n"/>
      <c r="G184" s="23" t="n"/>
      <c r="H184" s="24">
        <f>IF(ISNUMBER(F184),F184-IF(ISNUMBER(G184),G184,30),"")</f>
        <v/>
      </c>
      <c r="I184" s="25">
        <f>IF(F184="","",IF(ISNUMBER(F184),F184-TODAY(),"Check date"))</f>
        <v/>
      </c>
      <c r="J184" s="26">
        <f>IF(I184="","",IF(ISNUMBER(I184),IF(I184&lt;0,"Expired",IF(I184&lt;=30,"Due ≤30 days",IF(I184&lt;=90,"Due ≤90 days","OK"))),"Check date"))</f>
        <v/>
      </c>
      <c r="K184" s="21" t="n"/>
      <c r="L184" s="21" t="n"/>
      <c r="M184" s="21" t="n"/>
      <c r="N184" s="21" t="n"/>
      <c r="O184" s="21" t="n"/>
      <c r="P184" s="21" t="n"/>
    </row>
    <row r="185">
      <c r="A185" s="21" t="n"/>
      <c r="B185" s="21" t="n"/>
      <c r="C185" s="21" t="n"/>
      <c r="D185" s="21" t="n"/>
      <c r="E185" s="22" t="n"/>
      <c r="F185" s="22" t="n"/>
      <c r="G185" s="23" t="n"/>
      <c r="H185" s="24">
        <f>IF(ISNUMBER(F185),F185-IF(ISNUMBER(G185),G185,30),"")</f>
        <v/>
      </c>
      <c r="I185" s="25">
        <f>IF(F185="","",IF(ISNUMBER(F185),F185-TODAY(),"Check date"))</f>
        <v/>
      </c>
      <c r="J185" s="26">
        <f>IF(I185="","",IF(ISNUMBER(I185),IF(I185&lt;0,"Expired",IF(I185&lt;=30,"Due ≤30 days",IF(I185&lt;=90,"Due ≤90 days","OK"))),"Check date"))</f>
        <v/>
      </c>
      <c r="K185" s="21" t="n"/>
      <c r="L185" s="21" t="n"/>
      <c r="M185" s="21" t="n"/>
      <c r="N185" s="21" t="n"/>
      <c r="O185" s="21" t="n"/>
      <c r="P185" s="21" t="n"/>
    </row>
    <row r="186">
      <c r="A186" s="21" t="n"/>
      <c r="B186" s="21" t="n"/>
      <c r="C186" s="21" t="n"/>
      <c r="D186" s="21" t="n"/>
      <c r="E186" s="22" t="n"/>
      <c r="F186" s="22" t="n"/>
      <c r="G186" s="23" t="n"/>
      <c r="H186" s="24">
        <f>IF(ISNUMBER(F186),F186-IF(ISNUMBER(G186),G186,30),"")</f>
        <v/>
      </c>
      <c r="I186" s="25">
        <f>IF(F186="","",IF(ISNUMBER(F186),F186-TODAY(),"Check date"))</f>
        <v/>
      </c>
      <c r="J186" s="26">
        <f>IF(I186="","",IF(ISNUMBER(I186),IF(I186&lt;0,"Expired",IF(I186&lt;=30,"Due ≤30 days",IF(I186&lt;=90,"Due ≤90 days","OK"))),"Check date"))</f>
        <v/>
      </c>
      <c r="K186" s="21" t="n"/>
      <c r="L186" s="21" t="n"/>
      <c r="M186" s="21" t="n"/>
      <c r="N186" s="21" t="n"/>
      <c r="O186" s="21" t="n"/>
      <c r="P186" s="21" t="n"/>
    </row>
    <row r="187">
      <c r="A187" s="21" t="n"/>
      <c r="B187" s="21" t="n"/>
      <c r="C187" s="21" t="n"/>
      <c r="D187" s="21" t="n"/>
      <c r="E187" s="22" t="n"/>
      <c r="F187" s="22" t="n"/>
      <c r="G187" s="23" t="n"/>
      <c r="H187" s="24">
        <f>IF(ISNUMBER(F187),F187-IF(ISNUMBER(G187),G187,30),"")</f>
        <v/>
      </c>
      <c r="I187" s="25">
        <f>IF(F187="","",IF(ISNUMBER(F187),F187-TODAY(),"Check date"))</f>
        <v/>
      </c>
      <c r="J187" s="26">
        <f>IF(I187="","",IF(ISNUMBER(I187),IF(I187&lt;0,"Expired",IF(I187&lt;=30,"Due ≤30 days",IF(I187&lt;=90,"Due ≤90 days","OK"))),"Check date"))</f>
        <v/>
      </c>
      <c r="K187" s="21" t="n"/>
      <c r="L187" s="21" t="n"/>
      <c r="M187" s="21" t="n"/>
      <c r="N187" s="21" t="n"/>
      <c r="O187" s="21" t="n"/>
      <c r="P187" s="21" t="n"/>
    </row>
    <row r="188">
      <c r="A188" s="21" t="n"/>
      <c r="B188" s="21" t="n"/>
      <c r="C188" s="21" t="n"/>
      <c r="D188" s="21" t="n"/>
      <c r="E188" s="22" t="n"/>
      <c r="F188" s="22" t="n"/>
      <c r="G188" s="23" t="n"/>
      <c r="H188" s="24">
        <f>IF(ISNUMBER(F188),F188-IF(ISNUMBER(G188),G188,30),"")</f>
        <v/>
      </c>
      <c r="I188" s="25">
        <f>IF(F188="","",IF(ISNUMBER(F188),F188-TODAY(),"Check date"))</f>
        <v/>
      </c>
      <c r="J188" s="26">
        <f>IF(I188="","",IF(ISNUMBER(I188),IF(I188&lt;0,"Expired",IF(I188&lt;=30,"Due ≤30 days",IF(I188&lt;=90,"Due ≤90 days","OK"))),"Check date"))</f>
        <v/>
      </c>
      <c r="K188" s="21" t="n"/>
      <c r="L188" s="21" t="n"/>
      <c r="M188" s="21" t="n"/>
      <c r="N188" s="21" t="n"/>
      <c r="O188" s="21" t="n"/>
      <c r="P188" s="21" t="n"/>
    </row>
    <row r="189">
      <c r="A189" s="21" t="n"/>
      <c r="B189" s="21" t="n"/>
      <c r="C189" s="21" t="n"/>
      <c r="D189" s="21" t="n"/>
      <c r="E189" s="22" t="n"/>
      <c r="F189" s="22" t="n"/>
      <c r="G189" s="23" t="n"/>
      <c r="H189" s="24">
        <f>IF(ISNUMBER(F189),F189-IF(ISNUMBER(G189),G189,30),"")</f>
        <v/>
      </c>
      <c r="I189" s="25">
        <f>IF(F189="","",IF(ISNUMBER(F189),F189-TODAY(),"Check date"))</f>
        <v/>
      </c>
      <c r="J189" s="26">
        <f>IF(I189="","",IF(ISNUMBER(I189),IF(I189&lt;0,"Expired",IF(I189&lt;=30,"Due ≤30 days",IF(I189&lt;=90,"Due ≤90 days","OK"))),"Check date"))</f>
        <v/>
      </c>
      <c r="K189" s="21" t="n"/>
      <c r="L189" s="21" t="n"/>
      <c r="M189" s="21" t="n"/>
      <c r="N189" s="21" t="n"/>
      <c r="O189" s="21" t="n"/>
      <c r="P189" s="21" t="n"/>
    </row>
    <row r="190">
      <c r="A190" s="21" t="n"/>
      <c r="B190" s="21" t="n"/>
      <c r="C190" s="21" t="n"/>
      <c r="D190" s="21" t="n"/>
      <c r="E190" s="22" t="n"/>
      <c r="F190" s="22" t="n"/>
      <c r="G190" s="23" t="n"/>
      <c r="H190" s="24">
        <f>IF(ISNUMBER(F190),F190-IF(ISNUMBER(G190),G190,30),"")</f>
        <v/>
      </c>
      <c r="I190" s="25">
        <f>IF(F190="","",IF(ISNUMBER(F190),F190-TODAY(),"Check date"))</f>
        <v/>
      </c>
      <c r="J190" s="26">
        <f>IF(I190="","",IF(ISNUMBER(I190),IF(I190&lt;0,"Expired",IF(I190&lt;=30,"Due ≤30 days",IF(I190&lt;=90,"Due ≤90 days","OK"))),"Check date"))</f>
        <v/>
      </c>
      <c r="K190" s="21" t="n"/>
      <c r="L190" s="21" t="n"/>
      <c r="M190" s="21" t="n"/>
      <c r="N190" s="21" t="n"/>
      <c r="O190" s="21" t="n"/>
      <c r="P190" s="21" t="n"/>
    </row>
    <row r="191">
      <c r="A191" s="21" t="n"/>
      <c r="B191" s="21" t="n"/>
      <c r="C191" s="21" t="n"/>
      <c r="D191" s="21" t="n"/>
      <c r="E191" s="22" t="n"/>
      <c r="F191" s="22" t="n"/>
      <c r="G191" s="23" t="n"/>
      <c r="H191" s="24">
        <f>IF(ISNUMBER(F191),F191-IF(ISNUMBER(G191),G191,30),"")</f>
        <v/>
      </c>
      <c r="I191" s="25">
        <f>IF(F191="","",IF(ISNUMBER(F191),F191-TODAY(),"Check date"))</f>
        <v/>
      </c>
      <c r="J191" s="26">
        <f>IF(I191="","",IF(ISNUMBER(I191),IF(I191&lt;0,"Expired",IF(I191&lt;=30,"Due ≤30 days",IF(I191&lt;=90,"Due ≤90 days","OK"))),"Check date"))</f>
        <v/>
      </c>
      <c r="K191" s="21" t="n"/>
      <c r="L191" s="21" t="n"/>
      <c r="M191" s="21" t="n"/>
      <c r="N191" s="21" t="n"/>
      <c r="O191" s="21" t="n"/>
      <c r="P191" s="21" t="n"/>
    </row>
    <row r="192">
      <c r="A192" s="21" t="n"/>
      <c r="B192" s="21" t="n"/>
      <c r="C192" s="21" t="n"/>
      <c r="D192" s="21" t="n"/>
      <c r="E192" s="22" t="n"/>
      <c r="F192" s="22" t="n"/>
      <c r="G192" s="23" t="n"/>
      <c r="H192" s="24">
        <f>IF(ISNUMBER(F192),F192-IF(ISNUMBER(G192),G192,30),"")</f>
        <v/>
      </c>
      <c r="I192" s="25">
        <f>IF(F192="","",IF(ISNUMBER(F192),F192-TODAY(),"Check date"))</f>
        <v/>
      </c>
      <c r="J192" s="26">
        <f>IF(I192="","",IF(ISNUMBER(I192),IF(I192&lt;0,"Expired",IF(I192&lt;=30,"Due ≤30 days",IF(I192&lt;=90,"Due ≤90 days","OK"))),"Check date"))</f>
        <v/>
      </c>
      <c r="K192" s="21" t="n"/>
      <c r="L192" s="21" t="n"/>
      <c r="M192" s="21" t="n"/>
      <c r="N192" s="21" t="n"/>
      <c r="O192" s="21" t="n"/>
      <c r="P192" s="21" t="n"/>
    </row>
    <row r="193">
      <c r="A193" s="21" t="n"/>
      <c r="B193" s="21" t="n"/>
      <c r="C193" s="21" t="n"/>
      <c r="D193" s="21" t="n"/>
      <c r="E193" s="22" t="n"/>
      <c r="F193" s="22" t="n"/>
      <c r="G193" s="23" t="n"/>
      <c r="H193" s="24">
        <f>IF(ISNUMBER(F193),F193-IF(ISNUMBER(G193),G193,30),"")</f>
        <v/>
      </c>
      <c r="I193" s="25">
        <f>IF(F193="","",IF(ISNUMBER(F193),F193-TODAY(),"Check date"))</f>
        <v/>
      </c>
      <c r="J193" s="26">
        <f>IF(I193="","",IF(ISNUMBER(I193),IF(I193&lt;0,"Expired",IF(I193&lt;=30,"Due ≤30 days",IF(I193&lt;=90,"Due ≤90 days","OK"))),"Check date"))</f>
        <v/>
      </c>
      <c r="K193" s="21" t="n"/>
      <c r="L193" s="21" t="n"/>
      <c r="M193" s="21" t="n"/>
      <c r="N193" s="21" t="n"/>
      <c r="O193" s="21" t="n"/>
      <c r="P193" s="21" t="n"/>
    </row>
    <row r="194">
      <c r="A194" s="21" t="n"/>
      <c r="B194" s="21" t="n"/>
      <c r="C194" s="21" t="n"/>
      <c r="D194" s="21" t="n"/>
      <c r="E194" s="22" t="n"/>
      <c r="F194" s="22" t="n"/>
      <c r="G194" s="23" t="n"/>
      <c r="H194" s="24">
        <f>IF(ISNUMBER(F194),F194-IF(ISNUMBER(G194),G194,30),"")</f>
        <v/>
      </c>
      <c r="I194" s="25">
        <f>IF(F194="","",IF(ISNUMBER(F194),F194-TODAY(),"Check date"))</f>
        <v/>
      </c>
      <c r="J194" s="26">
        <f>IF(I194="","",IF(ISNUMBER(I194),IF(I194&lt;0,"Expired",IF(I194&lt;=30,"Due ≤30 days",IF(I194&lt;=90,"Due ≤90 days","OK"))),"Check date"))</f>
        <v/>
      </c>
      <c r="K194" s="21" t="n"/>
      <c r="L194" s="21" t="n"/>
      <c r="M194" s="21" t="n"/>
      <c r="N194" s="21" t="n"/>
      <c r="O194" s="21" t="n"/>
      <c r="P194" s="21" t="n"/>
    </row>
    <row r="195">
      <c r="A195" s="21" t="n"/>
      <c r="B195" s="21" t="n"/>
      <c r="C195" s="21" t="n"/>
      <c r="D195" s="21" t="n"/>
      <c r="E195" s="22" t="n"/>
      <c r="F195" s="22" t="n"/>
      <c r="G195" s="23" t="n"/>
      <c r="H195" s="24">
        <f>IF(ISNUMBER(F195),F195-IF(ISNUMBER(G195),G195,30),"")</f>
        <v/>
      </c>
      <c r="I195" s="25">
        <f>IF(F195="","",IF(ISNUMBER(F195),F195-TODAY(),"Check date"))</f>
        <v/>
      </c>
      <c r="J195" s="26">
        <f>IF(I195="","",IF(ISNUMBER(I195),IF(I195&lt;0,"Expired",IF(I195&lt;=30,"Due ≤30 days",IF(I195&lt;=90,"Due ≤90 days","OK"))),"Check date"))</f>
        <v/>
      </c>
      <c r="K195" s="21" t="n"/>
      <c r="L195" s="21" t="n"/>
      <c r="M195" s="21" t="n"/>
      <c r="N195" s="21" t="n"/>
      <c r="O195" s="21" t="n"/>
      <c r="P195" s="21" t="n"/>
    </row>
    <row r="196">
      <c r="A196" s="21" t="n"/>
      <c r="B196" s="21" t="n"/>
      <c r="C196" s="21" t="n"/>
      <c r="D196" s="21" t="n"/>
      <c r="E196" s="22" t="n"/>
      <c r="F196" s="22" t="n"/>
      <c r="G196" s="23" t="n"/>
      <c r="H196" s="24">
        <f>IF(ISNUMBER(F196),F196-IF(ISNUMBER(G196),G196,30),"")</f>
        <v/>
      </c>
      <c r="I196" s="25">
        <f>IF(F196="","",IF(ISNUMBER(F196),F196-TODAY(),"Check date"))</f>
        <v/>
      </c>
      <c r="J196" s="26">
        <f>IF(I196="","",IF(ISNUMBER(I196),IF(I196&lt;0,"Expired",IF(I196&lt;=30,"Due ≤30 days",IF(I196&lt;=90,"Due ≤90 days","OK"))),"Check date"))</f>
        <v/>
      </c>
      <c r="K196" s="21" t="n"/>
      <c r="L196" s="21" t="n"/>
      <c r="M196" s="21" t="n"/>
      <c r="N196" s="21" t="n"/>
      <c r="O196" s="21" t="n"/>
      <c r="P196" s="21" t="n"/>
    </row>
    <row r="197">
      <c r="A197" s="21" t="n"/>
      <c r="B197" s="21" t="n"/>
      <c r="C197" s="21" t="n"/>
      <c r="D197" s="21" t="n"/>
      <c r="E197" s="22" t="n"/>
      <c r="F197" s="22" t="n"/>
      <c r="G197" s="23" t="n"/>
      <c r="H197" s="24">
        <f>IF(ISNUMBER(F197),F197-IF(ISNUMBER(G197),G197,30),"")</f>
        <v/>
      </c>
      <c r="I197" s="25">
        <f>IF(F197="","",IF(ISNUMBER(F197),F197-TODAY(),"Check date"))</f>
        <v/>
      </c>
      <c r="J197" s="26">
        <f>IF(I197="","",IF(ISNUMBER(I197),IF(I197&lt;0,"Expired",IF(I197&lt;=30,"Due ≤30 days",IF(I197&lt;=90,"Due ≤90 days","OK"))),"Check date"))</f>
        <v/>
      </c>
      <c r="K197" s="21" t="n"/>
      <c r="L197" s="21" t="n"/>
      <c r="M197" s="21" t="n"/>
      <c r="N197" s="21" t="n"/>
      <c r="O197" s="21" t="n"/>
      <c r="P197" s="21" t="n"/>
    </row>
    <row r="198">
      <c r="A198" s="21" t="n"/>
      <c r="B198" s="21" t="n"/>
      <c r="C198" s="21" t="n"/>
      <c r="D198" s="21" t="n"/>
      <c r="E198" s="22" t="n"/>
      <c r="F198" s="22" t="n"/>
      <c r="G198" s="23" t="n"/>
      <c r="H198" s="24">
        <f>IF(ISNUMBER(F198),F198-IF(ISNUMBER(G198),G198,30),"")</f>
        <v/>
      </c>
      <c r="I198" s="25">
        <f>IF(F198="","",IF(ISNUMBER(F198),F198-TODAY(),"Check date"))</f>
        <v/>
      </c>
      <c r="J198" s="26">
        <f>IF(I198="","",IF(ISNUMBER(I198),IF(I198&lt;0,"Expired",IF(I198&lt;=30,"Due ≤30 days",IF(I198&lt;=90,"Due ≤90 days","OK"))),"Check date"))</f>
        <v/>
      </c>
      <c r="K198" s="21" t="n"/>
      <c r="L198" s="21" t="n"/>
      <c r="M198" s="21" t="n"/>
      <c r="N198" s="21" t="n"/>
      <c r="O198" s="21" t="n"/>
      <c r="P198" s="21" t="n"/>
    </row>
    <row r="199">
      <c r="A199" s="21" t="n"/>
      <c r="B199" s="21" t="n"/>
      <c r="C199" s="21" t="n"/>
      <c r="D199" s="21" t="n"/>
      <c r="E199" s="22" t="n"/>
      <c r="F199" s="22" t="n"/>
      <c r="G199" s="23" t="n"/>
      <c r="H199" s="24">
        <f>IF(ISNUMBER(F199),F199-IF(ISNUMBER(G199),G199,30),"")</f>
        <v/>
      </c>
      <c r="I199" s="25">
        <f>IF(F199="","",IF(ISNUMBER(F199),F199-TODAY(),"Check date"))</f>
        <v/>
      </c>
      <c r="J199" s="26">
        <f>IF(I199="","",IF(ISNUMBER(I199),IF(I199&lt;0,"Expired",IF(I199&lt;=30,"Due ≤30 days",IF(I199&lt;=90,"Due ≤90 days","OK"))),"Check date"))</f>
        <v/>
      </c>
      <c r="K199" s="21" t="n"/>
      <c r="L199" s="21" t="n"/>
      <c r="M199" s="21" t="n"/>
      <c r="N199" s="21" t="n"/>
      <c r="O199" s="21" t="n"/>
      <c r="P199" s="21" t="n"/>
    </row>
    <row r="200">
      <c r="A200" s="21" t="n"/>
      <c r="B200" s="21" t="n"/>
      <c r="C200" s="21" t="n"/>
      <c r="D200" s="21" t="n"/>
      <c r="E200" s="22" t="n"/>
      <c r="F200" s="22" t="n"/>
      <c r="G200" s="23" t="n"/>
      <c r="H200" s="24">
        <f>IF(ISNUMBER(F200),F200-IF(ISNUMBER(G200),G200,30),"")</f>
        <v/>
      </c>
      <c r="I200" s="25">
        <f>IF(F200="","",IF(ISNUMBER(F200),F200-TODAY(),"Check date"))</f>
        <v/>
      </c>
      <c r="J200" s="26">
        <f>IF(I200="","",IF(ISNUMBER(I200),IF(I200&lt;0,"Expired",IF(I200&lt;=30,"Due ≤30 days",IF(I200&lt;=90,"Due ≤90 days","OK"))),"Check date"))</f>
        <v/>
      </c>
      <c r="K200" s="21" t="n"/>
      <c r="L200" s="21" t="n"/>
      <c r="M200" s="21" t="n"/>
      <c r="N200" s="21" t="n"/>
      <c r="O200" s="21" t="n"/>
      <c r="P200" s="21" t="n"/>
    </row>
    <row r="201">
      <c r="A201" s="21" t="n"/>
      <c r="B201" s="21" t="n"/>
      <c r="C201" s="21" t="n"/>
      <c r="D201" s="21" t="n"/>
      <c r="E201" s="22" t="n"/>
      <c r="F201" s="22" t="n"/>
      <c r="G201" s="23" t="n"/>
      <c r="H201" s="24">
        <f>IF(ISNUMBER(F201),F201-IF(ISNUMBER(G201),G201,30),"")</f>
        <v/>
      </c>
      <c r="I201" s="25">
        <f>IF(F201="","",IF(ISNUMBER(F201),F201-TODAY(),"Check date"))</f>
        <v/>
      </c>
      <c r="J201" s="26">
        <f>IF(I201="","",IF(ISNUMBER(I201),IF(I201&lt;0,"Expired",IF(I201&lt;=30,"Due ≤30 days",IF(I201&lt;=90,"Due ≤90 days","OK"))),"Check date"))</f>
        <v/>
      </c>
      <c r="K201" s="21" t="n"/>
      <c r="L201" s="21" t="n"/>
      <c r="M201" s="21" t="n"/>
      <c r="N201" s="21" t="n"/>
      <c r="O201" s="21" t="n"/>
      <c r="P201" s="21" t="n"/>
    </row>
    <row r="202">
      <c r="A202" s="21" t="n"/>
      <c r="B202" s="21" t="n"/>
      <c r="C202" s="21" t="n"/>
      <c r="D202" s="21" t="n"/>
      <c r="E202" s="22" t="n"/>
      <c r="F202" s="22" t="n"/>
      <c r="G202" s="23" t="n"/>
      <c r="H202" s="24">
        <f>IF(ISNUMBER(F202),F202-IF(ISNUMBER(G202),G202,30),"")</f>
        <v/>
      </c>
      <c r="I202" s="25">
        <f>IF(F202="","",IF(ISNUMBER(F202),F202-TODAY(),"Check date"))</f>
        <v/>
      </c>
      <c r="J202" s="26">
        <f>IF(I202="","",IF(ISNUMBER(I202),IF(I202&lt;0,"Expired",IF(I202&lt;=30,"Due ≤30 days",IF(I202&lt;=90,"Due ≤90 days","OK"))),"Check date"))</f>
        <v/>
      </c>
      <c r="K202" s="21" t="n"/>
      <c r="L202" s="21" t="n"/>
      <c r="M202" s="21" t="n"/>
      <c r="N202" s="21" t="n"/>
      <c r="O202" s="21" t="n"/>
      <c r="P202" s="21" t="n"/>
    </row>
    <row r="203">
      <c r="A203" s="21" t="n"/>
      <c r="B203" s="21" t="n"/>
      <c r="C203" s="21" t="n"/>
      <c r="D203" s="21" t="n"/>
      <c r="E203" s="22" t="n"/>
      <c r="F203" s="22" t="n"/>
      <c r="G203" s="23" t="n"/>
      <c r="H203" s="24">
        <f>IF(ISNUMBER(F203),F203-IF(ISNUMBER(G203),G203,30),"")</f>
        <v/>
      </c>
      <c r="I203" s="25">
        <f>IF(F203="","",IF(ISNUMBER(F203),F203-TODAY(),"Check date"))</f>
        <v/>
      </c>
      <c r="J203" s="26">
        <f>IF(I203="","",IF(ISNUMBER(I203),IF(I203&lt;0,"Expired",IF(I203&lt;=30,"Due ≤30 days",IF(I203&lt;=90,"Due ≤90 days","OK"))),"Check date"))</f>
        <v/>
      </c>
      <c r="K203" s="21" t="n"/>
      <c r="L203" s="21" t="n"/>
      <c r="M203" s="21" t="n"/>
      <c r="N203" s="21" t="n"/>
      <c r="O203" s="21" t="n"/>
      <c r="P203" s="21" t="n"/>
    </row>
    <row r="204">
      <c r="A204" s="21" t="n"/>
      <c r="B204" s="21" t="n"/>
      <c r="C204" s="21" t="n"/>
      <c r="D204" s="21" t="n"/>
      <c r="E204" s="22" t="n"/>
      <c r="F204" s="22" t="n"/>
      <c r="G204" s="23" t="n"/>
      <c r="H204" s="24">
        <f>IF(ISNUMBER(F204),F204-IF(ISNUMBER(G204),G204,30),"")</f>
        <v/>
      </c>
      <c r="I204" s="25">
        <f>IF(F204="","",IF(ISNUMBER(F204),F204-TODAY(),"Check date"))</f>
        <v/>
      </c>
      <c r="J204" s="26">
        <f>IF(I204="","",IF(ISNUMBER(I204),IF(I204&lt;0,"Expired",IF(I204&lt;=30,"Due ≤30 days",IF(I204&lt;=90,"Due ≤90 days","OK"))),"Check date"))</f>
        <v/>
      </c>
      <c r="K204" s="21" t="n"/>
      <c r="L204" s="21" t="n"/>
      <c r="M204" s="21" t="n"/>
      <c r="N204" s="21" t="n"/>
      <c r="O204" s="21" t="n"/>
      <c r="P204" s="21" t="n"/>
    </row>
    <row r="205">
      <c r="A205" s="21" t="n"/>
      <c r="B205" s="21" t="n"/>
      <c r="C205" s="21" t="n"/>
      <c r="D205" s="21" t="n"/>
      <c r="E205" s="22" t="n"/>
      <c r="F205" s="22" t="n"/>
      <c r="G205" s="23" t="n"/>
      <c r="H205" s="24">
        <f>IF(ISNUMBER(F205),F205-IF(ISNUMBER(G205),G205,30),"")</f>
        <v/>
      </c>
      <c r="I205" s="25">
        <f>IF(F205="","",IF(ISNUMBER(F205),F205-TODAY(),"Check date"))</f>
        <v/>
      </c>
      <c r="J205" s="26">
        <f>IF(I205="","",IF(ISNUMBER(I205),IF(I205&lt;0,"Expired",IF(I205&lt;=30,"Due ≤30 days",IF(I205&lt;=90,"Due ≤90 days","OK"))),"Check date"))</f>
        <v/>
      </c>
      <c r="K205" s="21" t="n"/>
      <c r="L205" s="21" t="n"/>
      <c r="M205" s="21" t="n"/>
      <c r="N205" s="21" t="n"/>
      <c r="O205" s="21" t="n"/>
      <c r="P205" s="21" t="n"/>
    </row>
    <row r="206">
      <c r="A206" s="21" t="n"/>
      <c r="B206" s="21" t="n"/>
      <c r="C206" s="21" t="n"/>
      <c r="D206" s="21" t="n"/>
      <c r="E206" s="22" t="n"/>
      <c r="F206" s="22" t="n"/>
      <c r="G206" s="23" t="n"/>
      <c r="H206" s="24">
        <f>IF(ISNUMBER(F206),F206-IF(ISNUMBER(G206),G206,30),"")</f>
        <v/>
      </c>
      <c r="I206" s="25">
        <f>IF(F206="","",IF(ISNUMBER(F206),F206-TODAY(),"Check date"))</f>
        <v/>
      </c>
      <c r="J206" s="26">
        <f>IF(I206="","",IF(ISNUMBER(I206),IF(I206&lt;0,"Expired",IF(I206&lt;=30,"Due ≤30 days",IF(I206&lt;=90,"Due ≤90 days","OK"))),"Check date"))</f>
        <v/>
      </c>
      <c r="K206" s="21" t="n"/>
      <c r="L206" s="21" t="n"/>
      <c r="M206" s="21" t="n"/>
      <c r="N206" s="21" t="n"/>
      <c r="O206" s="21" t="n"/>
      <c r="P206" s="21" t="n"/>
    </row>
    <row r="207">
      <c r="A207" s="21" t="n"/>
      <c r="B207" s="21" t="n"/>
      <c r="C207" s="21" t="n"/>
      <c r="D207" s="21" t="n"/>
      <c r="E207" s="22" t="n"/>
      <c r="F207" s="22" t="n"/>
      <c r="G207" s="23" t="n"/>
      <c r="H207" s="24">
        <f>IF(ISNUMBER(F207),F207-IF(ISNUMBER(G207),G207,30),"")</f>
        <v/>
      </c>
      <c r="I207" s="25">
        <f>IF(F207="","",IF(ISNUMBER(F207),F207-TODAY(),"Check date"))</f>
        <v/>
      </c>
      <c r="J207" s="26">
        <f>IF(I207="","",IF(ISNUMBER(I207),IF(I207&lt;0,"Expired",IF(I207&lt;=30,"Due ≤30 days",IF(I207&lt;=90,"Due ≤90 days","OK"))),"Check date"))</f>
        <v/>
      </c>
      <c r="K207" s="21" t="n"/>
      <c r="L207" s="21" t="n"/>
      <c r="M207" s="21" t="n"/>
      <c r="N207" s="21" t="n"/>
      <c r="O207" s="21" t="n"/>
      <c r="P207" s="21" t="n"/>
    </row>
    <row r="208">
      <c r="A208" s="21" t="n"/>
      <c r="B208" s="21" t="n"/>
      <c r="C208" s="21" t="n"/>
      <c r="D208" s="21" t="n"/>
      <c r="E208" s="22" t="n"/>
      <c r="F208" s="22" t="n"/>
      <c r="G208" s="23" t="n"/>
      <c r="H208" s="24">
        <f>IF(ISNUMBER(F208),F208-IF(ISNUMBER(G208),G208,30),"")</f>
        <v/>
      </c>
      <c r="I208" s="25">
        <f>IF(F208="","",IF(ISNUMBER(F208),F208-TODAY(),"Check date"))</f>
        <v/>
      </c>
      <c r="J208" s="26">
        <f>IF(I208="","",IF(ISNUMBER(I208),IF(I208&lt;0,"Expired",IF(I208&lt;=30,"Due ≤30 days",IF(I208&lt;=90,"Due ≤90 days","OK"))),"Check date"))</f>
        <v/>
      </c>
      <c r="K208" s="21" t="n"/>
      <c r="L208" s="21" t="n"/>
      <c r="M208" s="21" t="n"/>
      <c r="N208" s="21" t="n"/>
      <c r="O208" s="21" t="n"/>
      <c r="P208" s="21" t="n"/>
    </row>
    <row r="209">
      <c r="A209" s="21" t="n"/>
      <c r="B209" s="21" t="n"/>
      <c r="C209" s="21" t="n"/>
      <c r="D209" s="21" t="n"/>
      <c r="E209" s="22" t="n"/>
      <c r="F209" s="22" t="n"/>
      <c r="G209" s="23" t="n"/>
      <c r="H209" s="24">
        <f>IF(ISNUMBER(F209),F209-IF(ISNUMBER(G209),G209,30),"")</f>
        <v/>
      </c>
      <c r="I209" s="25">
        <f>IF(F209="","",IF(ISNUMBER(F209),F209-TODAY(),"Check date"))</f>
        <v/>
      </c>
      <c r="J209" s="26">
        <f>IF(I209="","",IF(ISNUMBER(I209),IF(I209&lt;0,"Expired",IF(I209&lt;=30,"Due ≤30 days",IF(I209&lt;=90,"Due ≤90 days","OK"))),"Check date"))</f>
        <v/>
      </c>
      <c r="K209" s="21" t="n"/>
      <c r="L209" s="21" t="n"/>
      <c r="M209" s="21" t="n"/>
      <c r="N209" s="21" t="n"/>
      <c r="O209" s="21" t="n"/>
      <c r="P209" s="21" t="n"/>
    </row>
    <row r="210">
      <c r="A210" s="21" t="n"/>
      <c r="B210" s="21" t="n"/>
      <c r="C210" s="21" t="n"/>
      <c r="D210" s="21" t="n"/>
      <c r="E210" s="22" t="n"/>
      <c r="F210" s="22" t="n"/>
      <c r="G210" s="23" t="n"/>
      <c r="H210" s="24">
        <f>IF(ISNUMBER(F210),F210-IF(ISNUMBER(G210),G210,30),"")</f>
        <v/>
      </c>
      <c r="I210" s="25">
        <f>IF(F210="","",IF(ISNUMBER(F210),F210-TODAY(),"Check date"))</f>
        <v/>
      </c>
      <c r="J210" s="26">
        <f>IF(I210="","",IF(ISNUMBER(I210),IF(I210&lt;0,"Expired",IF(I210&lt;=30,"Due ≤30 days",IF(I210&lt;=90,"Due ≤90 days","OK"))),"Check date"))</f>
        <v/>
      </c>
      <c r="K210" s="21" t="n"/>
      <c r="L210" s="21" t="n"/>
      <c r="M210" s="21" t="n"/>
      <c r="N210" s="21" t="n"/>
      <c r="O210" s="21" t="n"/>
      <c r="P210" s="21" t="n"/>
    </row>
    <row r="211">
      <c r="A211" s="21" t="n"/>
      <c r="B211" s="21" t="n"/>
      <c r="C211" s="21" t="n"/>
      <c r="D211" s="21" t="n"/>
      <c r="E211" s="22" t="n"/>
      <c r="F211" s="22" t="n"/>
      <c r="G211" s="23" t="n"/>
      <c r="H211" s="24">
        <f>IF(ISNUMBER(F211),F211-IF(ISNUMBER(G211),G211,30),"")</f>
        <v/>
      </c>
      <c r="I211" s="25">
        <f>IF(F211="","",IF(ISNUMBER(F211),F211-TODAY(),"Check date"))</f>
        <v/>
      </c>
      <c r="J211" s="26">
        <f>IF(I211="","",IF(ISNUMBER(I211),IF(I211&lt;0,"Expired",IF(I211&lt;=30,"Due ≤30 days",IF(I211&lt;=90,"Due ≤90 days","OK"))),"Check date"))</f>
        <v/>
      </c>
      <c r="K211" s="21" t="n"/>
      <c r="L211" s="21" t="n"/>
      <c r="M211" s="21" t="n"/>
      <c r="N211" s="21" t="n"/>
      <c r="O211" s="21" t="n"/>
      <c r="P211" s="21" t="n"/>
    </row>
    <row r="212">
      <c r="A212" s="21" t="n"/>
      <c r="B212" s="21" t="n"/>
      <c r="C212" s="21" t="n"/>
      <c r="D212" s="21" t="n"/>
      <c r="E212" s="22" t="n"/>
      <c r="F212" s="22" t="n"/>
      <c r="G212" s="23" t="n"/>
      <c r="H212" s="24">
        <f>IF(ISNUMBER(F212),F212-IF(ISNUMBER(G212),G212,30),"")</f>
        <v/>
      </c>
      <c r="I212" s="25">
        <f>IF(F212="","",IF(ISNUMBER(F212),F212-TODAY(),"Check date"))</f>
        <v/>
      </c>
      <c r="J212" s="26">
        <f>IF(I212="","",IF(ISNUMBER(I212),IF(I212&lt;0,"Expired",IF(I212&lt;=30,"Due ≤30 days",IF(I212&lt;=90,"Due ≤90 days","OK"))),"Check date"))</f>
        <v/>
      </c>
      <c r="K212" s="21" t="n"/>
      <c r="L212" s="21" t="n"/>
      <c r="M212" s="21" t="n"/>
      <c r="N212" s="21" t="n"/>
      <c r="O212" s="21" t="n"/>
      <c r="P212" s="21" t="n"/>
    </row>
    <row r="213">
      <c r="A213" s="21" t="n"/>
      <c r="B213" s="21" t="n"/>
      <c r="C213" s="21" t="n"/>
      <c r="D213" s="21" t="n"/>
      <c r="E213" s="22" t="n"/>
      <c r="F213" s="22" t="n"/>
      <c r="G213" s="23" t="n"/>
      <c r="H213" s="24">
        <f>IF(ISNUMBER(F213),F213-IF(ISNUMBER(G213),G213,30),"")</f>
        <v/>
      </c>
      <c r="I213" s="25">
        <f>IF(F213="","",IF(ISNUMBER(F213),F213-TODAY(),"Check date"))</f>
        <v/>
      </c>
      <c r="J213" s="26">
        <f>IF(I213="","",IF(ISNUMBER(I213),IF(I213&lt;0,"Expired",IF(I213&lt;=30,"Due ≤30 days",IF(I213&lt;=90,"Due ≤90 days","OK"))),"Check date"))</f>
        <v/>
      </c>
      <c r="K213" s="21" t="n"/>
      <c r="L213" s="21" t="n"/>
      <c r="M213" s="21" t="n"/>
      <c r="N213" s="21" t="n"/>
      <c r="O213" s="21" t="n"/>
      <c r="P213" s="21" t="n"/>
    </row>
    <row r="214">
      <c r="A214" s="21" t="n"/>
      <c r="B214" s="21" t="n"/>
      <c r="C214" s="21" t="n"/>
      <c r="D214" s="21" t="n"/>
      <c r="E214" s="22" t="n"/>
      <c r="F214" s="22" t="n"/>
      <c r="G214" s="23" t="n"/>
      <c r="H214" s="24">
        <f>IF(ISNUMBER(F214),F214-IF(ISNUMBER(G214),G214,30),"")</f>
        <v/>
      </c>
      <c r="I214" s="25">
        <f>IF(F214="","",IF(ISNUMBER(F214),F214-TODAY(),"Check date"))</f>
        <v/>
      </c>
      <c r="J214" s="26">
        <f>IF(I214="","",IF(ISNUMBER(I214),IF(I214&lt;0,"Expired",IF(I214&lt;=30,"Due ≤30 days",IF(I214&lt;=90,"Due ≤90 days","OK"))),"Check date"))</f>
        <v/>
      </c>
      <c r="K214" s="21" t="n"/>
      <c r="L214" s="21" t="n"/>
      <c r="M214" s="21" t="n"/>
      <c r="N214" s="21" t="n"/>
      <c r="O214" s="21" t="n"/>
      <c r="P214" s="21" t="n"/>
    </row>
    <row r="215">
      <c r="A215" s="21" t="n"/>
      <c r="B215" s="21" t="n"/>
      <c r="C215" s="21" t="n"/>
      <c r="D215" s="21" t="n"/>
      <c r="E215" s="22" t="n"/>
      <c r="F215" s="22" t="n"/>
      <c r="G215" s="23" t="n"/>
      <c r="H215" s="24">
        <f>IF(ISNUMBER(F215),F215-IF(ISNUMBER(G215),G215,30),"")</f>
        <v/>
      </c>
      <c r="I215" s="25">
        <f>IF(F215="","",IF(ISNUMBER(F215),F215-TODAY(),"Check date"))</f>
        <v/>
      </c>
      <c r="J215" s="26">
        <f>IF(I215="","",IF(ISNUMBER(I215),IF(I215&lt;0,"Expired",IF(I215&lt;=30,"Due ≤30 days",IF(I215&lt;=90,"Due ≤90 days","OK"))),"Check date"))</f>
        <v/>
      </c>
      <c r="K215" s="21" t="n"/>
      <c r="L215" s="21" t="n"/>
      <c r="M215" s="21" t="n"/>
      <c r="N215" s="21" t="n"/>
      <c r="O215" s="21" t="n"/>
      <c r="P215" s="21" t="n"/>
    </row>
    <row r="216">
      <c r="A216" s="21" t="n"/>
      <c r="B216" s="21" t="n"/>
      <c r="C216" s="21" t="n"/>
      <c r="D216" s="21" t="n"/>
      <c r="E216" s="22" t="n"/>
      <c r="F216" s="22" t="n"/>
      <c r="G216" s="23" t="n"/>
      <c r="H216" s="24">
        <f>IF(ISNUMBER(F216),F216-IF(ISNUMBER(G216),G216,30),"")</f>
        <v/>
      </c>
      <c r="I216" s="25">
        <f>IF(F216="","",IF(ISNUMBER(F216),F216-TODAY(),"Check date"))</f>
        <v/>
      </c>
      <c r="J216" s="26">
        <f>IF(I216="","",IF(ISNUMBER(I216),IF(I216&lt;0,"Expired",IF(I216&lt;=30,"Due ≤30 days",IF(I216&lt;=90,"Due ≤90 days","OK"))),"Check date"))</f>
        <v/>
      </c>
      <c r="K216" s="21" t="n"/>
      <c r="L216" s="21" t="n"/>
      <c r="M216" s="21" t="n"/>
      <c r="N216" s="21" t="n"/>
      <c r="O216" s="21" t="n"/>
      <c r="P216" s="21" t="n"/>
    </row>
    <row r="217">
      <c r="A217" s="21" t="n"/>
      <c r="B217" s="21" t="n"/>
      <c r="C217" s="21" t="n"/>
      <c r="D217" s="21" t="n"/>
      <c r="E217" s="22" t="n"/>
      <c r="F217" s="22" t="n"/>
      <c r="G217" s="23" t="n"/>
      <c r="H217" s="24">
        <f>IF(ISNUMBER(F217),F217-IF(ISNUMBER(G217),G217,30),"")</f>
        <v/>
      </c>
      <c r="I217" s="25">
        <f>IF(F217="","",IF(ISNUMBER(F217),F217-TODAY(),"Check date"))</f>
        <v/>
      </c>
      <c r="J217" s="26">
        <f>IF(I217="","",IF(ISNUMBER(I217),IF(I217&lt;0,"Expired",IF(I217&lt;=30,"Due ≤30 days",IF(I217&lt;=90,"Due ≤90 days","OK"))),"Check date"))</f>
        <v/>
      </c>
      <c r="K217" s="21" t="n"/>
      <c r="L217" s="21" t="n"/>
      <c r="M217" s="21" t="n"/>
      <c r="N217" s="21" t="n"/>
      <c r="O217" s="21" t="n"/>
      <c r="P217" s="21" t="n"/>
    </row>
    <row r="218">
      <c r="A218" s="21" t="n"/>
      <c r="B218" s="21" t="n"/>
      <c r="C218" s="21" t="n"/>
      <c r="D218" s="21" t="n"/>
      <c r="E218" s="22" t="n"/>
      <c r="F218" s="22" t="n"/>
      <c r="G218" s="23" t="n"/>
      <c r="H218" s="24">
        <f>IF(ISNUMBER(F218),F218-IF(ISNUMBER(G218),G218,30),"")</f>
        <v/>
      </c>
      <c r="I218" s="25">
        <f>IF(F218="","",IF(ISNUMBER(F218),F218-TODAY(),"Check date"))</f>
        <v/>
      </c>
      <c r="J218" s="26">
        <f>IF(I218="","",IF(ISNUMBER(I218),IF(I218&lt;0,"Expired",IF(I218&lt;=30,"Due ≤30 days",IF(I218&lt;=90,"Due ≤90 days","OK"))),"Check date"))</f>
        <v/>
      </c>
      <c r="K218" s="21" t="n"/>
      <c r="L218" s="21" t="n"/>
      <c r="M218" s="21" t="n"/>
      <c r="N218" s="21" t="n"/>
      <c r="O218" s="21" t="n"/>
      <c r="P218" s="21" t="n"/>
    </row>
    <row r="219">
      <c r="A219" s="21" t="n"/>
      <c r="B219" s="21" t="n"/>
      <c r="C219" s="21" t="n"/>
      <c r="D219" s="21" t="n"/>
      <c r="E219" s="22" t="n"/>
      <c r="F219" s="22" t="n"/>
      <c r="G219" s="23" t="n"/>
      <c r="H219" s="24">
        <f>IF(ISNUMBER(F219),F219-IF(ISNUMBER(G219),G219,30),"")</f>
        <v/>
      </c>
      <c r="I219" s="25">
        <f>IF(F219="","",IF(ISNUMBER(F219),F219-TODAY(),"Check date"))</f>
        <v/>
      </c>
      <c r="J219" s="26">
        <f>IF(I219="","",IF(ISNUMBER(I219),IF(I219&lt;0,"Expired",IF(I219&lt;=30,"Due ≤30 days",IF(I219&lt;=90,"Due ≤90 days","OK"))),"Check date"))</f>
        <v/>
      </c>
      <c r="K219" s="21" t="n"/>
      <c r="L219" s="21" t="n"/>
      <c r="M219" s="21" t="n"/>
      <c r="N219" s="21" t="n"/>
      <c r="O219" s="21" t="n"/>
      <c r="P219" s="21" t="n"/>
    </row>
    <row r="220">
      <c r="A220" s="21" t="n"/>
      <c r="B220" s="21" t="n"/>
      <c r="C220" s="21" t="n"/>
      <c r="D220" s="21" t="n"/>
      <c r="E220" s="22" t="n"/>
      <c r="F220" s="22" t="n"/>
      <c r="G220" s="23" t="n"/>
      <c r="H220" s="24">
        <f>IF(ISNUMBER(F220),F220-IF(ISNUMBER(G220),G220,30),"")</f>
        <v/>
      </c>
      <c r="I220" s="25">
        <f>IF(F220="","",IF(ISNUMBER(F220),F220-TODAY(),"Check date"))</f>
        <v/>
      </c>
      <c r="J220" s="26">
        <f>IF(I220="","",IF(ISNUMBER(I220),IF(I220&lt;0,"Expired",IF(I220&lt;=30,"Due ≤30 days",IF(I220&lt;=90,"Due ≤90 days","OK"))),"Check date"))</f>
        <v/>
      </c>
      <c r="K220" s="21" t="n"/>
      <c r="L220" s="21" t="n"/>
      <c r="M220" s="21" t="n"/>
      <c r="N220" s="21" t="n"/>
      <c r="O220" s="21" t="n"/>
      <c r="P220" s="21" t="n"/>
    </row>
    <row r="221">
      <c r="A221" s="21" t="n"/>
      <c r="B221" s="21" t="n"/>
      <c r="C221" s="21" t="n"/>
      <c r="D221" s="21" t="n"/>
      <c r="E221" s="22" t="n"/>
      <c r="F221" s="22" t="n"/>
      <c r="G221" s="23" t="n"/>
      <c r="H221" s="24">
        <f>IF(ISNUMBER(F221),F221-IF(ISNUMBER(G221),G221,30),"")</f>
        <v/>
      </c>
      <c r="I221" s="25">
        <f>IF(F221="","",IF(ISNUMBER(F221),F221-TODAY(),"Check date"))</f>
        <v/>
      </c>
      <c r="J221" s="26">
        <f>IF(I221="","",IF(ISNUMBER(I221),IF(I221&lt;0,"Expired",IF(I221&lt;=30,"Due ≤30 days",IF(I221&lt;=90,"Due ≤90 days","OK"))),"Check date"))</f>
        <v/>
      </c>
      <c r="K221" s="21" t="n"/>
      <c r="L221" s="21" t="n"/>
      <c r="M221" s="21" t="n"/>
      <c r="N221" s="21" t="n"/>
      <c r="O221" s="21" t="n"/>
      <c r="P221" s="21" t="n"/>
    </row>
    <row r="222">
      <c r="A222" s="21" t="n"/>
      <c r="B222" s="21" t="n"/>
      <c r="C222" s="21" t="n"/>
      <c r="D222" s="21" t="n"/>
      <c r="E222" s="22" t="n"/>
      <c r="F222" s="22" t="n"/>
      <c r="G222" s="23" t="n"/>
      <c r="H222" s="24">
        <f>IF(ISNUMBER(F222),F222-IF(ISNUMBER(G222),G222,30),"")</f>
        <v/>
      </c>
      <c r="I222" s="25">
        <f>IF(F222="","",IF(ISNUMBER(F222),F222-TODAY(),"Check date"))</f>
        <v/>
      </c>
      <c r="J222" s="26">
        <f>IF(I222="","",IF(ISNUMBER(I222),IF(I222&lt;0,"Expired",IF(I222&lt;=30,"Due ≤30 days",IF(I222&lt;=90,"Due ≤90 days","OK"))),"Check date"))</f>
        <v/>
      </c>
      <c r="K222" s="21" t="n"/>
      <c r="L222" s="21" t="n"/>
      <c r="M222" s="21" t="n"/>
      <c r="N222" s="21" t="n"/>
      <c r="O222" s="21" t="n"/>
      <c r="P222" s="21" t="n"/>
    </row>
    <row r="223">
      <c r="A223" s="21" t="n"/>
      <c r="B223" s="21" t="n"/>
      <c r="C223" s="21" t="n"/>
      <c r="D223" s="21" t="n"/>
      <c r="E223" s="22" t="n"/>
      <c r="F223" s="22" t="n"/>
      <c r="G223" s="23" t="n"/>
      <c r="H223" s="24">
        <f>IF(ISNUMBER(F223),F223-IF(ISNUMBER(G223),G223,30),"")</f>
        <v/>
      </c>
      <c r="I223" s="25">
        <f>IF(F223="","",IF(ISNUMBER(F223),F223-TODAY(),"Check date"))</f>
        <v/>
      </c>
      <c r="J223" s="26">
        <f>IF(I223="","",IF(ISNUMBER(I223),IF(I223&lt;0,"Expired",IF(I223&lt;=30,"Due ≤30 days",IF(I223&lt;=90,"Due ≤90 days","OK"))),"Check date"))</f>
        <v/>
      </c>
      <c r="K223" s="21" t="n"/>
      <c r="L223" s="21" t="n"/>
      <c r="M223" s="21" t="n"/>
      <c r="N223" s="21" t="n"/>
      <c r="O223" s="21" t="n"/>
      <c r="P223" s="21" t="n"/>
    </row>
    <row r="224">
      <c r="A224" s="21" t="n"/>
      <c r="B224" s="21" t="n"/>
      <c r="C224" s="21" t="n"/>
      <c r="D224" s="21" t="n"/>
      <c r="E224" s="22" t="n"/>
      <c r="F224" s="22" t="n"/>
      <c r="G224" s="23" t="n"/>
      <c r="H224" s="24">
        <f>IF(ISNUMBER(F224),F224-IF(ISNUMBER(G224),G224,30),"")</f>
        <v/>
      </c>
      <c r="I224" s="25">
        <f>IF(F224="","",IF(ISNUMBER(F224),F224-TODAY(),"Check date"))</f>
        <v/>
      </c>
      <c r="J224" s="26">
        <f>IF(I224="","",IF(ISNUMBER(I224),IF(I224&lt;0,"Expired",IF(I224&lt;=30,"Due ≤30 days",IF(I224&lt;=90,"Due ≤90 days","OK"))),"Check date"))</f>
        <v/>
      </c>
      <c r="K224" s="21" t="n"/>
      <c r="L224" s="21" t="n"/>
      <c r="M224" s="21" t="n"/>
      <c r="N224" s="21" t="n"/>
      <c r="O224" s="21" t="n"/>
      <c r="P224" s="21" t="n"/>
    </row>
    <row r="225">
      <c r="A225" s="21" t="n"/>
      <c r="B225" s="21" t="n"/>
      <c r="C225" s="21" t="n"/>
      <c r="D225" s="21" t="n"/>
      <c r="E225" s="22" t="n"/>
      <c r="F225" s="22" t="n"/>
      <c r="G225" s="23" t="n"/>
      <c r="H225" s="24">
        <f>IF(ISNUMBER(F225),F225-IF(ISNUMBER(G225),G225,30),"")</f>
        <v/>
      </c>
      <c r="I225" s="25">
        <f>IF(F225="","",IF(ISNUMBER(F225),F225-TODAY(),"Check date"))</f>
        <v/>
      </c>
      <c r="J225" s="26">
        <f>IF(I225="","",IF(ISNUMBER(I225),IF(I225&lt;0,"Expired",IF(I225&lt;=30,"Due ≤30 days",IF(I225&lt;=90,"Due ≤90 days","OK"))),"Check date"))</f>
        <v/>
      </c>
      <c r="K225" s="21" t="n"/>
      <c r="L225" s="21" t="n"/>
      <c r="M225" s="21" t="n"/>
      <c r="N225" s="21" t="n"/>
      <c r="O225" s="21" t="n"/>
      <c r="P225" s="21" t="n"/>
    </row>
    <row r="226">
      <c r="A226" s="21" t="n"/>
      <c r="B226" s="21" t="n"/>
      <c r="C226" s="21" t="n"/>
      <c r="D226" s="21" t="n"/>
      <c r="E226" s="22" t="n"/>
      <c r="F226" s="22" t="n"/>
      <c r="G226" s="23" t="n"/>
      <c r="H226" s="24">
        <f>IF(ISNUMBER(F226),F226-IF(ISNUMBER(G226),G226,30),"")</f>
        <v/>
      </c>
      <c r="I226" s="25">
        <f>IF(F226="","",IF(ISNUMBER(F226),F226-TODAY(),"Check date"))</f>
        <v/>
      </c>
      <c r="J226" s="26">
        <f>IF(I226="","",IF(ISNUMBER(I226),IF(I226&lt;0,"Expired",IF(I226&lt;=30,"Due ≤30 days",IF(I226&lt;=90,"Due ≤90 days","OK"))),"Check date"))</f>
        <v/>
      </c>
      <c r="K226" s="21" t="n"/>
      <c r="L226" s="21" t="n"/>
      <c r="M226" s="21" t="n"/>
      <c r="N226" s="21" t="n"/>
      <c r="O226" s="21" t="n"/>
      <c r="P226" s="21" t="n"/>
    </row>
    <row r="227">
      <c r="A227" s="21" t="n"/>
      <c r="B227" s="21" t="n"/>
      <c r="C227" s="21" t="n"/>
      <c r="D227" s="21" t="n"/>
      <c r="E227" s="22" t="n"/>
      <c r="F227" s="22" t="n"/>
      <c r="G227" s="23" t="n"/>
      <c r="H227" s="24">
        <f>IF(ISNUMBER(F227),F227-IF(ISNUMBER(G227),G227,30),"")</f>
        <v/>
      </c>
      <c r="I227" s="25">
        <f>IF(F227="","",IF(ISNUMBER(F227),F227-TODAY(),"Check date"))</f>
        <v/>
      </c>
      <c r="J227" s="26">
        <f>IF(I227="","",IF(ISNUMBER(I227),IF(I227&lt;0,"Expired",IF(I227&lt;=30,"Due ≤30 days",IF(I227&lt;=90,"Due ≤90 days","OK"))),"Check date"))</f>
        <v/>
      </c>
      <c r="K227" s="21" t="n"/>
      <c r="L227" s="21" t="n"/>
      <c r="M227" s="21" t="n"/>
      <c r="N227" s="21" t="n"/>
      <c r="O227" s="21" t="n"/>
      <c r="P227" s="21" t="n"/>
    </row>
    <row r="228">
      <c r="A228" s="21" t="n"/>
      <c r="B228" s="21" t="n"/>
      <c r="C228" s="21" t="n"/>
      <c r="D228" s="21" t="n"/>
      <c r="E228" s="22" t="n"/>
      <c r="F228" s="22" t="n"/>
      <c r="G228" s="23" t="n"/>
      <c r="H228" s="24">
        <f>IF(ISNUMBER(F228),F228-IF(ISNUMBER(G228),G228,30),"")</f>
        <v/>
      </c>
      <c r="I228" s="25">
        <f>IF(F228="","",IF(ISNUMBER(F228),F228-TODAY(),"Check date"))</f>
        <v/>
      </c>
      <c r="J228" s="26">
        <f>IF(I228="","",IF(ISNUMBER(I228),IF(I228&lt;0,"Expired",IF(I228&lt;=30,"Due ≤30 days",IF(I228&lt;=90,"Due ≤90 days","OK"))),"Check date"))</f>
        <v/>
      </c>
      <c r="K228" s="21" t="n"/>
      <c r="L228" s="21" t="n"/>
      <c r="M228" s="21" t="n"/>
      <c r="N228" s="21" t="n"/>
      <c r="O228" s="21" t="n"/>
      <c r="P228" s="21" t="n"/>
    </row>
    <row r="229">
      <c r="A229" s="21" t="n"/>
      <c r="B229" s="21" t="n"/>
      <c r="C229" s="21" t="n"/>
      <c r="D229" s="21" t="n"/>
      <c r="E229" s="22" t="n"/>
      <c r="F229" s="22" t="n"/>
      <c r="G229" s="23" t="n"/>
      <c r="H229" s="24">
        <f>IF(ISNUMBER(F229),F229-IF(ISNUMBER(G229),G229,30),"")</f>
        <v/>
      </c>
      <c r="I229" s="25">
        <f>IF(F229="","",IF(ISNUMBER(F229),F229-TODAY(),"Check date"))</f>
        <v/>
      </c>
      <c r="J229" s="26">
        <f>IF(I229="","",IF(ISNUMBER(I229),IF(I229&lt;0,"Expired",IF(I229&lt;=30,"Due ≤30 days",IF(I229&lt;=90,"Due ≤90 days","OK"))),"Check date"))</f>
        <v/>
      </c>
      <c r="K229" s="21" t="n"/>
      <c r="L229" s="21" t="n"/>
      <c r="M229" s="21" t="n"/>
      <c r="N229" s="21" t="n"/>
      <c r="O229" s="21" t="n"/>
      <c r="P229" s="21" t="n"/>
    </row>
    <row r="230">
      <c r="A230" s="21" t="n"/>
      <c r="B230" s="21" t="n"/>
      <c r="C230" s="21" t="n"/>
      <c r="D230" s="21" t="n"/>
      <c r="E230" s="22" t="n"/>
      <c r="F230" s="22" t="n"/>
      <c r="G230" s="23" t="n"/>
      <c r="H230" s="24">
        <f>IF(ISNUMBER(F230),F230-IF(ISNUMBER(G230),G230,30),"")</f>
        <v/>
      </c>
      <c r="I230" s="25">
        <f>IF(F230="","",IF(ISNUMBER(F230),F230-TODAY(),"Check date"))</f>
        <v/>
      </c>
      <c r="J230" s="26">
        <f>IF(I230="","",IF(ISNUMBER(I230),IF(I230&lt;0,"Expired",IF(I230&lt;=30,"Due ≤30 days",IF(I230&lt;=90,"Due ≤90 days","OK"))),"Check date"))</f>
        <v/>
      </c>
      <c r="K230" s="21" t="n"/>
      <c r="L230" s="21" t="n"/>
      <c r="M230" s="21" t="n"/>
      <c r="N230" s="21" t="n"/>
      <c r="O230" s="21" t="n"/>
      <c r="P230" s="21" t="n"/>
    </row>
    <row r="231">
      <c r="A231" s="21" t="n"/>
      <c r="B231" s="21" t="n"/>
      <c r="C231" s="21" t="n"/>
      <c r="D231" s="21" t="n"/>
      <c r="E231" s="22" t="n"/>
      <c r="F231" s="22" t="n"/>
      <c r="G231" s="23" t="n"/>
      <c r="H231" s="24">
        <f>IF(ISNUMBER(F231),F231-IF(ISNUMBER(G231),G231,30),"")</f>
        <v/>
      </c>
      <c r="I231" s="25">
        <f>IF(F231="","",IF(ISNUMBER(F231),F231-TODAY(),"Check date"))</f>
        <v/>
      </c>
      <c r="J231" s="26">
        <f>IF(I231="","",IF(ISNUMBER(I231),IF(I231&lt;0,"Expired",IF(I231&lt;=30,"Due ≤30 days",IF(I231&lt;=90,"Due ≤90 days","OK"))),"Check date"))</f>
        <v/>
      </c>
      <c r="K231" s="21" t="n"/>
      <c r="L231" s="21" t="n"/>
      <c r="M231" s="21" t="n"/>
      <c r="N231" s="21" t="n"/>
      <c r="O231" s="21" t="n"/>
      <c r="P231" s="21" t="n"/>
    </row>
    <row r="232">
      <c r="A232" s="21" t="n"/>
      <c r="B232" s="21" t="n"/>
      <c r="C232" s="21" t="n"/>
      <c r="D232" s="21" t="n"/>
      <c r="E232" s="22" t="n"/>
      <c r="F232" s="22" t="n"/>
      <c r="G232" s="23" t="n"/>
      <c r="H232" s="24">
        <f>IF(ISNUMBER(F232),F232-IF(ISNUMBER(G232),G232,30),"")</f>
        <v/>
      </c>
      <c r="I232" s="25">
        <f>IF(F232="","",IF(ISNUMBER(F232),F232-TODAY(),"Check date"))</f>
        <v/>
      </c>
      <c r="J232" s="26">
        <f>IF(I232="","",IF(ISNUMBER(I232),IF(I232&lt;0,"Expired",IF(I232&lt;=30,"Due ≤30 days",IF(I232&lt;=90,"Due ≤90 days","OK"))),"Check date"))</f>
        <v/>
      </c>
      <c r="K232" s="21" t="n"/>
      <c r="L232" s="21" t="n"/>
      <c r="M232" s="21" t="n"/>
      <c r="N232" s="21" t="n"/>
      <c r="O232" s="21" t="n"/>
      <c r="P232" s="21" t="n"/>
    </row>
    <row r="233">
      <c r="A233" s="21" t="n"/>
      <c r="B233" s="21" t="n"/>
      <c r="C233" s="21" t="n"/>
      <c r="D233" s="21" t="n"/>
      <c r="E233" s="22" t="n"/>
      <c r="F233" s="22" t="n"/>
      <c r="G233" s="23" t="n"/>
      <c r="H233" s="24">
        <f>IF(ISNUMBER(F233),F233-IF(ISNUMBER(G233),G233,30),"")</f>
        <v/>
      </c>
      <c r="I233" s="25">
        <f>IF(F233="","",IF(ISNUMBER(F233),F233-TODAY(),"Check date"))</f>
        <v/>
      </c>
      <c r="J233" s="26">
        <f>IF(I233="","",IF(ISNUMBER(I233),IF(I233&lt;0,"Expired",IF(I233&lt;=30,"Due ≤30 days",IF(I233&lt;=90,"Due ≤90 days","OK"))),"Check date"))</f>
        <v/>
      </c>
      <c r="K233" s="21" t="n"/>
      <c r="L233" s="21" t="n"/>
      <c r="M233" s="21" t="n"/>
      <c r="N233" s="21" t="n"/>
      <c r="O233" s="21" t="n"/>
      <c r="P233" s="21" t="n"/>
    </row>
    <row r="234">
      <c r="A234" s="21" t="n"/>
      <c r="B234" s="21" t="n"/>
      <c r="C234" s="21" t="n"/>
      <c r="D234" s="21" t="n"/>
      <c r="E234" s="22" t="n"/>
      <c r="F234" s="22" t="n"/>
      <c r="G234" s="23" t="n"/>
      <c r="H234" s="24">
        <f>IF(ISNUMBER(F234),F234-IF(ISNUMBER(G234),G234,30),"")</f>
        <v/>
      </c>
      <c r="I234" s="25">
        <f>IF(F234="","",IF(ISNUMBER(F234),F234-TODAY(),"Check date"))</f>
        <v/>
      </c>
      <c r="J234" s="26">
        <f>IF(I234="","",IF(ISNUMBER(I234),IF(I234&lt;0,"Expired",IF(I234&lt;=30,"Due ≤30 days",IF(I234&lt;=90,"Due ≤90 days","OK"))),"Check date"))</f>
        <v/>
      </c>
      <c r="K234" s="21" t="n"/>
      <c r="L234" s="21" t="n"/>
      <c r="M234" s="21" t="n"/>
      <c r="N234" s="21" t="n"/>
      <c r="O234" s="21" t="n"/>
      <c r="P234" s="21" t="n"/>
    </row>
    <row r="235">
      <c r="A235" s="21" t="n"/>
      <c r="B235" s="21" t="n"/>
      <c r="C235" s="21" t="n"/>
      <c r="D235" s="21" t="n"/>
      <c r="E235" s="22" t="n"/>
      <c r="F235" s="22" t="n"/>
      <c r="G235" s="23" t="n"/>
      <c r="H235" s="24">
        <f>IF(ISNUMBER(F235),F235-IF(ISNUMBER(G235),G235,30),"")</f>
        <v/>
      </c>
      <c r="I235" s="25">
        <f>IF(F235="","",IF(ISNUMBER(F235),F235-TODAY(),"Check date"))</f>
        <v/>
      </c>
      <c r="J235" s="26">
        <f>IF(I235="","",IF(ISNUMBER(I235),IF(I235&lt;0,"Expired",IF(I235&lt;=30,"Due ≤30 days",IF(I235&lt;=90,"Due ≤90 days","OK"))),"Check date"))</f>
        <v/>
      </c>
      <c r="K235" s="21" t="n"/>
      <c r="L235" s="21" t="n"/>
      <c r="M235" s="21" t="n"/>
      <c r="N235" s="21" t="n"/>
      <c r="O235" s="21" t="n"/>
      <c r="P235" s="21" t="n"/>
    </row>
    <row r="236">
      <c r="A236" s="21" t="n"/>
      <c r="B236" s="21" t="n"/>
      <c r="C236" s="21" t="n"/>
      <c r="D236" s="21" t="n"/>
      <c r="E236" s="22" t="n"/>
      <c r="F236" s="22" t="n"/>
      <c r="G236" s="23" t="n"/>
      <c r="H236" s="24">
        <f>IF(ISNUMBER(F236),F236-IF(ISNUMBER(G236),G236,30),"")</f>
        <v/>
      </c>
      <c r="I236" s="25">
        <f>IF(F236="","",IF(ISNUMBER(F236),F236-TODAY(),"Check date"))</f>
        <v/>
      </c>
      <c r="J236" s="26">
        <f>IF(I236="","",IF(ISNUMBER(I236),IF(I236&lt;0,"Expired",IF(I236&lt;=30,"Due ≤30 days",IF(I236&lt;=90,"Due ≤90 days","OK"))),"Check date"))</f>
        <v/>
      </c>
      <c r="K236" s="21" t="n"/>
      <c r="L236" s="21" t="n"/>
      <c r="M236" s="21" t="n"/>
      <c r="N236" s="21" t="n"/>
      <c r="O236" s="21" t="n"/>
      <c r="P236" s="21" t="n"/>
    </row>
    <row r="237">
      <c r="A237" s="21" t="n"/>
      <c r="B237" s="21" t="n"/>
      <c r="C237" s="21" t="n"/>
      <c r="D237" s="21" t="n"/>
      <c r="E237" s="22" t="n"/>
      <c r="F237" s="22" t="n"/>
      <c r="G237" s="23" t="n"/>
      <c r="H237" s="24">
        <f>IF(ISNUMBER(F237),F237-IF(ISNUMBER(G237),G237,30),"")</f>
        <v/>
      </c>
      <c r="I237" s="25">
        <f>IF(F237="","",IF(ISNUMBER(F237),F237-TODAY(),"Check date"))</f>
        <v/>
      </c>
      <c r="J237" s="26">
        <f>IF(I237="","",IF(ISNUMBER(I237),IF(I237&lt;0,"Expired",IF(I237&lt;=30,"Due ≤30 days",IF(I237&lt;=90,"Due ≤90 days","OK"))),"Check date"))</f>
        <v/>
      </c>
      <c r="K237" s="21" t="n"/>
      <c r="L237" s="21" t="n"/>
      <c r="M237" s="21" t="n"/>
      <c r="N237" s="21" t="n"/>
      <c r="O237" s="21" t="n"/>
      <c r="P237" s="21" t="n"/>
    </row>
    <row r="238">
      <c r="A238" s="21" t="n"/>
      <c r="B238" s="21" t="n"/>
      <c r="C238" s="21" t="n"/>
      <c r="D238" s="21" t="n"/>
      <c r="E238" s="22" t="n"/>
      <c r="F238" s="22" t="n"/>
      <c r="G238" s="23" t="n"/>
      <c r="H238" s="24">
        <f>IF(ISNUMBER(F238),F238-IF(ISNUMBER(G238),G238,30),"")</f>
        <v/>
      </c>
      <c r="I238" s="25">
        <f>IF(F238="","",IF(ISNUMBER(F238),F238-TODAY(),"Check date"))</f>
        <v/>
      </c>
      <c r="J238" s="26">
        <f>IF(I238="","",IF(ISNUMBER(I238),IF(I238&lt;0,"Expired",IF(I238&lt;=30,"Due ≤30 days",IF(I238&lt;=90,"Due ≤90 days","OK"))),"Check date"))</f>
        <v/>
      </c>
      <c r="K238" s="21" t="n"/>
      <c r="L238" s="21" t="n"/>
      <c r="M238" s="21" t="n"/>
      <c r="N238" s="21" t="n"/>
      <c r="O238" s="21" t="n"/>
      <c r="P238" s="21" t="n"/>
    </row>
    <row r="239">
      <c r="A239" s="21" t="n"/>
      <c r="B239" s="21" t="n"/>
      <c r="C239" s="21" t="n"/>
      <c r="D239" s="21" t="n"/>
      <c r="E239" s="22" t="n"/>
      <c r="F239" s="22" t="n"/>
      <c r="G239" s="23" t="n"/>
      <c r="H239" s="24">
        <f>IF(ISNUMBER(F239),F239-IF(ISNUMBER(G239),G239,30),"")</f>
        <v/>
      </c>
      <c r="I239" s="25">
        <f>IF(F239="","",IF(ISNUMBER(F239),F239-TODAY(),"Check date"))</f>
        <v/>
      </c>
      <c r="J239" s="26">
        <f>IF(I239="","",IF(ISNUMBER(I239),IF(I239&lt;0,"Expired",IF(I239&lt;=30,"Due ≤30 days",IF(I239&lt;=90,"Due ≤90 days","OK"))),"Check date"))</f>
        <v/>
      </c>
      <c r="K239" s="21" t="n"/>
      <c r="L239" s="21" t="n"/>
      <c r="M239" s="21" t="n"/>
      <c r="N239" s="21" t="n"/>
      <c r="O239" s="21" t="n"/>
      <c r="P239" s="21" t="n"/>
    </row>
    <row r="240">
      <c r="A240" s="21" t="n"/>
      <c r="B240" s="21" t="n"/>
      <c r="C240" s="21" t="n"/>
      <c r="D240" s="21" t="n"/>
      <c r="E240" s="22" t="n"/>
      <c r="F240" s="22" t="n"/>
      <c r="G240" s="23" t="n"/>
      <c r="H240" s="24">
        <f>IF(ISNUMBER(F240),F240-IF(ISNUMBER(G240),G240,30),"")</f>
        <v/>
      </c>
      <c r="I240" s="25">
        <f>IF(F240="","",IF(ISNUMBER(F240),F240-TODAY(),"Check date"))</f>
        <v/>
      </c>
      <c r="J240" s="26">
        <f>IF(I240="","",IF(ISNUMBER(I240),IF(I240&lt;0,"Expired",IF(I240&lt;=30,"Due ≤30 days",IF(I240&lt;=90,"Due ≤90 days","OK"))),"Check date"))</f>
        <v/>
      </c>
      <c r="K240" s="21" t="n"/>
      <c r="L240" s="21" t="n"/>
      <c r="M240" s="21" t="n"/>
      <c r="N240" s="21" t="n"/>
      <c r="O240" s="21" t="n"/>
      <c r="P240" s="21" t="n"/>
    </row>
    <row r="241">
      <c r="A241" s="21" t="n"/>
      <c r="B241" s="21" t="n"/>
      <c r="C241" s="21" t="n"/>
      <c r="D241" s="21" t="n"/>
      <c r="E241" s="22" t="n"/>
      <c r="F241" s="22" t="n"/>
      <c r="G241" s="23" t="n"/>
      <c r="H241" s="24">
        <f>IF(ISNUMBER(F241),F241-IF(ISNUMBER(G241),G241,30),"")</f>
        <v/>
      </c>
      <c r="I241" s="25">
        <f>IF(F241="","",IF(ISNUMBER(F241),F241-TODAY(),"Check date"))</f>
        <v/>
      </c>
      <c r="J241" s="26">
        <f>IF(I241="","",IF(ISNUMBER(I241),IF(I241&lt;0,"Expired",IF(I241&lt;=30,"Due ≤30 days",IF(I241&lt;=90,"Due ≤90 days","OK"))),"Check date"))</f>
        <v/>
      </c>
      <c r="K241" s="21" t="n"/>
      <c r="L241" s="21" t="n"/>
      <c r="M241" s="21" t="n"/>
      <c r="N241" s="21" t="n"/>
      <c r="O241" s="21" t="n"/>
      <c r="P241" s="21" t="n"/>
    </row>
    <row r="242">
      <c r="A242" s="21" t="n"/>
      <c r="B242" s="21" t="n"/>
      <c r="C242" s="21" t="n"/>
      <c r="D242" s="21" t="n"/>
      <c r="E242" s="22" t="n"/>
      <c r="F242" s="22" t="n"/>
      <c r="G242" s="23" t="n"/>
      <c r="H242" s="24">
        <f>IF(ISNUMBER(F242),F242-IF(ISNUMBER(G242),G242,30),"")</f>
        <v/>
      </c>
      <c r="I242" s="25">
        <f>IF(F242="","",IF(ISNUMBER(F242),F242-TODAY(),"Check date"))</f>
        <v/>
      </c>
      <c r="J242" s="26">
        <f>IF(I242="","",IF(ISNUMBER(I242),IF(I242&lt;0,"Expired",IF(I242&lt;=30,"Due ≤30 days",IF(I242&lt;=90,"Due ≤90 days","OK"))),"Check date"))</f>
        <v/>
      </c>
      <c r="K242" s="21" t="n"/>
      <c r="L242" s="21" t="n"/>
      <c r="M242" s="21" t="n"/>
      <c r="N242" s="21" t="n"/>
      <c r="O242" s="21" t="n"/>
      <c r="P242" s="21" t="n"/>
    </row>
    <row r="243">
      <c r="A243" s="21" t="n"/>
      <c r="B243" s="21" t="n"/>
      <c r="C243" s="21" t="n"/>
      <c r="D243" s="21" t="n"/>
      <c r="E243" s="22" t="n"/>
      <c r="F243" s="22" t="n"/>
      <c r="G243" s="23" t="n"/>
      <c r="H243" s="24">
        <f>IF(ISNUMBER(F243),F243-IF(ISNUMBER(G243),G243,30),"")</f>
        <v/>
      </c>
      <c r="I243" s="25">
        <f>IF(F243="","",IF(ISNUMBER(F243),F243-TODAY(),"Check date"))</f>
        <v/>
      </c>
      <c r="J243" s="26">
        <f>IF(I243="","",IF(ISNUMBER(I243),IF(I243&lt;0,"Expired",IF(I243&lt;=30,"Due ≤30 days",IF(I243&lt;=90,"Due ≤90 days","OK"))),"Check date"))</f>
        <v/>
      </c>
      <c r="K243" s="21" t="n"/>
      <c r="L243" s="21" t="n"/>
      <c r="M243" s="21" t="n"/>
      <c r="N243" s="21" t="n"/>
      <c r="O243" s="21" t="n"/>
      <c r="P243" s="21" t="n"/>
    </row>
    <row r="244">
      <c r="A244" s="21" t="n"/>
      <c r="B244" s="21" t="n"/>
      <c r="C244" s="21" t="n"/>
      <c r="D244" s="21" t="n"/>
      <c r="E244" s="22" t="n"/>
      <c r="F244" s="22" t="n"/>
      <c r="G244" s="23" t="n"/>
      <c r="H244" s="24">
        <f>IF(ISNUMBER(F244),F244-IF(ISNUMBER(G244),G244,30),"")</f>
        <v/>
      </c>
      <c r="I244" s="25">
        <f>IF(F244="","",IF(ISNUMBER(F244),F244-TODAY(),"Check date"))</f>
        <v/>
      </c>
      <c r="J244" s="26">
        <f>IF(I244="","",IF(ISNUMBER(I244),IF(I244&lt;0,"Expired",IF(I244&lt;=30,"Due ≤30 days",IF(I244&lt;=90,"Due ≤90 days","OK"))),"Check date"))</f>
        <v/>
      </c>
      <c r="K244" s="21" t="n"/>
      <c r="L244" s="21" t="n"/>
      <c r="M244" s="21" t="n"/>
      <c r="N244" s="21" t="n"/>
      <c r="O244" s="21" t="n"/>
      <c r="P244" s="21" t="n"/>
    </row>
    <row r="245">
      <c r="A245" s="21" t="n"/>
      <c r="B245" s="21" t="n"/>
      <c r="C245" s="21" t="n"/>
      <c r="D245" s="21" t="n"/>
      <c r="E245" s="22" t="n"/>
      <c r="F245" s="22" t="n"/>
      <c r="G245" s="23" t="n"/>
      <c r="H245" s="24">
        <f>IF(ISNUMBER(F245),F245-IF(ISNUMBER(G245),G245,30),"")</f>
        <v/>
      </c>
      <c r="I245" s="25">
        <f>IF(F245="","",IF(ISNUMBER(F245),F245-TODAY(),"Check date"))</f>
        <v/>
      </c>
      <c r="J245" s="26">
        <f>IF(I245="","",IF(ISNUMBER(I245),IF(I245&lt;0,"Expired",IF(I245&lt;=30,"Due ≤30 days",IF(I245&lt;=90,"Due ≤90 days","OK"))),"Check date"))</f>
        <v/>
      </c>
      <c r="K245" s="21" t="n"/>
      <c r="L245" s="21" t="n"/>
      <c r="M245" s="21" t="n"/>
      <c r="N245" s="21" t="n"/>
      <c r="O245" s="21" t="n"/>
      <c r="P245" s="21" t="n"/>
    </row>
    <row r="246">
      <c r="A246" s="21" t="n"/>
      <c r="B246" s="21" t="n"/>
      <c r="C246" s="21" t="n"/>
      <c r="D246" s="21" t="n"/>
      <c r="E246" s="22" t="n"/>
      <c r="F246" s="22" t="n"/>
      <c r="G246" s="23" t="n"/>
      <c r="H246" s="24">
        <f>IF(ISNUMBER(F246),F246-IF(ISNUMBER(G246),G246,30),"")</f>
        <v/>
      </c>
      <c r="I246" s="25">
        <f>IF(F246="","",IF(ISNUMBER(F246),F246-TODAY(),"Check date"))</f>
        <v/>
      </c>
      <c r="J246" s="26">
        <f>IF(I246="","",IF(ISNUMBER(I246),IF(I246&lt;0,"Expired",IF(I246&lt;=30,"Due ≤30 days",IF(I246&lt;=90,"Due ≤90 days","OK"))),"Check date"))</f>
        <v/>
      </c>
      <c r="K246" s="21" t="n"/>
      <c r="L246" s="21" t="n"/>
      <c r="M246" s="21" t="n"/>
      <c r="N246" s="21" t="n"/>
      <c r="O246" s="21" t="n"/>
      <c r="P246" s="21" t="n"/>
    </row>
    <row r="247">
      <c r="A247" s="21" t="n"/>
      <c r="B247" s="21" t="n"/>
      <c r="C247" s="21" t="n"/>
      <c r="D247" s="21" t="n"/>
      <c r="E247" s="22" t="n"/>
      <c r="F247" s="22" t="n"/>
      <c r="G247" s="23" t="n"/>
      <c r="H247" s="24">
        <f>IF(ISNUMBER(F247),F247-IF(ISNUMBER(G247),G247,30),"")</f>
        <v/>
      </c>
      <c r="I247" s="25">
        <f>IF(F247="","",IF(ISNUMBER(F247),F247-TODAY(),"Check date"))</f>
        <v/>
      </c>
      <c r="J247" s="26">
        <f>IF(I247="","",IF(ISNUMBER(I247),IF(I247&lt;0,"Expired",IF(I247&lt;=30,"Due ≤30 days",IF(I247&lt;=90,"Due ≤90 days","OK"))),"Check date"))</f>
        <v/>
      </c>
      <c r="K247" s="21" t="n"/>
      <c r="L247" s="21" t="n"/>
      <c r="M247" s="21" t="n"/>
      <c r="N247" s="21" t="n"/>
      <c r="O247" s="21" t="n"/>
      <c r="P247" s="21" t="n"/>
    </row>
    <row r="248">
      <c r="A248" s="21" t="n"/>
      <c r="B248" s="21" t="n"/>
      <c r="C248" s="21" t="n"/>
      <c r="D248" s="21" t="n"/>
      <c r="E248" s="22" t="n"/>
      <c r="F248" s="22" t="n"/>
      <c r="G248" s="23" t="n"/>
      <c r="H248" s="24">
        <f>IF(ISNUMBER(F248),F248-IF(ISNUMBER(G248),G248,30),"")</f>
        <v/>
      </c>
      <c r="I248" s="25">
        <f>IF(F248="","",IF(ISNUMBER(F248),F248-TODAY(),"Check date"))</f>
        <v/>
      </c>
      <c r="J248" s="26">
        <f>IF(I248="","",IF(ISNUMBER(I248),IF(I248&lt;0,"Expired",IF(I248&lt;=30,"Due ≤30 days",IF(I248&lt;=90,"Due ≤90 days","OK"))),"Check date"))</f>
        <v/>
      </c>
      <c r="K248" s="21" t="n"/>
      <c r="L248" s="21" t="n"/>
      <c r="M248" s="21" t="n"/>
      <c r="N248" s="21" t="n"/>
      <c r="O248" s="21" t="n"/>
      <c r="P248" s="21" t="n"/>
    </row>
    <row r="249">
      <c r="A249" s="21" t="n"/>
      <c r="B249" s="21" t="n"/>
      <c r="C249" s="21" t="n"/>
      <c r="D249" s="21" t="n"/>
      <c r="E249" s="22" t="n"/>
      <c r="F249" s="22" t="n"/>
      <c r="G249" s="23" t="n"/>
      <c r="H249" s="24">
        <f>IF(ISNUMBER(F249),F249-IF(ISNUMBER(G249),G249,30),"")</f>
        <v/>
      </c>
      <c r="I249" s="25">
        <f>IF(F249="","",IF(ISNUMBER(F249),F249-TODAY(),"Check date"))</f>
        <v/>
      </c>
      <c r="J249" s="26">
        <f>IF(I249="","",IF(ISNUMBER(I249),IF(I249&lt;0,"Expired",IF(I249&lt;=30,"Due ≤30 days",IF(I249&lt;=90,"Due ≤90 days","OK"))),"Check date"))</f>
        <v/>
      </c>
      <c r="K249" s="21" t="n"/>
      <c r="L249" s="21" t="n"/>
      <c r="M249" s="21" t="n"/>
      <c r="N249" s="21" t="n"/>
      <c r="O249" s="21" t="n"/>
      <c r="P249" s="21" t="n"/>
    </row>
    <row r="250">
      <c r="A250" s="21" t="n"/>
      <c r="B250" s="21" t="n"/>
      <c r="C250" s="21" t="n"/>
      <c r="D250" s="21" t="n"/>
      <c r="E250" s="22" t="n"/>
      <c r="F250" s="22" t="n"/>
      <c r="G250" s="23" t="n"/>
      <c r="H250" s="24">
        <f>IF(ISNUMBER(F250),F250-IF(ISNUMBER(G250),G250,30),"")</f>
        <v/>
      </c>
      <c r="I250" s="25">
        <f>IF(F250="","",IF(ISNUMBER(F250),F250-TODAY(),"Check date"))</f>
        <v/>
      </c>
      <c r="J250" s="26">
        <f>IF(I250="","",IF(ISNUMBER(I250),IF(I250&lt;0,"Expired",IF(I250&lt;=30,"Due ≤30 days",IF(I250&lt;=90,"Due ≤90 days","OK"))),"Check date"))</f>
        <v/>
      </c>
      <c r="K250" s="21" t="n"/>
      <c r="L250" s="21" t="n"/>
      <c r="M250" s="21" t="n"/>
      <c r="N250" s="21" t="n"/>
      <c r="O250" s="21" t="n"/>
      <c r="P250" s="21" t="n"/>
    </row>
    <row r="251">
      <c r="A251" s="21" t="n"/>
      <c r="B251" s="21" t="n"/>
      <c r="C251" s="21" t="n"/>
      <c r="D251" s="21" t="n"/>
      <c r="E251" s="22" t="n"/>
      <c r="F251" s="22" t="n"/>
      <c r="G251" s="23" t="n"/>
      <c r="H251" s="24">
        <f>IF(ISNUMBER(F251),F251-IF(ISNUMBER(G251),G251,30),"")</f>
        <v/>
      </c>
      <c r="I251" s="25">
        <f>IF(F251="","",IF(ISNUMBER(F251),F251-TODAY(),"Check date"))</f>
        <v/>
      </c>
      <c r="J251" s="26">
        <f>IF(I251="","",IF(ISNUMBER(I251),IF(I251&lt;0,"Expired",IF(I251&lt;=30,"Due ≤30 days",IF(I251&lt;=90,"Due ≤90 days","OK"))),"Check date"))</f>
        <v/>
      </c>
      <c r="K251" s="21" t="n"/>
      <c r="L251" s="21" t="n"/>
      <c r="M251" s="21" t="n"/>
      <c r="N251" s="21" t="n"/>
      <c r="O251" s="21" t="n"/>
      <c r="P251" s="21" t="n"/>
    </row>
    <row r="252">
      <c r="A252" s="21" t="n"/>
      <c r="B252" s="21" t="n"/>
      <c r="C252" s="21" t="n"/>
      <c r="D252" s="21" t="n"/>
      <c r="E252" s="22" t="n"/>
      <c r="F252" s="22" t="n"/>
      <c r="G252" s="23" t="n"/>
      <c r="H252" s="24">
        <f>IF(ISNUMBER(F252),F252-IF(ISNUMBER(G252),G252,30),"")</f>
        <v/>
      </c>
      <c r="I252" s="25">
        <f>IF(F252="","",IF(ISNUMBER(F252),F252-TODAY(),"Check date"))</f>
        <v/>
      </c>
      <c r="J252" s="26">
        <f>IF(I252="","",IF(ISNUMBER(I252),IF(I252&lt;0,"Expired",IF(I252&lt;=30,"Due ≤30 days",IF(I252&lt;=90,"Due ≤90 days","OK"))),"Check date"))</f>
        <v/>
      </c>
      <c r="K252" s="21" t="n"/>
      <c r="L252" s="21" t="n"/>
      <c r="M252" s="21" t="n"/>
      <c r="N252" s="21" t="n"/>
      <c r="O252" s="21" t="n"/>
      <c r="P252" s="21" t="n"/>
    </row>
    <row r="253">
      <c r="A253" s="21" t="n"/>
      <c r="B253" s="21" t="n"/>
      <c r="C253" s="21" t="n"/>
      <c r="D253" s="21" t="n"/>
      <c r="E253" s="22" t="n"/>
      <c r="F253" s="22" t="n"/>
      <c r="G253" s="23" t="n"/>
      <c r="H253" s="24">
        <f>IF(ISNUMBER(F253),F253-IF(ISNUMBER(G253),G253,30),"")</f>
        <v/>
      </c>
      <c r="I253" s="25">
        <f>IF(F253="","",IF(ISNUMBER(F253),F253-TODAY(),"Check date"))</f>
        <v/>
      </c>
      <c r="J253" s="26">
        <f>IF(I253="","",IF(ISNUMBER(I253),IF(I253&lt;0,"Expired",IF(I253&lt;=30,"Due ≤30 days",IF(I253&lt;=90,"Due ≤90 days","OK"))),"Check date"))</f>
        <v/>
      </c>
      <c r="K253" s="21" t="n"/>
      <c r="L253" s="21" t="n"/>
      <c r="M253" s="21" t="n"/>
      <c r="N253" s="21" t="n"/>
      <c r="O253" s="21" t="n"/>
      <c r="P253" s="21" t="n"/>
    </row>
    <row r="254">
      <c r="A254" s="21" t="n"/>
      <c r="B254" s="21" t="n"/>
      <c r="C254" s="21" t="n"/>
      <c r="D254" s="21" t="n"/>
      <c r="E254" s="22" t="n"/>
      <c r="F254" s="22" t="n"/>
      <c r="G254" s="23" t="n"/>
      <c r="H254" s="24">
        <f>IF(ISNUMBER(F254),F254-IF(ISNUMBER(G254),G254,30),"")</f>
        <v/>
      </c>
      <c r="I254" s="25">
        <f>IF(F254="","",IF(ISNUMBER(F254),F254-TODAY(),"Check date"))</f>
        <v/>
      </c>
      <c r="J254" s="26">
        <f>IF(I254="","",IF(ISNUMBER(I254),IF(I254&lt;0,"Expired",IF(I254&lt;=30,"Due ≤30 days",IF(I254&lt;=90,"Due ≤90 days","OK"))),"Check date"))</f>
        <v/>
      </c>
      <c r="K254" s="21" t="n"/>
      <c r="L254" s="21" t="n"/>
      <c r="M254" s="21" t="n"/>
      <c r="N254" s="21" t="n"/>
      <c r="O254" s="21" t="n"/>
      <c r="P254" s="21" t="n"/>
    </row>
    <row r="255">
      <c r="A255" s="21" t="n"/>
      <c r="B255" s="21" t="n"/>
      <c r="C255" s="21" t="n"/>
      <c r="D255" s="21" t="n"/>
      <c r="E255" s="22" t="n"/>
      <c r="F255" s="22" t="n"/>
      <c r="G255" s="23" t="n"/>
      <c r="H255" s="24">
        <f>IF(ISNUMBER(F255),F255-IF(ISNUMBER(G255),G255,30),"")</f>
        <v/>
      </c>
      <c r="I255" s="25">
        <f>IF(F255="","",IF(ISNUMBER(F255),F255-TODAY(),"Check date"))</f>
        <v/>
      </c>
      <c r="J255" s="26">
        <f>IF(I255="","",IF(ISNUMBER(I255),IF(I255&lt;0,"Expired",IF(I255&lt;=30,"Due ≤30 days",IF(I255&lt;=90,"Due ≤90 days","OK"))),"Check date"))</f>
        <v/>
      </c>
      <c r="K255" s="21" t="n"/>
      <c r="L255" s="21" t="n"/>
      <c r="M255" s="21" t="n"/>
      <c r="N255" s="21" t="n"/>
      <c r="O255" s="21" t="n"/>
      <c r="P255" s="21" t="n"/>
    </row>
    <row r="256">
      <c r="A256" s="21" t="n"/>
      <c r="B256" s="21" t="n"/>
      <c r="C256" s="21" t="n"/>
      <c r="D256" s="21" t="n"/>
      <c r="E256" s="22" t="n"/>
      <c r="F256" s="22" t="n"/>
      <c r="G256" s="23" t="n"/>
      <c r="H256" s="24">
        <f>IF(ISNUMBER(F256),F256-IF(ISNUMBER(G256),G256,30),"")</f>
        <v/>
      </c>
      <c r="I256" s="25">
        <f>IF(F256="","",IF(ISNUMBER(F256),F256-TODAY(),"Check date"))</f>
        <v/>
      </c>
      <c r="J256" s="26">
        <f>IF(I256="","",IF(ISNUMBER(I256),IF(I256&lt;0,"Expired",IF(I256&lt;=30,"Due ≤30 days",IF(I256&lt;=90,"Due ≤90 days","OK"))),"Check date"))</f>
        <v/>
      </c>
      <c r="K256" s="21" t="n"/>
      <c r="L256" s="21" t="n"/>
      <c r="M256" s="21" t="n"/>
      <c r="N256" s="21" t="n"/>
      <c r="O256" s="21" t="n"/>
      <c r="P256" s="21" t="n"/>
    </row>
    <row r="257">
      <c r="A257" s="21" t="n"/>
      <c r="B257" s="21" t="n"/>
      <c r="C257" s="21" t="n"/>
      <c r="D257" s="21" t="n"/>
      <c r="E257" s="22" t="n"/>
      <c r="F257" s="22" t="n"/>
      <c r="G257" s="23" t="n"/>
      <c r="H257" s="24">
        <f>IF(ISNUMBER(F257),F257-IF(ISNUMBER(G257),G257,30),"")</f>
        <v/>
      </c>
      <c r="I257" s="25">
        <f>IF(F257="","",IF(ISNUMBER(F257),F257-TODAY(),"Check date"))</f>
        <v/>
      </c>
      <c r="J257" s="26">
        <f>IF(I257="","",IF(ISNUMBER(I257),IF(I257&lt;0,"Expired",IF(I257&lt;=30,"Due ≤30 days",IF(I257&lt;=90,"Due ≤90 days","OK"))),"Check date"))</f>
        <v/>
      </c>
      <c r="K257" s="21" t="n"/>
      <c r="L257" s="21" t="n"/>
      <c r="M257" s="21" t="n"/>
      <c r="N257" s="21" t="n"/>
      <c r="O257" s="21" t="n"/>
      <c r="P257" s="21" t="n"/>
    </row>
    <row r="258">
      <c r="A258" s="21" t="n"/>
      <c r="B258" s="21" t="n"/>
      <c r="C258" s="21" t="n"/>
      <c r="D258" s="21" t="n"/>
      <c r="E258" s="22" t="n"/>
      <c r="F258" s="22" t="n"/>
      <c r="G258" s="23" t="n"/>
      <c r="H258" s="24">
        <f>IF(ISNUMBER(F258),F258-IF(ISNUMBER(G258),G258,30),"")</f>
        <v/>
      </c>
      <c r="I258" s="25">
        <f>IF(F258="","",IF(ISNUMBER(F258),F258-TODAY(),"Check date"))</f>
        <v/>
      </c>
      <c r="J258" s="26">
        <f>IF(I258="","",IF(ISNUMBER(I258),IF(I258&lt;0,"Expired",IF(I258&lt;=30,"Due ≤30 days",IF(I258&lt;=90,"Due ≤90 days","OK"))),"Check date"))</f>
        <v/>
      </c>
      <c r="K258" s="21" t="n"/>
      <c r="L258" s="21" t="n"/>
      <c r="M258" s="21" t="n"/>
      <c r="N258" s="21" t="n"/>
      <c r="O258" s="21" t="n"/>
      <c r="P258" s="21" t="n"/>
    </row>
    <row r="259">
      <c r="A259" s="21" t="n"/>
      <c r="B259" s="21" t="n"/>
      <c r="C259" s="21" t="n"/>
      <c r="D259" s="21" t="n"/>
      <c r="E259" s="22" t="n"/>
      <c r="F259" s="22" t="n"/>
      <c r="G259" s="23" t="n"/>
      <c r="H259" s="24">
        <f>IF(ISNUMBER(F259),F259-IF(ISNUMBER(G259),G259,30),"")</f>
        <v/>
      </c>
      <c r="I259" s="25">
        <f>IF(F259="","",IF(ISNUMBER(F259),F259-TODAY(),"Check date"))</f>
        <v/>
      </c>
      <c r="J259" s="26">
        <f>IF(I259="","",IF(ISNUMBER(I259),IF(I259&lt;0,"Expired",IF(I259&lt;=30,"Due ≤30 days",IF(I259&lt;=90,"Due ≤90 days","OK"))),"Check date"))</f>
        <v/>
      </c>
      <c r="K259" s="21" t="n"/>
      <c r="L259" s="21" t="n"/>
      <c r="M259" s="21" t="n"/>
      <c r="N259" s="21" t="n"/>
      <c r="O259" s="21" t="n"/>
      <c r="P259" s="21" t="n"/>
    </row>
    <row r="260">
      <c r="A260" s="21" t="n"/>
      <c r="B260" s="21" t="n"/>
      <c r="C260" s="21" t="n"/>
      <c r="D260" s="21" t="n"/>
      <c r="E260" s="22" t="n"/>
      <c r="F260" s="22" t="n"/>
      <c r="G260" s="23" t="n"/>
      <c r="H260" s="24">
        <f>IF(ISNUMBER(F260),F260-IF(ISNUMBER(G260),G260,30),"")</f>
        <v/>
      </c>
      <c r="I260" s="25">
        <f>IF(F260="","",IF(ISNUMBER(F260),F260-TODAY(),"Check date"))</f>
        <v/>
      </c>
      <c r="J260" s="26">
        <f>IF(I260="","",IF(ISNUMBER(I260),IF(I260&lt;0,"Expired",IF(I260&lt;=30,"Due ≤30 days",IF(I260&lt;=90,"Due ≤90 days","OK"))),"Check date"))</f>
        <v/>
      </c>
      <c r="K260" s="21" t="n"/>
      <c r="L260" s="21" t="n"/>
      <c r="M260" s="21" t="n"/>
      <c r="N260" s="21" t="n"/>
      <c r="O260" s="21" t="n"/>
      <c r="P260" s="21" t="n"/>
    </row>
    <row r="261">
      <c r="A261" s="21" t="n"/>
      <c r="B261" s="21" t="n"/>
      <c r="C261" s="21" t="n"/>
      <c r="D261" s="21" t="n"/>
      <c r="E261" s="22" t="n"/>
      <c r="F261" s="22" t="n"/>
      <c r="G261" s="23" t="n"/>
      <c r="H261" s="24">
        <f>IF(ISNUMBER(F261),F261-IF(ISNUMBER(G261),G261,30),"")</f>
        <v/>
      </c>
      <c r="I261" s="25">
        <f>IF(F261="","",IF(ISNUMBER(F261),F261-TODAY(),"Check date"))</f>
        <v/>
      </c>
      <c r="J261" s="26">
        <f>IF(I261="","",IF(ISNUMBER(I261),IF(I261&lt;0,"Expired",IF(I261&lt;=30,"Due ≤30 days",IF(I261&lt;=90,"Due ≤90 days","OK"))),"Check date"))</f>
        <v/>
      </c>
      <c r="K261" s="21" t="n"/>
      <c r="L261" s="21" t="n"/>
      <c r="M261" s="21" t="n"/>
      <c r="N261" s="21" t="n"/>
      <c r="O261" s="21" t="n"/>
      <c r="P261" s="21" t="n"/>
    </row>
    <row r="262">
      <c r="A262" s="21" t="n"/>
      <c r="B262" s="21" t="n"/>
      <c r="C262" s="21" t="n"/>
      <c r="D262" s="21" t="n"/>
      <c r="E262" s="22" t="n"/>
      <c r="F262" s="22" t="n"/>
      <c r="G262" s="23" t="n"/>
      <c r="H262" s="24">
        <f>IF(ISNUMBER(F262),F262-IF(ISNUMBER(G262),G262,30),"")</f>
        <v/>
      </c>
      <c r="I262" s="25">
        <f>IF(F262="","",IF(ISNUMBER(F262),F262-TODAY(),"Check date"))</f>
        <v/>
      </c>
      <c r="J262" s="26">
        <f>IF(I262="","",IF(ISNUMBER(I262),IF(I262&lt;0,"Expired",IF(I262&lt;=30,"Due ≤30 days",IF(I262&lt;=90,"Due ≤90 days","OK"))),"Check date"))</f>
        <v/>
      </c>
      <c r="K262" s="21" t="n"/>
      <c r="L262" s="21" t="n"/>
      <c r="M262" s="21" t="n"/>
      <c r="N262" s="21" t="n"/>
      <c r="O262" s="21" t="n"/>
      <c r="P262" s="21" t="n"/>
    </row>
    <row r="263">
      <c r="A263" s="21" t="n"/>
      <c r="B263" s="21" t="n"/>
      <c r="C263" s="21" t="n"/>
      <c r="D263" s="21" t="n"/>
      <c r="E263" s="22" t="n"/>
      <c r="F263" s="22" t="n"/>
      <c r="G263" s="23" t="n"/>
      <c r="H263" s="24">
        <f>IF(ISNUMBER(F263),F263-IF(ISNUMBER(G263),G263,30),"")</f>
        <v/>
      </c>
      <c r="I263" s="25">
        <f>IF(F263="","",IF(ISNUMBER(F263),F263-TODAY(),"Check date"))</f>
        <v/>
      </c>
      <c r="J263" s="26">
        <f>IF(I263="","",IF(ISNUMBER(I263),IF(I263&lt;0,"Expired",IF(I263&lt;=30,"Due ≤30 days",IF(I263&lt;=90,"Due ≤90 days","OK"))),"Check date"))</f>
        <v/>
      </c>
      <c r="K263" s="21" t="n"/>
      <c r="L263" s="21" t="n"/>
      <c r="M263" s="21" t="n"/>
      <c r="N263" s="21" t="n"/>
      <c r="O263" s="21" t="n"/>
      <c r="P263" s="21" t="n"/>
    </row>
    <row r="264">
      <c r="A264" s="21" t="n"/>
      <c r="B264" s="21" t="n"/>
      <c r="C264" s="21" t="n"/>
      <c r="D264" s="21" t="n"/>
      <c r="E264" s="22" t="n"/>
      <c r="F264" s="22" t="n"/>
      <c r="G264" s="23" t="n"/>
      <c r="H264" s="24">
        <f>IF(ISNUMBER(F264),F264-IF(ISNUMBER(G264),G264,30),"")</f>
        <v/>
      </c>
      <c r="I264" s="25">
        <f>IF(F264="","",IF(ISNUMBER(F264),F264-TODAY(),"Check date"))</f>
        <v/>
      </c>
      <c r="J264" s="26">
        <f>IF(I264="","",IF(ISNUMBER(I264),IF(I264&lt;0,"Expired",IF(I264&lt;=30,"Due ≤30 days",IF(I264&lt;=90,"Due ≤90 days","OK"))),"Check date"))</f>
        <v/>
      </c>
      <c r="K264" s="21" t="n"/>
      <c r="L264" s="21" t="n"/>
      <c r="M264" s="21" t="n"/>
      <c r="N264" s="21" t="n"/>
      <c r="O264" s="21" t="n"/>
      <c r="P264" s="21" t="n"/>
    </row>
    <row r="265">
      <c r="A265" s="21" t="n"/>
      <c r="B265" s="21" t="n"/>
      <c r="C265" s="21" t="n"/>
      <c r="D265" s="21" t="n"/>
      <c r="E265" s="22" t="n"/>
      <c r="F265" s="22" t="n"/>
      <c r="G265" s="23" t="n"/>
      <c r="H265" s="24">
        <f>IF(ISNUMBER(F265),F265-IF(ISNUMBER(G265),G265,30),"")</f>
        <v/>
      </c>
      <c r="I265" s="25">
        <f>IF(F265="","",IF(ISNUMBER(F265),F265-TODAY(),"Check date"))</f>
        <v/>
      </c>
      <c r="J265" s="26">
        <f>IF(I265="","",IF(ISNUMBER(I265),IF(I265&lt;0,"Expired",IF(I265&lt;=30,"Due ≤30 days",IF(I265&lt;=90,"Due ≤90 days","OK"))),"Check date"))</f>
        <v/>
      </c>
      <c r="K265" s="21" t="n"/>
      <c r="L265" s="21" t="n"/>
      <c r="M265" s="21" t="n"/>
      <c r="N265" s="21" t="n"/>
      <c r="O265" s="21" t="n"/>
      <c r="P265" s="21" t="n"/>
    </row>
    <row r="266">
      <c r="A266" s="21" t="n"/>
      <c r="B266" s="21" t="n"/>
      <c r="C266" s="21" t="n"/>
      <c r="D266" s="21" t="n"/>
      <c r="E266" s="22" t="n"/>
      <c r="F266" s="22" t="n"/>
      <c r="G266" s="23" t="n"/>
      <c r="H266" s="24">
        <f>IF(ISNUMBER(F266),F266-IF(ISNUMBER(G266),G266,30),"")</f>
        <v/>
      </c>
      <c r="I266" s="25">
        <f>IF(F266="","",IF(ISNUMBER(F266),F266-TODAY(),"Check date"))</f>
        <v/>
      </c>
      <c r="J266" s="26">
        <f>IF(I266="","",IF(ISNUMBER(I266),IF(I266&lt;0,"Expired",IF(I266&lt;=30,"Due ≤30 days",IF(I266&lt;=90,"Due ≤90 days","OK"))),"Check date"))</f>
        <v/>
      </c>
      <c r="K266" s="21" t="n"/>
      <c r="L266" s="21" t="n"/>
      <c r="M266" s="21" t="n"/>
      <c r="N266" s="21" t="n"/>
      <c r="O266" s="21" t="n"/>
      <c r="P266" s="21" t="n"/>
    </row>
    <row r="267">
      <c r="A267" s="21" t="n"/>
      <c r="B267" s="21" t="n"/>
      <c r="C267" s="21" t="n"/>
      <c r="D267" s="21" t="n"/>
      <c r="E267" s="22" t="n"/>
      <c r="F267" s="22" t="n"/>
      <c r="G267" s="23" t="n"/>
      <c r="H267" s="24">
        <f>IF(ISNUMBER(F267),F267-IF(ISNUMBER(G267),G267,30),"")</f>
        <v/>
      </c>
      <c r="I267" s="25">
        <f>IF(F267="","",IF(ISNUMBER(F267),F267-TODAY(),"Check date"))</f>
        <v/>
      </c>
      <c r="J267" s="26">
        <f>IF(I267="","",IF(ISNUMBER(I267),IF(I267&lt;0,"Expired",IF(I267&lt;=30,"Due ≤30 days",IF(I267&lt;=90,"Due ≤90 days","OK"))),"Check date"))</f>
        <v/>
      </c>
      <c r="K267" s="21" t="n"/>
      <c r="L267" s="21" t="n"/>
      <c r="M267" s="21" t="n"/>
      <c r="N267" s="21" t="n"/>
      <c r="O267" s="21" t="n"/>
      <c r="P267" s="21" t="n"/>
    </row>
    <row r="268">
      <c r="A268" s="21" t="n"/>
      <c r="B268" s="21" t="n"/>
      <c r="C268" s="21" t="n"/>
      <c r="D268" s="21" t="n"/>
      <c r="E268" s="22" t="n"/>
      <c r="F268" s="22" t="n"/>
      <c r="G268" s="23" t="n"/>
      <c r="H268" s="24">
        <f>IF(ISNUMBER(F268),F268-IF(ISNUMBER(G268),G268,30),"")</f>
        <v/>
      </c>
      <c r="I268" s="25">
        <f>IF(F268="","",IF(ISNUMBER(F268),F268-TODAY(),"Check date"))</f>
        <v/>
      </c>
      <c r="J268" s="26">
        <f>IF(I268="","",IF(ISNUMBER(I268),IF(I268&lt;0,"Expired",IF(I268&lt;=30,"Due ≤30 days",IF(I268&lt;=90,"Due ≤90 days","OK"))),"Check date"))</f>
        <v/>
      </c>
      <c r="K268" s="21" t="n"/>
      <c r="L268" s="21" t="n"/>
      <c r="M268" s="21" t="n"/>
      <c r="N268" s="21" t="n"/>
      <c r="O268" s="21" t="n"/>
      <c r="P268" s="21" t="n"/>
    </row>
    <row r="269">
      <c r="A269" s="21" t="n"/>
      <c r="B269" s="21" t="n"/>
      <c r="C269" s="21" t="n"/>
      <c r="D269" s="21" t="n"/>
      <c r="E269" s="22" t="n"/>
      <c r="F269" s="22" t="n"/>
      <c r="G269" s="23" t="n"/>
      <c r="H269" s="24">
        <f>IF(ISNUMBER(F269),F269-IF(ISNUMBER(G269),G269,30),"")</f>
        <v/>
      </c>
      <c r="I269" s="25">
        <f>IF(F269="","",IF(ISNUMBER(F269),F269-TODAY(),"Check date"))</f>
        <v/>
      </c>
      <c r="J269" s="26">
        <f>IF(I269="","",IF(ISNUMBER(I269),IF(I269&lt;0,"Expired",IF(I269&lt;=30,"Due ≤30 days",IF(I269&lt;=90,"Due ≤90 days","OK"))),"Check date"))</f>
        <v/>
      </c>
      <c r="K269" s="21" t="n"/>
      <c r="L269" s="21" t="n"/>
      <c r="M269" s="21" t="n"/>
      <c r="N269" s="21" t="n"/>
      <c r="O269" s="21" t="n"/>
      <c r="P269" s="21" t="n"/>
    </row>
    <row r="270">
      <c r="A270" s="21" t="n"/>
      <c r="B270" s="21" t="n"/>
      <c r="C270" s="21" t="n"/>
      <c r="D270" s="21" t="n"/>
      <c r="E270" s="22" t="n"/>
      <c r="F270" s="22" t="n"/>
      <c r="G270" s="23" t="n"/>
      <c r="H270" s="24">
        <f>IF(ISNUMBER(F270),F270-IF(ISNUMBER(G270),G270,30),"")</f>
        <v/>
      </c>
      <c r="I270" s="25">
        <f>IF(F270="","",IF(ISNUMBER(F270),F270-TODAY(),"Check date"))</f>
        <v/>
      </c>
      <c r="J270" s="26">
        <f>IF(I270="","",IF(ISNUMBER(I270),IF(I270&lt;0,"Expired",IF(I270&lt;=30,"Due ≤30 days",IF(I270&lt;=90,"Due ≤90 days","OK"))),"Check date"))</f>
        <v/>
      </c>
      <c r="K270" s="21" t="n"/>
      <c r="L270" s="21" t="n"/>
      <c r="M270" s="21" t="n"/>
      <c r="N270" s="21" t="n"/>
      <c r="O270" s="21" t="n"/>
      <c r="P270" s="21" t="n"/>
    </row>
    <row r="271">
      <c r="A271" s="21" t="n"/>
      <c r="B271" s="21" t="n"/>
      <c r="C271" s="21" t="n"/>
      <c r="D271" s="21" t="n"/>
      <c r="E271" s="22" t="n"/>
      <c r="F271" s="22" t="n"/>
      <c r="G271" s="23" t="n"/>
      <c r="H271" s="24">
        <f>IF(ISNUMBER(F271),F271-IF(ISNUMBER(G271),G271,30),"")</f>
        <v/>
      </c>
      <c r="I271" s="25">
        <f>IF(F271="","",IF(ISNUMBER(F271),F271-TODAY(),"Check date"))</f>
        <v/>
      </c>
      <c r="J271" s="26">
        <f>IF(I271="","",IF(ISNUMBER(I271),IF(I271&lt;0,"Expired",IF(I271&lt;=30,"Due ≤30 days",IF(I271&lt;=90,"Due ≤90 days","OK"))),"Check date"))</f>
        <v/>
      </c>
      <c r="K271" s="21" t="n"/>
      <c r="L271" s="21" t="n"/>
      <c r="M271" s="21" t="n"/>
      <c r="N271" s="21" t="n"/>
      <c r="O271" s="21" t="n"/>
      <c r="P271" s="21" t="n"/>
    </row>
    <row r="272">
      <c r="A272" s="21" t="n"/>
      <c r="B272" s="21" t="n"/>
      <c r="C272" s="21" t="n"/>
      <c r="D272" s="21" t="n"/>
      <c r="E272" s="22" t="n"/>
      <c r="F272" s="22" t="n"/>
      <c r="G272" s="23" t="n"/>
      <c r="H272" s="24">
        <f>IF(ISNUMBER(F272),F272-IF(ISNUMBER(G272),G272,30),"")</f>
        <v/>
      </c>
      <c r="I272" s="25">
        <f>IF(F272="","",IF(ISNUMBER(F272),F272-TODAY(),"Check date"))</f>
        <v/>
      </c>
      <c r="J272" s="26">
        <f>IF(I272="","",IF(ISNUMBER(I272),IF(I272&lt;0,"Expired",IF(I272&lt;=30,"Due ≤30 days",IF(I272&lt;=90,"Due ≤90 days","OK"))),"Check date"))</f>
        <v/>
      </c>
      <c r="K272" s="21" t="n"/>
      <c r="L272" s="21" t="n"/>
      <c r="M272" s="21" t="n"/>
      <c r="N272" s="21" t="n"/>
      <c r="O272" s="21" t="n"/>
      <c r="P272" s="21" t="n"/>
    </row>
    <row r="273">
      <c r="A273" s="21" t="n"/>
      <c r="B273" s="21" t="n"/>
      <c r="C273" s="21" t="n"/>
      <c r="D273" s="21" t="n"/>
      <c r="E273" s="22" t="n"/>
      <c r="F273" s="22" t="n"/>
      <c r="G273" s="23" t="n"/>
      <c r="H273" s="24">
        <f>IF(ISNUMBER(F273),F273-IF(ISNUMBER(G273),G273,30),"")</f>
        <v/>
      </c>
      <c r="I273" s="25">
        <f>IF(F273="","",IF(ISNUMBER(F273),F273-TODAY(),"Check date"))</f>
        <v/>
      </c>
      <c r="J273" s="26">
        <f>IF(I273="","",IF(ISNUMBER(I273),IF(I273&lt;0,"Expired",IF(I273&lt;=30,"Due ≤30 days",IF(I273&lt;=90,"Due ≤90 days","OK"))),"Check date"))</f>
        <v/>
      </c>
      <c r="K273" s="21" t="n"/>
      <c r="L273" s="21" t="n"/>
      <c r="M273" s="21" t="n"/>
      <c r="N273" s="21" t="n"/>
      <c r="O273" s="21" t="n"/>
      <c r="P273" s="21" t="n"/>
    </row>
    <row r="274">
      <c r="A274" s="21" t="n"/>
      <c r="B274" s="21" t="n"/>
      <c r="C274" s="21" t="n"/>
      <c r="D274" s="21" t="n"/>
      <c r="E274" s="22" t="n"/>
      <c r="F274" s="22" t="n"/>
      <c r="G274" s="23" t="n"/>
      <c r="H274" s="24">
        <f>IF(ISNUMBER(F274),F274-IF(ISNUMBER(G274),G274,30),"")</f>
        <v/>
      </c>
      <c r="I274" s="25">
        <f>IF(F274="","",IF(ISNUMBER(F274),F274-TODAY(),"Check date"))</f>
        <v/>
      </c>
      <c r="J274" s="26">
        <f>IF(I274="","",IF(ISNUMBER(I274),IF(I274&lt;0,"Expired",IF(I274&lt;=30,"Due ≤30 days",IF(I274&lt;=90,"Due ≤90 days","OK"))),"Check date"))</f>
        <v/>
      </c>
      <c r="K274" s="21" t="n"/>
      <c r="L274" s="21" t="n"/>
      <c r="M274" s="21" t="n"/>
      <c r="N274" s="21" t="n"/>
      <c r="O274" s="21" t="n"/>
      <c r="P274" s="21" t="n"/>
    </row>
    <row r="275">
      <c r="A275" s="21" t="n"/>
      <c r="B275" s="21" t="n"/>
      <c r="C275" s="21" t="n"/>
      <c r="D275" s="21" t="n"/>
      <c r="E275" s="22" t="n"/>
      <c r="F275" s="22" t="n"/>
      <c r="G275" s="23" t="n"/>
      <c r="H275" s="24">
        <f>IF(ISNUMBER(F275),F275-IF(ISNUMBER(G275),G275,30),"")</f>
        <v/>
      </c>
      <c r="I275" s="25">
        <f>IF(F275="","",IF(ISNUMBER(F275),F275-TODAY(),"Check date"))</f>
        <v/>
      </c>
      <c r="J275" s="26">
        <f>IF(I275="","",IF(ISNUMBER(I275),IF(I275&lt;0,"Expired",IF(I275&lt;=30,"Due ≤30 days",IF(I275&lt;=90,"Due ≤90 days","OK"))),"Check date"))</f>
        <v/>
      </c>
      <c r="K275" s="21" t="n"/>
      <c r="L275" s="21" t="n"/>
      <c r="M275" s="21" t="n"/>
      <c r="N275" s="21" t="n"/>
      <c r="O275" s="21" t="n"/>
      <c r="P275" s="21" t="n"/>
    </row>
    <row r="276">
      <c r="A276" s="21" t="n"/>
      <c r="B276" s="21" t="n"/>
      <c r="C276" s="21" t="n"/>
      <c r="D276" s="21" t="n"/>
      <c r="E276" s="22" t="n"/>
      <c r="F276" s="22" t="n"/>
      <c r="G276" s="23" t="n"/>
      <c r="H276" s="24">
        <f>IF(ISNUMBER(F276),F276-IF(ISNUMBER(G276),G276,30),"")</f>
        <v/>
      </c>
      <c r="I276" s="25">
        <f>IF(F276="","",IF(ISNUMBER(F276),F276-TODAY(),"Check date"))</f>
        <v/>
      </c>
      <c r="J276" s="26">
        <f>IF(I276="","",IF(ISNUMBER(I276),IF(I276&lt;0,"Expired",IF(I276&lt;=30,"Due ≤30 days",IF(I276&lt;=90,"Due ≤90 days","OK"))),"Check date"))</f>
        <v/>
      </c>
      <c r="K276" s="21" t="n"/>
      <c r="L276" s="21" t="n"/>
      <c r="M276" s="21" t="n"/>
      <c r="N276" s="21" t="n"/>
      <c r="O276" s="21" t="n"/>
      <c r="P276" s="21" t="n"/>
    </row>
    <row r="277">
      <c r="A277" s="21" t="n"/>
      <c r="B277" s="21" t="n"/>
      <c r="C277" s="21" t="n"/>
      <c r="D277" s="21" t="n"/>
      <c r="E277" s="22" t="n"/>
      <c r="F277" s="22" t="n"/>
      <c r="G277" s="23" t="n"/>
      <c r="H277" s="24">
        <f>IF(ISNUMBER(F277),F277-IF(ISNUMBER(G277),G277,30),"")</f>
        <v/>
      </c>
      <c r="I277" s="25">
        <f>IF(F277="","",IF(ISNUMBER(F277),F277-TODAY(),"Check date"))</f>
        <v/>
      </c>
      <c r="J277" s="26">
        <f>IF(I277="","",IF(ISNUMBER(I277),IF(I277&lt;0,"Expired",IF(I277&lt;=30,"Due ≤30 days",IF(I277&lt;=90,"Due ≤90 days","OK"))),"Check date"))</f>
        <v/>
      </c>
      <c r="K277" s="21" t="n"/>
      <c r="L277" s="21" t="n"/>
      <c r="M277" s="21" t="n"/>
      <c r="N277" s="21" t="n"/>
      <c r="O277" s="21" t="n"/>
      <c r="P277" s="21" t="n"/>
    </row>
    <row r="278">
      <c r="A278" s="21" t="n"/>
      <c r="B278" s="21" t="n"/>
      <c r="C278" s="21" t="n"/>
      <c r="D278" s="21" t="n"/>
      <c r="E278" s="22" t="n"/>
      <c r="F278" s="22" t="n"/>
      <c r="G278" s="23" t="n"/>
      <c r="H278" s="24">
        <f>IF(ISNUMBER(F278),F278-IF(ISNUMBER(G278),G278,30),"")</f>
        <v/>
      </c>
      <c r="I278" s="25">
        <f>IF(F278="","",IF(ISNUMBER(F278),F278-TODAY(),"Check date"))</f>
        <v/>
      </c>
      <c r="J278" s="26">
        <f>IF(I278="","",IF(ISNUMBER(I278),IF(I278&lt;0,"Expired",IF(I278&lt;=30,"Due ≤30 days",IF(I278&lt;=90,"Due ≤90 days","OK"))),"Check date"))</f>
        <v/>
      </c>
      <c r="K278" s="21" t="n"/>
      <c r="L278" s="21" t="n"/>
      <c r="M278" s="21" t="n"/>
      <c r="N278" s="21" t="n"/>
      <c r="O278" s="21" t="n"/>
      <c r="P278" s="21" t="n"/>
    </row>
    <row r="279">
      <c r="A279" s="21" t="n"/>
      <c r="B279" s="21" t="n"/>
      <c r="C279" s="21" t="n"/>
      <c r="D279" s="21" t="n"/>
      <c r="E279" s="22" t="n"/>
      <c r="F279" s="22" t="n"/>
      <c r="G279" s="23" t="n"/>
      <c r="H279" s="24">
        <f>IF(ISNUMBER(F279),F279-IF(ISNUMBER(G279),G279,30),"")</f>
        <v/>
      </c>
      <c r="I279" s="25">
        <f>IF(F279="","",IF(ISNUMBER(F279),F279-TODAY(),"Check date"))</f>
        <v/>
      </c>
      <c r="J279" s="26">
        <f>IF(I279="","",IF(ISNUMBER(I279),IF(I279&lt;0,"Expired",IF(I279&lt;=30,"Due ≤30 days",IF(I279&lt;=90,"Due ≤90 days","OK"))),"Check date"))</f>
        <v/>
      </c>
      <c r="K279" s="21" t="n"/>
      <c r="L279" s="21" t="n"/>
      <c r="M279" s="21" t="n"/>
      <c r="N279" s="21" t="n"/>
      <c r="O279" s="21" t="n"/>
      <c r="P279" s="21" t="n"/>
    </row>
    <row r="280">
      <c r="A280" s="21" t="n"/>
      <c r="B280" s="21" t="n"/>
      <c r="C280" s="21" t="n"/>
      <c r="D280" s="21" t="n"/>
      <c r="E280" s="22" t="n"/>
      <c r="F280" s="22" t="n"/>
      <c r="G280" s="23" t="n"/>
      <c r="H280" s="24">
        <f>IF(ISNUMBER(F280),F280-IF(ISNUMBER(G280),G280,30),"")</f>
        <v/>
      </c>
      <c r="I280" s="25">
        <f>IF(F280="","",IF(ISNUMBER(F280),F280-TODAY(),"Check date"))</f>
        <v/>
      </c>
      <c r="J280" s="26">
        <f>IF(I280="","",IF(ISNUMBER(I280),IF(I280&lt;0,"Expired",IF(I280&lt;=30,"Due ≤30 days",IF(I280&lt;=90,"Due ≤90 days","OK"))),"Check date"))</f>
        <v/>
      </c>
      <c r="K280" s="21" t="n"/>
      <c r="L280" s="21" t="n"/>
      <c r="M280" s="21" t="n"/>
      <c r="N280" s="21" t="n"/>
      <c r="O280" s="21" t="n"/>
      <c r="P280" s="21" t="n"/>
    </row>
    <row r="281">
      <c r="A281" s="21" t="n"/>
      <c r="B281" s="21" t="n"/>
      <c r="C281" s="21" t="n"/>
      <c r="D281" s="21" t="n"/>
      <c r="E281" s="22" t="n"/>
      <c r="F281" s="22" t="n"/>
      <c r="G281" s="23" t="n"/>
      <c r="H281" s="24">
        <f>IF(ISNUMBER(F281),F281-IF(ISNUMBER(G281),G281,30),"")</f>
        <v/>
      </c>
      <c r="I281" s="25">
        <f>IF(F281="","",IF(ISNUMBER(F281),F281-TODAY(),"Check date"))</f>
        <v/>
      </c>
      <c r="J281" s="26">
        <f>IF(I281="","",IF(ISNUMBER(I281),IF(I281&lt;0,"Expired",IF(I281&lt;=30,"Due ≤30 days",IF(I281&lt;=90,"Due ≤90 days","OK"))),"Check date"))</f>
        <v/>
      </c>
      <c r="K281" s="21" t="n"/>
      <c r="L281" s="21" t="n"/>
      <c r="M281" s="21" t="n"/>
      <c r="N281" s="21" t="n"/>
      <c r="O281" s="21" t="n"/>
      <c r="P281" s="21" t="n"/>
    </row>
    <row r="282">
      <c r="A282" s="21" t="n"/>
      <c r="B282" s="21" t="n"/>
      <c r="C282" s="21" t="n"/>
      <c r="D282" s="21" t="n"/>
      <c r="E282" s="22" t="n"/>
      <c r="F282" s="22" t="n"/>
      <c r="G282" s="23" t="n"/>
      <c r="H282" s="24">
        <f>IF(ISNUMBER(F282),F282-IF(ISNUMBER(G282),G282,30),"")</f>
        <v/>
      </c>
      <c r="I282" s="25">
        <f>IF(F282="","",IF(ISNUMBER(F282),F282-TODAY(),"Check date"))</f>
        <v/>
      </c>
      <c r="J282" s="26">
        <f>IF(I282="","",IF(ISNUMBER(I282),IF(I282&lt;0,"Expired",IF(I282&lt;=30,"Due ≤30 days",IF(I282&lt;=90,"Due ≤90 days","OK"))),"Check date"))</f>
        <v/>
      </c>
      <c r="K282" s="21" t="n"/>
      <c r="L282" s="21" t="n"/>
      <c r="M282" s="21" t="n"/>
      <c r="N282" s="21" t="n"/>
      <c r="O282" s="21" t="n"/>
      <c r="P282" s="21" t="n"/>
    </row>
    <row r="283">
      <c r="A283" s="21" t="n"/>
      <c r="B283" s="21" t="n"/>
      <c r="C283" s="21" t="n"/>
      <c r="D283" s="21" t="n"/>
      <c r="E283" s="22" t="n"/>
      <c r="F283" s="22" t="n"/>
      <c r="G283" s="23" t="n"/>
      <c r="H283" s="24">
        <f>IF(ISNUMBER(F283),F283-IF(ISNUMBER(G283),G283,30),"")</f>
        <v/>
      </c>
      <c r="I283" s="25">
        <f>IF(F283="","",IF(ISNUMBER(F283),F283-TODAY(),"Check date"))</f>
        <v/>
      </c>
      <c r="J283" s="26">
        <f>IF(I283="","",IF(ISNUMBER(I283),IF(I283&lt;0,"Expired",IF(I283&lt;=30,"Due ≤30 days",IF(I283&lt;=90,"Due ≤90 days","OK"))),"Check date"))</f>
        <v/>
      </c>
      <c r="K283" s="21" t="n"/>
      <c r="L283" s="21" t="n"/>
      <c r="M283" s="21" t="n"/>
      <c r="N283" s="21" t="n"/>
      <c r="O283" s="21" t="n"/>
      <c r="P283" s="21" t="n"/>
    </row>
    <row r="284">
      <c r="A284" s="21" t="n"/>
      <c r="B284" s="21" t="n"/>
      <c r="C284" s="21" t="n"/>
      <c r="D284" s="21" t="n"/>
      <c r="E284" s="22" t="n"/>
      <c r="F284" s="22" t="n"/>
      <c r="G284" s="23" t="n"/>
      <c r="H284" s="24">
        <f>IF(ISNUMBER(F284),F284-IF(ISNUMBER(G284),G284,30),"")</f>
        <v/>
      </c>
      <c r="I284" s="25">
        <f>IF(F284="","",IF(ISNUMBER(F284),F284-TODAY(),"Check date"))</f>
        <v/>
      </c>
      <c r="J284" s="26">
        <f>IF(I284="","",IF(ISNUMBER(I284),IF(I284&lt;0,"Expired",IF(I284&lt;=30,"Due ≤30 days",IF(I284&lt;=90,"Due ≤90 days","OK"))),"Check date"))</f>
        <v/>
      </c>
      <c r="K284" s="21" t="n"/>
      <c r="L284" s="21" t="n"/>
      <c r="M284" s="21" t="n"/>
      <c r="N284" s="21" t="n"/>
      <c r="O284" s="21" t="n"/>
      <c r="P284" s="21" t="n"/>
    </row>
    <row r="285">
      <c r="A285" s="21" t="n"/>
      <c r="B285" s="21" t="n"/>
      <c r="C285" s="21" t="n"/>
      <c r="D285" s="21" t="n"/>
      <c r="E285" s="22" t="n"/>
      <c r="F285" s="22" t="n"/>
      <c r="G285" s="23" t="n"/>
      <c r="H285" s="24">
        <f>IF(ISNUMBER(F285),F285-IF(ISNUMBER(G285),G285,30),"")</f>
        <v/>
      </c>
      <c r="I285" s="25">
        <f>IF(F285="","",IF(ISNUMBER(F285),F285-TODAY(),"Check date"))</f>
        <v/>
      </c>
      <c r="J285" s="26">
        <f>IF(I285="","",IF(ISNUMBER(I285),IF(I285&lt;0,"Expired",IF(I285&lt;=30,"Due ≤30 days",IF(I285&lt;=90,"Due ≤90 days","OK"))),"Check date"))</f>
        <v/>
      </c>
      <c r="K285" s="21" t="n"/>
      <c r="L285" s="21" t="n"/>
      <c r="M285" s="21" t="n"/>
      <c r="N285" s="21" t="n"/>
      <c r="O285" s="21" t="n"/>
      <c r="P285" s="21" t="n"/>
    </row>
    <row r="286">
      <c r="A286" s="21" t="n"/>
      <c r="B286" s="21" t="n"/>
      <c r="C286" s="21" t="n"/>
      <c r="D286" s="21" t="n"/>
      <c r="E286" s="22" t="n"/>
      <c r="F286" s="22" t="n"/>
      <c r="G286" s="23" t="n"/>
      <c r="H286" s="24">
        <f>IF(ISNUMBER(F286),F286-IF(ISNUMBER(G286),G286,30),"")</f>
        <v/>
      </c>
      <c r="I286" s="25">
        <f>IF(F286="","",IF(ISNUMBER(F286),F286-TODAY(),"Check date"))</f>
        <v/>
      </c>
      <c r="J286" s="26">
        <f>IF(I286="","",IF(ISNUMBER(I286),IF(I286&lt;0,"Expired",IF(I286&lt;=30,"Due ≤30 days",IF(I286&lt;=90,"Due ≤90 days","OK"))),"Check date"))</f>
        <v/>
      </c>
      <c r="K286" s="21" t="n"/>
      <c r="L286" s="21" t="n"/>
      <c r="M286" s="21" t="n"/>
      <c r="N286" s="21" t="n"/>
      <c r="O286" s="21" t="n"/>
      <c r="P286" s="21" t="n"/>
    </row>
    <row r="287">
      <c r="A287" s="21" t="n"/>
      <c r="B287" s="21" t="n"/>
      <c r="C287" s="21" t="n"/>
      <c r="D287" s="21" t="n"/>
      <c r="E287" s="22" t="n"/>
      <c r="F287" s="22" t="n"/>
      <c r="G287" s="23" t="n"/>
      <c r="H287" s="24">
        <f>IF(ISNUMBER(F287),F287-IF(ISNUMBER(G287),G287,30),"")</f>
        <v/>
      </c>
      <c r="I287" s="25">
        <f>IF(F287="","",IF(ISNUMBER(F287),F287-TODAY(),"Check date"))</f>
        <v/>
      </c>
      <c r="J287" s="26">
        <f>IF(I287="","",IF(ISNUMBER(I287),IF(I287&lt;0,"Expired",IF(I287&lt;=30,"Due ≤30 days",IF(I287&lt;=90,"Due ≤90 days","OK"))),"Check date"))</f>
        <v/>
      </c>
      <c r="K287" s="21" t="n"/>
      <c r="L287" s="21" t="n"/>
      <c r="M287" s="21" t="n"/>
      <c r="N287" s="21" t="n"/>
      <c r="O287" s="21" t="n"/>
      <c r="P287" s="21" t="n"/>
    </row>
    <row r="288">
      <c r="A288" s="21" t="n"/>
      <c r="B288" s="21" t="n"/>
      <c r="C288" s="21" t="n"/>
      <c r="D288" s="21" t="n"/>
      <c r="E288" s="22" t="n"/>
      <c r="F288" s="22" t="n"/>
      <c r="G288" s="23" t="n"/>
      <c r="H288" s="24">
        <f>IF(ISNUMBER(F288),F288-IF(ISNUMBER(G288),G288,30),"")</f>
        <v/>
      </c>
      <c r="I288" s="25">
        <f>IF(F288="","",IF(ISNUMBER(F288),F288-TODAY(),"Check date"))</f>
        <v/>
      </c>
      <c r="J288" s="26">
        <f>IF(I288="","",IF(ISNUMBER(I288),IF(I288&lt;0,"Expired",IF(I288&lt;=30,"Due ≤30 days",IF(I288&lt;=90,"Due ≤90 days","OK"))),"Check date"))</f>
        <v/>
      </c>
      <c r="K288" s="21" t="n"/>
      <c r="L288" s="21" t="n"/>
      <c r="M288" s="21" t="n"/>
      <c r="N288" s="21" t="n"/>
      <c r="O288" s="21" t="n"/>
      <c r="P288" s="21" t="n"/>
    </row>
    <row r="289">
      <c r="A289" s="21" t="n"/>
      <c r="B289" s="21" t="n"/>
      <c r="C289" s="21" t="n"/>
      <c r="D289" s="21" t="n"/>
      <c r="E289" s="22" t="n"/>
      <c r="F289" s="22" t="n"/>
      <c r="G289" s="23" t="n"/>
      <c r="H289" s="24">
        <f>IF(ISNUMBER(F289),F289-IF(ISNUMBER(G289),G289,30),"")</f>
        <v/>
      </c>
      <c r="I289" s="25">
        <f>IF(F289="","",IF(ISNUMBER(F289),F289-TODAY(),"Check date"))</f>
        <v/>
      </c>
      <c r="J289" s="26">
        <f>IF(I289="","",IF(ISNUMBER(I289),IF(I289&lt;0,"Expired",IF(I289&lt;=30,"Due ≤30 days",IF(I289&lt;=90,"Due ≤90 days","OK"))),"Check date"))</f>
        <v/>
      </c>
      <c r="K289" s="21" t="n"/>
      <c r="L289" s="21" t="n"/>
      <c r="M289" s="21" t="n"/>
      <c r="N289" s="21" t="n"/>
      <c r="O289" s="21" t="n"/>
      <c r="P289" s="21" t="n"/>
    </row>
    <row r="290">
      <c r="A290" s="21" t="n"/>
      <c r="B290" s="21" t="n"/>
      <c r="C290" s="21" t="n"/>
      <c r="D290" s="21" t="n"/>
      <c r="E290" s="22" t="n"/>
      <c r="F290" s="22" t="n"/>
      <c r="G290" s="23" t="n"/>
      <c r="H290" s="24">
        <f>IF(ISNUMBER(F290),F290-IF(ISNUMBER(G290),G290,30),"")</f>
        <v/>
      </c>
      <c r="I290" s="25">
        <f>IF(F290="","",IF(ISNUMBER(F290),F290-TODAY(),"Check date"))</f>
        <v/>
      </c>
      <c r="J290" s="26">
        <f>IF(I290="","",IF(ISNUMBER(I290),IF(I290&lt;0,"Expired",IF(I290&lt;=30,"Due ≤30 days",IF(I290&lt;=90,"Due ≤90 days","OK"))),"Check date"))</f>
        <v/>
      </c>
      <c r="K290" s="21" t="n"/>
      <c r="L290" s="21" t="n"/>
      <c r="M290" s="21" t="n"/>
      <c r="N290" s="21" t="n"/>
      <c r="O290" s="21" t="n"/>
      <c r="P290" s="21" t="n"/>
    </row>
    <row r="291">
      <c r="A291" s="21" t="n"/>
      <c r="B291" s="21" t="n"/>
      <c r="C291" s="21" t="n"/>
      <c r="D291" s="21" t="n"/>
      <c r="E291" s="22" t="n"/>
      <c r="F291" s="22" t="n"/>
      <c r="G291" s="23" t="n"/>
      <c r="H291" s="24">
        <f>IF(ISNUMBER(F291),F291-IF(ISNUMBER(G291),G291,30),"")</f>
        <v/>
      </c>
      <c r="I291" s="25">
        <f>IF(F291="","",IF(ISNUMBER(F291),F291-TODAY(),"Check date"))</f>
        <v/>
      </c>
      <c r="J291" s="26">
        <f>IF(I291="","",IF(ISNUMBER(I291),IF(I291&lt;0,"Expired",IF(I291&lt;=30,"Due ≤30 days",IF(I291&lt;=90,"Due ≤90 days","OK"))),"Check date"))</f>
        <v/>
      </c>
      <c r="K291" s="21" t="n"/>
      <c r="L291" s="21" t="n"/>
      <c r="M291" s="21" t="n"/>
      <c r="N291" s="21" t="n"/>
      <c r="O291" s="21" t="n"/>
      <c r="P291" s="21" t="n"/>
    </row>
    <row r="292">
      <c r="A292" s="21" t="n"/>
      <c r="B292" s="21" t="n"/>
      <c r="C292" s="21" t="n"/>
      <c r="D292" s="21" t="n"/>
      <c r="E292" s="22" t="n"/>
      <c r="F292" s="22" t="n"/>
      <c r="G292" s="23" t="n"/>
      <c r="H292" s="24">
        <f>IF(ISNUMBER(F292),F292-IF(ISNUMBER(G292),G292,30),"")</f>
        <v/>
      </c>
      <c r="I292" s="25">
        <f>IF(F292="","",IF(ISNUMBER(F292),F292-TODAY(),"Check date"))</f>
        <v/>
      </c>
      <c r="J292" s="26">
        <f>IF(I292="","",IF(ISNUMBER(I292),IF(I292&lt;0,"Expired",IF(I292&lt;=30,"Due ≤30 days",IF(I292&lt;=90,"Due ≤90 days","OK"))),"Check date"))</f>
        <v/>
      </c>
      <c r="K292" s="21" t="n"/>
      <c r="L292" s="21" t="n"/>
      <c r="M292" s="21" t="n"/>
      <c r="N292" s="21" t="n"/>
      <c r="O292" s="21" t="n"/>
      <c r="P292" s="21" t="n"/>
    </row>
    <row r="293">
      <c r="A293" s="21" t="n"/>
      <c r="B293" s="21" t="n"/>
      <c r="C293" s="21" t="n"/>
      <c r="D293" s="21" t="n"/>
      <c r="E293" s="22" t="n"/>
      <c r="F293" s="22" t="n"/>
      <c r="G293" s="23" t="n"/>
      <c r="H293" s="24">
        <f>IF(ISNUMBER(F293),F293-IF(ISNUMBER(G293),G293,30),"")</f>
        <v/>
      </c>
      <c r="I293" s="25">
        <f>IF(F293="","",IF(ISNUMBER(F293),F293-TODAY(),"Check date"))</f>
        <v/>
      </c>
      <c r="J293" s="26">
        <f>IF(I293="","",IF(ISNUMBER(I293),IF(I293&lt;0,"Expired",IF(I293&lt;=30,"Due ≤30 days",IF(I293&lt;=90,"Due ≤90 days","OK"))),"Check date"))</f>
        <v/>
      </c>
      <c r="K293" s="21" t="n"/>
      <c r="L293" s="21" t="n"/>
      <c r="M293" s="21" t="n"/>
      <c r="N293" s="21" t="n"/>
      <c r="O293" s="21" t="n"/>
      <c r="P293" s="21" t="n"/>
    </row>
    <row r="294">
      <c r="A294" s="21" t="n"/>
      <c r="B294" s="21" t="n"/>
      <c r="C294" s="21" t="n"/>
      <c r="D294" s="21" t="n"/>
      <c r="E294" s="22" t="n"/>
      <c r="F294" s="22" t="n"/>
      <c r="G294" s="23" t="n"/>
      <c r="H294" s="24">
        <f>IF(ISNUMBER(F294),F294-IF(ISNUMBER(G294),G294,30),"")</f>
        <v/>
      </c>
      <c r="I294" s="25">
        <f>IF(F294="","",IF(ISNUMBER(F294),F294-TODAY(),"Check date"))</f>
        <v/>
      </c>
      <c r="J294" s="26">
        <f>IF(I294="","",IF(ISNUMBER(I294),IF(I294&lt;0,"Expired",IF(I294&lt;=30,"Due ≤30 days",IF(I294&lt;=90,"Due ≤90 days","OK"))),"Check date"))</f>
        <v/>
      </c>
      <c r="K294" s="21" t="n"/>
      <c r="L294" s="21" t="n"/>
      <c r="M294" s="21" t="n"/>
      <c r="N294" s="21" t="n"/>
      <c r="O294" s="21" t="n"/>
      <c r="P294" s="21" t="n"/>
    </row>
    <row r="295">
      <c r="A295" s="21" t="n"/>
      <c r="B295" s="21" t="n"/>
      <c r="C295" s="21" t="n"/>
      <c r="D295" s="21" t="n"/>
      <c r="E295" s="22" t="n"/>
      <c r="F295" s="22" t="n"/>
      <c r="G295" s="23" t="n"/>
      <c r="H295" s="24">
        <f>IF(ISNUMBER(F295),F295-IF(ISNUMBER(G295),G295,30),"")</f>
        <v/>
      </c>
      <c r="I295" s="25">
        <f>IF(F295="","",IF(ISNUMBER(F295),F295-TODAY(),"Check date"))</f>
        <v/>
      </c>
      <c r="J295" s="26">
        <f>IF(I295="","",IF(ISNUMBER(I295),IF(I295&lt;0,"Expired",IF(I295&lt;=30,"Due ≤30 days",IF(I295&lt;=90,"Due ≤90 days","OK"))),"Check date"))</f>
        <v/>
      </c>
      <c r="K295" s="21" t="n"/>
      <c r="L295" s="21" t="n"/>
      <c r="M295" s="21" t="n"/>
      <c r="N295" s="21" t="n"/>
      <c r="O295" s="21" t="n"/>
      <c r="P295" s="21" t="n"/>
    </row>
    <row r="296">
      <c r="A296" s="21" t="n"/>
      <c r="B296" s="21" t="n"/>
      <c r="C296" s="21" t="n"/>
      <c r="D296" s="21" t="n"/>
      <c r="E296" s="22" t="n"/>
      <c r="F296" s="22" t="n"/>
      <c r="G296" s="23" t="n"/>
      <c r="H296" s="24">
        <f>IF(ISNUMBER(F296),F296-IF(ISNUMBER(G296),G296,30),"")</f>
        <v/>
      </c>
      <c r="I296" s="25">
        <f>IF(F296="","",IF(ISNUMBER(F296),F296-TODAY(),"Check date"))</f>
        <v/>
      </c>
      <c r="J296" s="26">
        <f>IF(I296="","",IF(ISNUMBER(I296),IF(I296&lt;0,"Expired",IF(I296&lt;=30,"Due ≤30 days",IF(I296&lt;=90,"Due ≤90 days","OK"))),"Check date"))</f>
        <v/>
      </c>
      <c r="K296" s="21" t="n"/>
      <c r="L296" s="21" t="n"/>
      <c r="M296" s="21" t="n"/>
      <c r="N296" s="21" t="n"/>
      <c r="O296" s="21" t="n"/>
      <c r="P296" s="21" t="n"/>
    </row>
    <row r="297">
      <c r="A297" s="21" t="n"/>
      <c r="B297" s="21" t="n"/>
      <c r="C297" s="21" t="n"/>
      <c r="D297" s="21" t="n"/>
      <c r="E297" s="22" t="n"/>
      <c r="F297" s="22" t="n"/>
      <c r="G297" s="23" t="n"/>
      <c r="H297" s="24">
        <f>IF(ISNUMBER(F297),F297-IF(ISNUMBER(G297),G297,30),"")</f>
        <v/>
      </c>
      <c r="I297" s="25">
        <f>IF(F297="","",IF(ISNUMBER(F297),F297-TODAY(),"Check date"))</f>
        <v/>
      </c>
      <c r="J297" s="26">
        <f>IF(I297="","",IF(ISNUMBER(I297),IF(I297&lt;0,"Expired",IF(I297&lt;=30,"Due ≤30 days",IF(I297&lt;=90,"Due ≤90 days","OK"))),"Check date"))</f>
        <v/>
      </c>
      <c r="K297" s="21" t="n"/>
      <c r="L297" s="21" t="n"/>
      <c r="M297" s="21" t="n"/>
      <c r="N297" s="21" t="n"/>
      <c r="O297" s="21" t="n"/>
      <c r="P297" s="21" t="n"/>
    </row>
    <row r="298">
      <c r="A298" s="21" t="n"/>
      <c r="B298" s="21" t="n"/>
      <c r="C298" s="21" t="n"/>
      <c r="D298" s="21" t="n"/>
      <c r="E298" s="22" t="n"/>
      <c r="F298" s="22" t="n"/>
      <c r="G298" s="23" t="n"/>
      <c r="H298" s="24">
        <f>IF(ISNUMBER(F298),F298-IF(ISNUMBER(G298),G298,30),"")</f>
        <v/>
      </c>
      <c r="I298" s="25">
        <f>IF(F298="","",IF(ISNUMBER(F298),F298-TODAY(),"Check date"))</f>
        <v/>
      </c>
      <c r="J298" s="26">
        <f>IF(I298="","",IF(ISNUMBER(I298),IF(I298&lt;0,"Expired",IF(I298&lt;=30,"Due ≤30 days",IF(I298&lt;=90,"Due ≤90 days","OK"))),"Check date"))</f>
        <v/>
      </c>
      <c r="K298" s="21" t="n"/>
      <c r="L298" s="21" t="n"/>
      <c r="M298" s="21" t="n"/>
      <c r="N298" s="21" t="n"/>
      <c r="O298" s="21" t="n"/>
      <c r="P298" s="21" t="n"/>
    </row>
    <row r="299">
      <c r="A299" s="21" t="n"/>
      <c r="B299" s="21" t="n"/>
      <c r="C299" s="21" t="n"/>
      <c r="D299" s="21" t="n"/>
      <c r="E299" s="22" t="n"/>
      <c r="F299" s="22" t="n"/>
      <c r="G299" s="23" t="n"/>
      <c r="H299" s="24">
        <f>IF(ISNUMBER(F299),F299-IF(ISNUMBER(G299),G299,30),"")</f>
        <v/>
      </c>
      <c r="I299" s="25">
        <f>IF(F299="","",IF(ISNUMBER(F299),F299-TODAY(),"Check date"))</f>
        <v/>
      </c>
      <c r="J299" s="26">
        <f>IF(I299="","",IF(ISNUMBER(I299),IF(I299&lt;0,"Expired",IF(I299&lt;=30,"Due ≤30 days",IF(I299&lt;=90,"Due ≤90 days","OK"))),"Check date"))</f>
        <v/>
      </c>
      <c r="K299" s="21" t="n"/>
      <c r="L299" s="21" t="n"/>
      <c r="M299" s="21" t="n"/>
      <c r="N299" s="21" t="n"/>
      <c r="O299" s="21" t="n"/>
      <c r="P299" s="21" t="n"/>
    </row>
    <row r="300">
      <c r="A300" s="21" t="n"/>
      <c r="B300" s="21" t="n"/>
      <c r="C300" s="21" t="n"/>
      <c r="D300" s="21" t="n"/>
      <c r="E300" s="22" t="n"/>
      <c r="F300" s="22" t="n"/>
      <c r="G300" s="23" t="n"/>
      <c r="H300" s="24">
        <f>IF(ISNUMBER(F300),F300-IF(ISNUMBER(G300),G300,30),"")</f>
        <v/>
      </c>
      <c r="I300" s="25">
        <f>IF(F300="","",IF(ISNUMBER(F300),F300-TODAY(),"Check date"))</f>
        <v/>
      </c>
      <c r="J300" s="26">
        <f>IF(I300="","",IF(ISNUMBER(I300),IF(I300&lt;0,"Expired",IF(I300&lt;=30,"Due ≤30 days",IF(I300&lt;=90,"Due ≤90 days","OK"))),"Check date"))</f>
        <v/>
      </c>
      <c r="K300" s="21" t="n"/>
      <c r="L300" s="21" t="n"/>
      <c r="M300" s="21" t="n"/>
      <c r="N300" s="21" t="n"/>
      <c r="O300" s="21" t="n"/>
      <c r="P300" s="21" t="n"/>
    </row>
    <row r="301">
      <c r="A301" s="21" t="n"/>
      <c r="B301" s="21" t="n"/>
      <c r="C301" s="21" t="n"/>
      <c r="D301" s="21" t="n"/>
      <c r="E301" s="22" t="n"/>
      <c r="F301" s="22" t="n"/>
      <c r="G301" s="23" t="n"/>
      <c r="H301" s="24">
        <f>IF(ISNUMBER(F301),F301-IF(ISNUMBER(G301),G301,30),"")</f>
        <v/>
      </c>
      <c r="I301" s="25">
        <f>IF(F301="","",IF(ISNUMBER(F301),F301-TODAY(),"Check date"))</f>
        <v/>
      </c>
      <c r="J301" s="26">
        <f>IF(I301="","",IF(ISNUMBER(I301),IF(I301&lt;0,"Expired",IF(I301&lt;=30,"Due ≤30 days",IF(I301&lt;=90,"Due ≤90 days","OK"))),"Check date"))</f>
        <v/>
      </c>
      <c r="K301" s="21" t="n"/>
      <c r="L301" s="21" t="n"/>
      <c r="M301" s="21" t="n"/>
      <c r="N301" s="21" t="n"/>
      <c r="O301" s="21" t="n"/>
      <c r="P301" s="21" t="n"/>
    </row>
    <row r="302">
      <c r="A302" s="21" t="n"/>
      <c r="B302" s="21" t="n"/>
      <c r="C302" s="21" t="n"/>
      <c r="D302" s="21" t="n"/>
      <c r="E302" s="22" t="n"/>
      <c r="F302" s="22" t="n"/>
      <c r="G302" s="23" t="n"/>
      <c r="H302" s="24">
        <f>IF(ISNUMBER(F302),F302-IF(ISNUMBER(G302),G302,30),"")</f>
        <v/>
      </c>
      <c r="I302" s="25">
        <f>IF(F302="","",IF(ISNUMBER(F302),F302-TODAY(),"Check date"))</f>
        <v/>
      </c>
      <c r="J302" s="26">
        <f>IF(I302="","",IF(ISNUMBER(I302),IF(I302&lt;0,"Expired",IF(I302&lt;=30,"Due ≤30 days",IF(I302&lt;=90,"Due ≤90 days","OK"))),"Check date"))</f>
        <v/>
      </c>
      <c r="K302" s="21" t="n"/>
      <c r="L302" s="21" t="n"/>
      <c r="M302" s="21" t="n"/>
      <c r="N302" s="21" t="n"/>
      <c r="O302" s="21" t="n"/>
      <c r="P302" s="21" t="n"/>
    </row>
    <row r="303">
      <c r="A303" s="21" t="n"/>
      <c r="B303" s="21" t="n"/>
      <c r="C303" s="21" t="n"/>
      <c r="D303" s="21" t="n"/>
      <c r="E303" s="22" t="n"/>
      <c r="F303" s="22" t="n"/>
      <c r="G303" s="23" t="n"/>
      <c r="H303" s="24">
        <f>IF(ISNUMBER(F303),F303-IF(ISNUMBER(G303),G303,30),"")</f>
        <v/>
      </c>
      <c r="I303" s="25">
        <f>IF(F303="","",IF(ISNUMBER(F303),F303-TODAY(),"Check date"))</f>
        <v/>
      </c>
      <c r="J303" s="26">
        <f>IF(I303="","",IF(ISNUMBER(I303),IF(I303&lt;0,"Expired",IF(I303&lt;=30,"Due ≤30 days",IF(I303&lt;=90,"Due ≤90 days","OK"))),"Check date"))</f>
        <v/>
      </c>
      <c r="K303" s="21" t="n"/>
      <c r="L303" s="21" t="n"/>
      <c r="M303" s="21" t="n"/>
      <c r="N303" s="21" t="n"/>
      <c r="O303" s="21" t="n"/>
      <c r="P303" s="21" t="n"/>
    </row>
    <row r="304">
      <c r="A304" s="21" t="n"/>
      <c r="B304" s="21" t="n"/>
      <c r="C304" s="21" t="n"/>
      <c r="D304" s="21" t="n"/>
      <c r="E304" s="22" t="n"/>
      <c r="F304" s="22" t="n"/>
      <c r="G304" s="23" t="n"/>
      <c r="H304" s="24">
        <f>IF(ISNUMBER(F304),F304-IF(ISNUMBER(G304),G304,30),"")</f>
        <v/>
      </c>
      <c r="I304" s="25">
        <f>IF(F304="","",IF(ISNUMBER(F304),F304-TODAY(),"Check date"))</f>
        <v/>
      </c>
      <c r="J304" s="26">
        <f>IF(I304="","",IF(ISNUMBER(I304),IF(I304&lt;0,"Expired",IF(I304&lt;=30,"Due ≤30 days",IF(I304&lt;=90,"Due ≤90 days","OK"))),"Check date"))</f>
        <v/>
      </c>
      <c r="K304" s="21" t="n"/>
      <c r="L304" s="21" t="n"/>
      <c r="M304" s="21" t="n"/>
      <c r="N304" s="21" t="n"/>
      <c r="O304" s="21" t="n"/>
      <c r="P304" s="21" t="n"/>
    </row>
    <row r="305">
      <c r="A305" s="21" t="n"/>
      <c r="B305" s="21" t="n"/>
      <c r="C305" s="21" t="n"/>
      <c r="D305" s="21" t="n"/>
      <c r="E305" s="22" t="n"/>
      <c r="F305" s="22" t="n"/>
      <c r="G305" s="23" t="n"/>
      <c r="H305" s="24">
        <f>IF(ISNUMBER(F305),F305-IF(ISNUMBER(G305),G305,30),"")</f>
        <v/>
      </c>
      <c r="I305" s="25">
        <f>IF(F305="","",IF(ISNUMBER(F305),F305-TODAY(),"Check date"))</f>
        <v/>
      </c>
      <c r="J305" s="26">
        <f>IF(I305="","",IF(ISNUMBER(I305),IF(I305&lt;0,"Expired",IF(I305&lt;=30,"Due ≤30 days",IF(I305&lt;=90,"Due ≤90 days","OK"))),"Check date"))</f>
        <v/>
      </c>
      <c r="K305" s="21" t="n"/>
      <c r="L305" s="21" t="n"/>
      <c r="M305" s="21" t="n"/>
      <c r="N305" s="21" t="n"/>
      <c r="O305" s="21" t="n"/>
      <c r="P305" s="21" t="n"/>
    </row>
    <row r="306">
      <c r="A306" s="21" t="n"/>
      <c r="B306" s="21" t="n"/>
      <c r="C306" s="21" t="n"/>
      <c r="D306" s="21" t="n"/>
      <c r="E306" s="22" t="n"/>
      <c r="F306" s="22" t="n"/>
      <c r="G306" s="23" t="n"/>
      <c r="H306" s="24">
        <f>IF(ISNUMBER(F306),F306-IF(ISNUMBER(G306),G306,30),"")</f>
        <v/>
      </c>
      <c r="I306" s="25">
        <f>IF(F306="","",IF(ISNUMBER(F306),F306-TODAY(),"Check date"))</f>
        <v/>
      </c>
      <c r="J306" s="26">
        <f>IF(I306="","",IF(ISNUMBER(I306),IF(I306&lt;0,"Expired",IF(I306&lt;=30,"Due ≤30 days",IF(I306&lt;=90,"Due ≤90 days","OK"))),"Check date"))</f>
        <v/>
      </c>
      <c r="K306" s="21" t="n"/>
      <c r="L306" s="21" t="n"/>
      <c r="M306" s="21" t="n"/>
      <c r="N306" s="21" t="n"/>
      <c r="O306" s="21" t="n"/>
      <c r="P306" s="21" t="n"/>
    </row>
    <row r="307">
      <c r="A307" s="21" t="n"/>
      <c r="B307" s="21" t="n"/>
      <c r="C307" s="21" t="n"/>
      <c r="D307" s="21" t="n"/>
      <c r="E307" s="22" t="n"/>
      <c r="F307" s="22" t="n"/>
      <c r="G307" s="23" t="n"/>
      <c r="H307" s="24">
        <f>IF(ISNUMBER(F307),F307-IF(ISNUMBER(G307),G307,30),"")</f>
        <v/>
      </c>
      <c r="I307" s="25">
        <f>IF(F307="","",IF(ISNUMBER(F307),F307-TODAY(),"Check date"))</f>
        <v/>
      </c>
      <c r="J307" s="26">
        <f>IF(I307="","",IF(ISNUMBER(I307),IF(I307&lt;0,"Expired",IF(I307&lt;=30,"Due ≤30 days",IF(I307&lt;=90,"Due ≤90 days","OK"))),"Check date"))</f>
        <v/>
      </c>
      <c r="K307" s="21" t="n"/>
      <c r="L307" s="21" t="n"/>
      <c r="M307" s="21" t="n"/>
      <c r="N307" s="21" t="n"/>
      <c r="O307" s="21" t="n"/>
      <c r="P307" s="21" t="n"/>
    </row>
    <row r="308">
      <c r="A308" s="21" t="n"/>
      <c r="B308" s="21" t="n"/>
      <c r="C308" s="21" t="n"/>
      <c r="D308" s="21" t="n"/>
      <c r="E308" s="22" t="n"/>
      <c r="F308" s="22" t="n"/>
      <c r="G308" s="23" t="n"/>
      <c r="H308" s="24">
        <f>IF(ISNUMBER(F308),F308-IF(ISNUMBER(G308),G308,30),"")</f>
        <v/>
      </c>
      <c r="I308" s="25">
        <f>IF(F308="","",IF(ISNUMBER(F308),F308-TODAY(),"Check date"))</f>
        <v/>
      </c>
      <c r="J308" s="26">
        <f>IF(I308="","",IF(ISNUMBER(I308),IF(I308&lt;0,"Expired",IF(I308&lt;=30,"Due ≤30 days",IF(I308&lt;=90,"Due ≤90 days","OK"))),"Check date"))</f>
        <v/>
      </c>
      <c r="K308" s="21" t="n"/>
      <c r="L308" s="21" t="n"/>
      <c r="M308" s="21" t="n"/>
      <c r="N308" s="21" t="n"/>
      <c r="O308" s="21" t="n"/>
      <c r="P308" s="21" t="n"/>
    </row>
    <row r="309">
      <c r="A309" s="21" t="n"/>
      <c r="B309" s="21" t="n"/>
      <c r="C309" s="21" t="n"/>
      <c r="D309" s="21" t="n"/>
      <c r="E309" s="22" t="n"/>
      <c r="F309" s="22" t="n"/>
      <c r="G309" s="23" t="n"/>
      <c r="H309" s="24">
        <f>IF(ISNUMBER(F309),F309-IF(ISNUMBER(G309),G309,30),"")</f>
        <v/>
      </c>
      <c r="I309" s="25">
        <f>IF(F309="","",IF(ISNUMBER(F309),F309-TODAY(),"Check date"))</f>
        <v/>
      </c>
      <c r="J309" s="26">
        <f>IF(I309="","",IF(ISNUMBER(I309),IF(I309&lt;0,"Expired",IF(I309&lt;=30,"Due ≤30 days",IF(I309&lt;=90,"Due ≤90 days","OK"))),"Check date"))</f>
        <v/>
      </c>
      <c r="K309" s="21" t="n"/>
      <c r="L309" s="21" t="n"/>
      <c r="M309" s="21" t="n"/>
      <c r="N309" s="21" t="n"/>
      <c r="O309" s="21" t="n"/>
      <c r="P309" s="21" t="n"/>
    </row>
    <row r="310">
      <c r="A310" s="21" t="n"/>
      <c r="B310" s="21" t="n"/>
      <c r="C310" s="21" t="n"/>
      <c r="D310" s="21" t="n"/>
      <c r="E310" s="22" t="n"/>
      <c r="F310" s="22" t="n"/>
      <c r="G310" s="23" t="n"/>
      <c r="H310" s="24">
        <f>IF(ISNUMBER(F310),F310-IF(ISNUMBER(G310),G310,30),"")</f>
        <v/>
      </c>
      <c r="I310" s="25">
        <f>IF(F310="","",IF(ISNUMBER(F310),F310-TODAY(),"Check date"))</f>
        <v/>
      </c>
      <c r="J310" s="26">
        <f>IF(I310="","",IF(ISNUMBER(I310),IF(I310&lt;0,"Expired",IF(I310&lt;=30,"Due ≤30 days",IF(I310&lt;=90,"Due ≤90 days","OK"))),"Check date"))</f>
        <v/>
      </c>
      <c r="K310" s="21" t="n"/>
      <c r="L310" s="21" t="n"/>
      <c r="M310" s="21" t="n"/>
      <c r="N310" s="21" t="n"/>
      <c r="O310" s="21" t="n"/>
      <c r="P310" s="21" t="n"/>
    </row>
    <row r="311">
      <c r="A311" s="21" t="n"/>
      <c r="B311" s="21" t="n"/>
      <c r="C311" s="21" t="n"/>
      <c r="D311" s="21" t="n"/>
      <c r="E311" s="22" t="n"/>
      <c r="F311" s="22" t="n"/>
      <c r="G311" s="23" t="n"/>
      <c r="H311" s="24">
        <f>IF(ISNUMBER(F311),F311-IF(ISNUMBER(G311),G311,30),"")</f>
        <v/>
      </c>
      <c r="I311" s="25">
        <f>IF(F311="","",IF(ISNUMBER(F311),F311-TODAY(),"Check date"))</f>
        <v/>
      </c>
      <c r="J311" s="26">
        <f>IF(I311="","",IF(ISNUMBER(I311),IF(I311&lt;0,"Expired",IF(I311&lt;=30,"Due ≤30 days",IF(I311&lt;=90,"Due ≤90 days","OK"))),"Check date"))</f>
        <v/>
      </c>
      <c r="K311" s="21" t="n"/>
      <c r="L311" s="21" t="n"/>
      <c r="M311" s="21" t="n"/>
      <c r="N311" s="21" t="n"/>
      <c r="O311" s="21" t="n"/>
      <c r="P311" s="21" t="n"/>
    </row>
    <row r="312">
      <c r="A312" s="21" t="n"/>
      <c r="B312" s="21" t="n"/>
      <c r="C312" s="21" t="n"/>
      <c r="D312" s="21" t="n"/>
      <c r="E312" s="22" t="n"/>
      <c r="F312" s="22" t="n"/>
      <c r="G312" s="23" t="n"/>
      <c r="H312" s="24">
        <f>IF(ISNUMBER(F312),F312-IF(ISNUMBER(G312),G312,30),"")</f>
        <v/>
      </c>
      <c r="I312" s="25">
        <f>IF(F312="","",IF(ISNUMBER(F312),F312-TODAY(),"Check date"))</f>
        <v/>
      </c>
      <c r="J312" s="26">
        <f>IF(I312="","",IF(ISNUMBER(I312),IF(I312&lt;0,"Expired",IF(I312&lt;=30,"Due ≤30 days",IF(I312&lt;=90,"Due ≤90 days","OK"))),"Check date"))</f>
        <v/>
      </c>
      <c r="K312" s="21" t="n"/>
      <c r="L312" s="21" t="n"/>
      <c r="M312" s="21" t="n"/>
      <c r="N312" s="21" t="n"/>
      <c r="O312" s="21" t="n"/>
      <c r="P312" s="21" t="n"/>
    </row>
    <row r="313">
      <c r="A313" s="21" t="n"/>
      <c r="B313" s="21" t="n"/>
      <c r="C313" s="21" t="n"/>
      <c r="D313" s="21" t="n"/>
      <c r="E313" s="22" t="n"/>
      <c r="F313" s="22" t="n"/>
      <c r="G313" s="23" t="n"/>
      <c r="H313" s="24">
        <f>IF(ISNUMBER(F313),F313-IF(ISNUMBER(G313),G313,30),"")</f>
        <v/>
      </c>
      <c r="I313" s="25">
        <f>IF(F313="","",IF(ISNUMBER(F313),F313-TODAY(),"Check date"))</f>
        <v/>
      </c>
      <c r="J313" s="26">
        <f>IF(I313="","",IF(ISNUMBER(I313),IF(I313&lt;0,"Expired",IF(I313&lt;=30,"Due ≤30 days",IF(I313&lt;=90,"Due ≤90 days","OK"))),"Check date"))</f>
        <v/>
      </c>
      <c r="K313" s="21" t="n"/>
      <c r="L313" s="21" t="n"/>
      <c r="M313" s="21" t="n"/>
      <c r="N313" s="21" t="n"/>
      <c r="O313" s="21" t="n"/>
      <c r="P313" s="21" t="n"/>
    </row>
    <row r="314">
      <c r="A314" s="21" t="n"/>
      <c r="B314" s="21" t="n"/>
      <c r="C314" s="21" t="n"/>
      <c r="D314" s="21" t="n"/>
      <c r="E314" s="22" t="n"/>
      <c r="F314" s="22" t="n"/>
      <c r="G314" s="23" t="n"/>
      <c r="H314" s="24">
        <f>IF(ISNUMBER(F314),F314-IF(ISNUMBER(G314),G314,30),"")</f>
        <v/>
      </c>
      <c r="I314" s="25">
        <f>IF(F314="","",IF(ISNUMBER(F314),F314-TODAY(),"Check date"))</f>
        <v/>
      </c>
      <c r="J314" s="26">
        <f>IF(I314="","",IF(ISNUMBER(I314),IF(I314&lt;0,"Expired",IF(I314&lt;=30,"Due ≤30 days",IF(I314&lt;=90,"Due ≤90 days","OK"))),"Check date"))</f>
        <v/>
      </c>
      <c r="K314" s="21" t="n"/>
      <c r="L314" s="21" t="n"/>
      <c r="M314" s="21" t="n"/>
      <c r="N314" s="21" t="n"/>
      <c r="O314" s="21" t="n"/>
      <c r="P314" s="21" t="n"/>
    </row>
    <row r="315">
      <c r="A315" s="21" t="n"/>
      <c r="B315" s="21" t="n"/>
      <c r="C315" s="21" t="n"/>
      <c r="D315" s="21" t="n"/>
      <c r="E315" s="22" t="n"/>
      <c r="F315" s="22" t="n"/>
      <c r="G315" s="23" t="n"/>
      <c r="H315" s="24">
        <f>IF(ISNUMBER(F315),F315-IF(ISNUMBER(G315),G315,30),"")</f>
        <v/>
      </c>
      <c r="I315" s="25">
        <f>IF(F315="","",IF(ISNUMBER(F315),F315-TODAY(),"Check date"))</f>
        <v/>
      </c>
      <c r="J315" s="26">
        <f>IF(I315="","",IF(ISNUMBER(I315),IF(I315&lt;0,"Expired",IF(I315&lt;=30,"Due ≤30 days",IF(I315&lt;=90,"Due ≤90 days","OK"))),"Check date"))</f>
        <v/>
      </c>
      <c r="K315" s="21" t="n"/>
      <c r="L315" s="21" t="n"/>
      <c r="M315" s="21" t="n"/>
      <c r="N315" s="21" t="n"/>
      <c r="O315" s="21" t="n"/>
      <c r="P315" s="21" t="n"/>
    </row>
    <row r="316">
      <c r="A316" s="21" t="n"/>
      <c r="B316" s="21" t="n"/>
      <c r="C316" s="21" t="n"/>
      <c r="D316" s="21" t="n"/>
      <c r="E316" s="22" t="n"/>
      <c r="F316" s="22" t="n"/>
      <c r="G316" s="23" t="n"/>
      <c r="H316" s="24">
        <f>IF(ISNUMBER(F316),F316-IF(ISNUMBER(G316),G316,30),"")</f>
        <v/>
      </c>
      <c r="I316" s="25">
        <f>IF(F316="","",IF(ISNUMBER(F316),F316-TODAY(),"Check date"))</f>
        <v/>
      </c>
      <c r="J316" s="26">
        <f>IF(I316="","",IF(ISNUMBER(I316),IF(I316&lt;0,"Expired",IF(I316&lt;=30,"Due ≤30 days",IF(I316&lt;=90,"Due ≤90 days","OK"))),"Check date"))</f>
        <v/>
      </c>
      <c r="K316" s="21" t="n"/>
      <c r="L316" s="21" t="n"/>
      <c r="M316" s="21" t="n"/>
      <c r="N316" s="21" t="n"/>
      <c r="O316" s="21" t="n"/>
      <c r="P316" s="21" t="n"/>
    </row>
    <row r="317">
      <c r="A317" s="21" t="n"/>
      <c r="B317" s="21" t="n"/>
      <c r="C317" s="21" t="n"/>
      <c r="D317" s="21" t="n"/>
      <c r="E317" s="22" t="n"/>
      <c r="F317" s="22" t="n"/>
      <c r="G317" s="23" t="n"/>
      <c r="H317" s="24">
        <f>IF(ISNUMBER(F317),F317-IF(ISNUMBER(G317),G317,30),"")</f>
        <v/>
      </c>
      <c r="I317" s="25">
        <f>IF(F317="","",IF(ISNUMBER(F317),F317-TODAY(),"Check date"))</f>
        <v/>
      </c>
      <c r="J317" s="26">
        <f>IF(I317="","",IF(ISNUMBER(I317),IF(I317&lt;0,"Expired",IF(I317&lt;=30,"Due ≤30 days",IF(I317&lt;=90,"Due ≤90 days","OK"))),"Check date"))</f>
        <v/>
      </c>
      <c r="K317" s="21" t="n"/>
      <c r="L317" s="21" t="n"/>
      <c r="M317" s="21" t="n"/>
      <c r="N317" s="21" t="n"/>
      <c r="O317" s="21" t="n"/>
      <c r="P317" s="21" t="n"/>
    </row>
    <row r="318">
      <c r="A318" s="21" t="n"/>
      <c r="B318" s="21" t="n"/>
      <c r="C318" s="21" t="n"/>
      <c r="D318" s="21" t="n"/>
      <c r="E318" s="22" t="n"/>
      <c r="F318" s="22" t="n"/>
      <c r="G318" s="23" t="n"/>
      <c r="H318" s="24">
        <f>IF(ISNUMBER(F318),F318-IF(ISNUMBER(G318),G318,30),"")</f>
        <v/>
      </c>
      <c r="I318" s="25">
        <f>IF(F318="","",IF(ISNUMBER(F318),F318-TODAY(),"Check date"))</f>
        <v/>
      </c>
      <c r="J318" s="26">
        <f>IF(I318="","",IF(ISNUMBER(I318),IF(I318&lt;0,"Expired",IF(I318&lt;=30,"Due ≤30 days",IF(I318&lt;=90,"Due ≤90 days","OK"))),"Check date"))</f>
        <v/>
      </c>
      <c r="K318" s="21" t="n"/>
      <c r="L318" s="21" t="n"/>
      <c r="M318" s="21" t="n"/>
      <c r="N318" s="21" t="n"/>
      <c r="O318" s="21" t="n"/>
      <c r="P318" s="21" t="n"/>
    </row>
    <row r="319">
      <c r="A319" s="21" t="n"/>
      <c r="B319" s="21" t="n"/>
      <c r="C319" s="21" t="n"/>
      <c r="D319" s="21" t="n"/>
      <c r="E319" s="22" t="n"/>
      <c r="F319" s="22" t="n"/>
      <c r="G319" s="23" t="n"/>
      <c r="H319" s="24">
        <f>IF(ISNUMBER(F319),F319-IF(ISNUMBER(G319),G319,30),"")</f>
        <v/>
      </c>
      <c r="I319" s="25">
        <f>IF(F319="","",IF(ISNUMBER(F319),F319-TODAY(),"Check date"))</f>
        <v/>
      </c>
      <c r="J319" s="26">
        <f>IF(I319="","",IF(ISNUMBER(I319),IF(I319&lt;0,"Expired",IF(I319&lt;=30,"Due ≤30 days",IF(I319&lt;=90,"Due ≤90 days","OK"))),"Check date"))</f>
        <v/>
      </c>
      <c r="K319" s="21" t="n"/>
      <c r="L319" s="21" t="n"/>
      <c r="M319" s="21" t="n"/>
      <c r="N319" s="21" t="n"/>
      <c r="O319" s="21" t="n"/>
      <c r="P319" s="21" t="n"/>
    </row>
    <row r="320">
      <c r="A320" s="21" t="n"/>
      <c r="B320" s="21" t="n"/>
      <c r="C320" s="21" t="n"/>
      <c r="D320" s="21" t="n"/>
      <c r="E320" s="22" t="n"/>
      <c r="F320" s="22" t="n"/>
      <c r="G320" s="23" t="n"/>
      <c r="H320" s="24">
        <f>IF(ISNUMBER(F320),F320-IF(ISNUMBER(G320),G320,30),"")</f>
        <v/>
      </c>
      <c r="I320" s="25">
        <f>IF(F320="","",IF(ISNUMBER(F320),F320-TODAY(),"Check date"))</f>
        <v/>
      </c>
      <c r="J320" s="26">
        <f>IF(I320="","",IF(ISNUMBER(I320),IF(I320&lt;0,"Expired",IF(I320&lt;=30,"Due ≤30 days",IF(I320&lt;=90,"Due ≤90 days","OK"))),"Check date"))</f>
        <v/>
      </c>
      <c r="K320" s="21" t="n"/>
      <c r="L320" s="21" t="n"/>
      <c r="M320" s="21" t="n"/>
      <c r="N320" s="21" t="n"/>
      <c r="O320" s="21" t="n"/>
      <c r="P320" s="21" t="n"/>
    </row>
    <row r="321">
      <c r="A321" s="21" t="n"/>
      <c r="B321" s="21" t="n"/>
      <c r="C321" s="21" t="n"/>
      <c r="D321" s="21" t="n"/>
      <c r="E321" s="22" t="n"/>
      <c r="F321" s="22" t="n"/>
      <c r="G321" s="23" t="n"/>
      <c r="H321" s="24">
        <f>IF(ISNUMBER(F321),F321-IF(ISNUMBER(G321),G321,30),"")</f>
        <v/>
      </c>
      <c r="I321" s="25">
        <f>IF(F321="","",IF(ISNUMBER(F321),F321-TODAY(),"Check date"))</f>
        <v/>
      </c>
      <c r="J321" s="26">
        <f>IF(I321="","",IF(ISNUMBER(I321),IF(I321&lt;0,"Expired",IF(I321&lt;=30,"Due ≤30 days",IF(I321&lt;=90,"Due ≤90 days","OK"))),"Check date"))</f>
        <v/>
      </c>
      <c r="K321" s="21" t="n"/>
      <c r="L321" s="21" t="n"/>
      <c r="M321" s="21" t="n"/>
      <c r="N321" s="21" t="n"/>
      <c r="O321" s="21" t="n"/>
      <c r="P321" s="21" t="n"/>
    </row>
    <row r="322">
      <c r="A322" s="21" t="n"/>
      <c r="B322" s="21" t="n"/>
      <c r="C322" s="21" t="n"/>
      <c r="D322" s="21" t="n"/>
      <c r="E322" s="22" t="n"/>
      <c r="F322" s="22" t="n"/>
      <c r="G322" s="23" t="n"/>
      <c r="H322" s="24">
        <f>IF(ISNUMBER(F322),F322-IF(ISNUMBER(G322),G322,30),"")</f>
        <v/>
      </c>
      <c r="I322" s="25">
        <f>IF(F322="","",IF(ISNUMBER(F322),F322-TODAY(),"Check date"))</f>
        <v/>
      </c>
      <c r="J322" s="26">
        <f>IF(I322="","",IF(ISNUMBER(I322),IF(I322&lt;0,"Expired",IF(I322&lt;=30,"Due ≤30 days",IF(I322&lt;=90,"Due ≤90 days","OK"))),"Check date"))</f>
        <v/>
      </c>
      <c r="K322" s="21" t="n"/>
      <c r="L322" s="21" t="n"/>
      <c r="M322" s="21" t="n"/>
      <c r="N322" s="21" t="n"/>
      <c r="O322" s="21" t="n"/>
      <c r="P322" s="21" t="n"/>
    </row>
    <row r="323">
      <c r="A323" s="21" t="n"/>
      <c r="B323" s="21" t="n"/>
      <c r="C323" s="21" t="n"/>
      <c r="D323" s="21" t="n"/>
      <c r="E323" s="22" t="n"/>
      <c r="F323" s="22" t="n"/>
      <c r="G323" s="23" t="n"/>
      <c r="H323" s="24">
        <f>IF(ISNUMBER(F323),F323-IF(ISNUMBER(G323),G323,30),"")</f>
        <v/>
      </c>
      <c r="I323" s="25">
        <f>IF(F323="","",IF(ISNUMBER(F323),F323-TODAY(),"Check date"))</f>
        <v/>
      </c>
      <c r="J323" s="26">
        <f>IF(I323="","",IF(ISNUMBER(I323),IF(I323&lt;0,"Expired",IF(I323&lt;=30,"Due ≤30 days",IF(I323&lt;=90,"Due ≤90 days","OK"))),"Check date"))</f>
        <v/>
      </c>
      <c r="K323" s="21" t="n"/>
      <c r="L323" s="21" t="n"/>
      <c r="M323" s="21" t="n"/>
      <c r="N323" s="21" t="n"/>
      <c r="O323" s="21" t="n"/>
      <c r="P323" s="21" t="n"/>
    </row>
    <row r="324">
      <c r="A324" s="21" t="n"/>
      <c r="B324" s="21" t="n"/>
      <c r="C324" s="21" t="n"/>
      <c r="D324" s="21" t="n"/>
      <c r="E324" s="22" t="n"/>
      <c r="F324" s="22" t="n"/>
      <c r="G324" s="23" t="n"/>
      <c r="H324" s="24">
        <f>IF(ISNUMBER(F324),F324-IF(ISNUMBER(G324),G324,30),"")</f>
        <v/>
      </c>
      <c r="I324" s="25">
        <f>IF(F324="","",IF(ISNUMBER(F324),F324-TODAY(),"Check date"))</f>
        <v/>
      </c>
      <c r="J324" s="26">
        <f>IF(I324="","",IF(ISNUMBER(I324),IF(I324&lt;0,"Expired",IF(I324&lt;=30,"Due ≤30 days",IF(I324&lt;=90,"Due ≤90 days","OK"))),"Check date"))</f>
        <v/>
      </c>
      <c r="K324" s="21" t="n"/>
      <c r="L324" s="21" t="n"/>
      <c r="M324" s="21" t="n"/>
      <c r="N324" s="21" t="n"/>
      <c r="O324" s="21" t="n"/>
      <c r="P324" s="21" t="n"/>
    </row>
    <row r="325">
      <c r="A325" s="21" t="n"/>
      <c r="B325" s="21" t="n"/>
      <c r="C325" s="21" t="n"/>
      <c r="D325" s="21" t="n"/>
      <c r="E325" s="22" t="n"/>
      <c r="F325" s="22" t="n"/>
      <c r="G325" s="23" t="n"/>
      <c r="H325" s="24">
        <f>IF(ISNUMBER(F325),F325-IF(ISNUMBER(G325),G325,30),"")</f>
        <v/>
      </c>
      <c r="I325" s="25">
        <f>IF(F325="","",IF(ISNUMBER(F325),F325-TODAY(),"Check date"))</f>
        <v/>
      </c>
      <c r="J325" s="26">
        <f>IF(I325="","",IF(ISNUMBER(I325),IF(I325&lt;0,"Expired",IF(I325&lt;=30,"Due ≤30 days",IF(I325&lt;=90,"Due ≤90 days","OK"))),"Check date"))</f>
        <v/>
      </c>
      <c r="K325" s="21" t="n"/>
      <c r="L325" s="21" t="n"/>
      <c r="M325" s="21" t="n"/>
      <c r="N325" s="21" t="n"/>
      <c r="O325" s="21" t="n"/>
      <c r="P325" s="21" t="n"/>
    </row>
    <row r="326">
      <c r="A326" s="21" t="n"/>
      <c r="B326" s="21" t="n"/>
      <c r="C326" s="21" t="n"/>
      <c r="D326" s="21" t="n"/>
      <c r="E326" s="22" t="n"/>
      <c r="F326" s="22" t="n"/>
      <c r="G326" s="23" t="n"/>
      <c r="H326" s="24">
        <f>IF(ISNUMBER(F326),F326-IF(ISNUMBER(G326),G326,30),"")</f>
        <v/>
      </c>
      <c r="I326" s="25">
        <f>IF(F326="","",IF(ISNUMBER(F326),F326-TODAY(),"Check date"))</f>
        <v/>
      </c>
      <c r="J326" s="26">
        <f>IF(I326="","",IF(ISNUMBER(I326),IF(I326&lt;0,"Expired",IF(I326&lt;=30,"Due ≤30 days",IF(I326&lt;=90,"Due ≤90 days","OK"))),"Check date"))</f>
        <v/>
      </c>
      <c r="K326" s="21" t="n"/>
      <c r="L326" s="21" t="n"/>
      <c r="M326" s="21" t="n"/>
      <c r="N326" s="21" t="n"/>
      <c r="O326" s="21" t="n"/>
      <c r="P326" s="21" t="n"/>
    </row>
    <row r="327">
      <c r="A327" s="21" t="n"/>
      <c r="B327" s="21" t="n"/>
      <c r="C327" s="21" t="n"/>
      <c r="D327" s="21" t="n"/>
      <c r="E327" s="22" t="n"/>
      <c r="F327" s="22" t="n"/>
      <c r="G327" s="23" t="n"/>
      <c r="H327" s="24">
        <f>IF(ISNUMBER(F327),F327-IF(ISNUMBER(G327),G327,30),"")</f>
        <v/>
      </c>
      <c r="I327" s="25">
        <f>IF(F327="","",IF(ISNUMBER(F327),F327-TODAY(),"Check date"))</f>
        <v/>
      </c>
      <c r="J327" s="26">
        <f>IF(I327="","",IF(ISNUMBER(I327),IF(I327&lt;0,"Expired",IF(I327&lt;=30,"Due ≤30 days",IF(I327&lt;=90,"Due ≤90 days","OK"))),"Check date"))</f>
        <v/>
      </c>
      <c r="K327" s="21" t="n"/>
      <c r="L327" s="21" t="n"/>
      <c r="M327" s="21" t="n"/>
      <c r="N327" s="21" t="n"/>
      <c r="O327" s="21" t="n"/>
      <c r="P327" s="21" t="n"/>
    </row>
    <row r="328">
      <c r="A328" s="21" t="n"/>
      <c r="B328" s="21" t="n"/>
      <c r="C328" s="21" t="n"/>
      <c r="D328" s="21" t="n"/>
      <c r="E328" s="22" t="n"/>
      <c r="F328" s="22" t="n"/>
      <c r="G328" s="23" t="n"/>
      <c r="H328" s="24">
        <f>IF(ISNUMBER(F328),F328-IF(ISNUMBER(G328),G328,30),"")</f>
        <v/>
      </c>
      <c r="I328" s="25">
        <f>IF(F328="","",IF(ISNUMBER(F328),F328-TODAY(),"Check date"))</f>
        <v/>
      </c>
      <c r="J328" s="26">
        <f>IF(I328="","",IF(ISNUMBER(I328),IF(I328&lt;0,"Expired",IF(I328&lt;=30,"Due ≤30 days",IF(I328&lt;=90,"Due ≤90 days","OK"))),"Check date"))</f>
        <v/>
      </c>
      <c r="K328" s="21" t="n"/>
      <c r="L328" s="21" t="n"/>
      <c r="M328" s="21" t="n"/>
      <c r="N328" s="21" t="n"/>
      <c r="O328" s="21" t="n"/>
      <c r="P328" s="21" t="n"/>
    </row>
    <row r="329">
      <c r="A329" s="21" t="n"/>
      <c r="B329" s="21" t="n"/>
      <c r="C329" s="21" t="n"/>
      <c r="D329" s="21" t="n"/>
      <c r="E329" s="22" t="n"/>
      <c r="F329" s="22" t="n"/>
      <c r="G329" s="23" t="n"/>
      <c r="H329" s="24">
        <f>IF(ISNUMBER(F329),F329-IF(ISNUMBER(G329),G329,30),"")</f>
        <v/>
      </c>
      <c r="I329" s="25">
        <f>IF(F329="","",IF(ISNUMBER(F329),F329-TODAY(),"Check date"))</f>
        <v/>
      </c>
      <c r="J329" s="26">
        <f>IF(I329="","",IF(ISNUMBER(I329),IF(I329&lt;0,"Expired",IF(I329&lt;=30,"Due ≤30 days",IF(I329&lt;=90,"Due ≤90 days","OK"))),"Check date"))</f>
        <v/>
      </c>
      <c r="K329" s="21" t="n"/>
      <c r="L329" s="21" t="n"/>
      <c r="M329" s="21" t="n"/>
      <c r="N329" s="21" t="n"/>
      <c r="O329" s="21" t="n"/>
      <c r="P329" s="21" t="n"/>
    </row>
    <row r="330">
      <c r="A330" s="21" t="n"/>
      <c r="B330" s="21" t="n"/>
      <c r="C330" s="21" t="n"/>
      <c r="D330" s="21" t="n"/>
      <c r="E330" s="22" t="n"/>
      <c r="F330" s="22" t="n"/>
      <c r="G330" s="23" t="n"/>
      <c r="H330" s="24">
        <f>IF(ISNUMBER(F330),F330-IF(ISNUMBER(G330),G330,30),"")</f>
        <v/>
      </c>
      <c r="I330" s="25">
        <f>IF(F330="","",IF(ISNUMBER(F330),F330-TODAY(),"Check date"))</f>
        <v/>
      </c>
      <c r="J330" s="26">
        <f>IF(I330="","",IF(ISNUMBER(I330),IF(I330&lt;0,"Expired",IF(I330&lt;=30,"Due ≤30 days",IF(I330&lt;=90,"Due ≤90 days","OK"))),"Check date"))</f>
        <v/>
      </c>
      <c r="K330" s="21" t="n"/>
      <c r="L330" s="21" t="n"/>
      <c r="M330" s="21" t="n"/>
      <c r="N330" s="21" t="n"/>
      <c r="O330" s="21" t="n"/>
      <c r="P330" s="21" t="n"/>
    </row>
    <row r="331">
      <c r="A331" s="21" t="n"/>
      <c r="B331" s="21" t="n"/>
      <c r="C331" s="21" t="n"/>
      <c r="D331" s="21" t="n"/>
      <c r="E331" s="22" t="n"/>
      <c r="F331" s="22" t="n"/>
      <c r="G331" s="23" t="n"/>
      <c r="H331" s="24">
        <f>IF(ISNUMBER(F331),F331-IF(ISNUMBER(G331),G331,30),"")</f>
        <v/>
      </c>
      <c r="I331" s="25">
        <f>IF(F331="","",IF(ISNUMBER(F331),F331-TODAY(),"Check date"))</f>
        <v/>
      </c>
      <c r="J331" s="26">
        <f>IF(I331="","",IF(ISNUMBER(I331),IF(I331&lt;0,"Expired",IF(I331&lt;=30,"Due ≤30 days",IF(I331&lt;=90,"Due ≤90 days","OK"))),"Check date"))</f>
        <v/>
      </c>
      <c r="K331" s="21" t="n"/>
      <c r="L331" s="21" t="n"/>
      <c r="M331" s="21" t="n"/>
      <c r="N331" s="21" t="n"/>
      <c r="O331" s="21" t="n"/>
      <c r="P331" s="21" t="n"/>
    </row>
    <row r="332">
      <c r="A332" s="21" t="n"/>
      <c r="B332" s="21" t="n"/>
      <c r="C332" s="21" t="n"/>
      <c r="D332" s="21" t="n"/>
      <c r="E332" s="22" t="n"/>
      <c r="F332" s="22" t="n"/>
      <c r="G332" s="23" t="n"/>
      <c r="H332" s="24">
        <f>IF(ISNUMBER(F332),F332-IF(ISNUMBER(G332),G332,30),"")</f>
        <v/>
      </c>
      <c r="I332" s="25">
        <f>IF(F332="","",IF(ISNUMBER(F332),F332-TODAY(),"Check date"))</f>
        <v/>
      </c>
      <c r="J332" s="26">
        <f>IF(I332="","",IF(ISNUMBER(I332),IF(I332&lt;0,"Expired",IF(I332&lt;=30,"Due ≤30 days",IF(I332&lt;=90,"Due ≤90 days","OK"))),"Check date"))</f>
        <v/>
      </c>
      <c r="K332" s="21" t="n"/>
      <c r="L332" s="21" t="n"/>
      <c r="M332" s="21" t="n"/>
      <c r="N332" s="21" t="n"/>
      <c r="O332" s="21" t="n"/>
      <c r="P332" s="21" t="n"/>
    </row>
    <row r="333">
      <c r="A333" s="21" t="n"/>
      <c r="B333" s="21" t="n"/>
      <c r="C333" s="21" t="n"/>
      <c r="D333" s="21" t="n"/>
      <c r="E333" s="22" t="n"/>
      <c r="F333" s="22" t="n"/>
      <c r="G333" s="23" t="n"/>
      <c r="H333" s="24">
        <f>IF(ISNUMBER(F333),F333-IF(ISNUMBER(G333),G333,30),"")</f>
        <v/>
      </c>
      <c r="I333" s="25">
        <f>IF(F333="","",IF(ISNUMBER(F333),F333-TODAY(),"Check date"))</f>
        <v/>
      </c>
      <c r="J333" s="26">
        <f>IF(I333="","",IF(ISNUMBER(I333),IF(I333&lt;0,"Expired",IF(I333&lt;=30,"Due ≤30 days",IF(I333&lt;=90,"Due ≤90 days","OK"))),"Check date"))</f>
        <v/>
      </c>
      <c r="K333" s="21" t="n"/>
      <c r="L333" s="21" t="n"/>
      <c r="M333" s="21" t="n"/>
      <c r="N333" s="21" t="n"/>
      <c r="O333" s="21" t="n"/>
      <c r="P333" s="21" t="n"/>
    </row>
    <row r="334">
      <c r="A334" s="21" t="n"/>
      <c r="B334" s="21" t="n"/>
      <c r="C334" s="21" t="n"/>
      <c r="D334" s="21" t="n"/>
      <c r="E334" s="22" t="n"/>
      <c r="F334" s="22" t="n"/>
      <c r="G334" s="23" t="n"/>
      <c r="H334" s="24">
        <f>IF(ISNUMBER(F334),F334-IF(ISNUMBER(G334),G334,30),"")</f>
        <v/>
      </c>
      <c r="I334" s="25">
        <f>IF(F334="","",IF(ISNUMBER(F334),F334-TODAY(),"Check date"))</f>
        <v/>
      </c>
      <c r="J334" s="26">
        <f>IF(I334="","",IF(ISNUMBER(I334),IF(I334&lt;0,"Expired",IF(I334&lt;=30,"Due ≤30 days",IF(I334&lt;=90,"Due ≤90 days","OK"))),"Check date"))</f>
        <v/>
      </c>
      <c r="K334" s="21" t="n"/>
      <c r="L334" s="21" t="n"/>
      <c r="M334" s="21" t="n"/>
      <c r="N334" s="21" t="n"/>
      <c r="O334" s="21" t="n"/>
      <c r="P334" s="21" t="n"/>
    </row>
    <row r="335">
      <c r="A335" s="21" t="n"/>
      <c r="B335" s="21" t="n"/>
      <c r="C335" s="21" t="n"/>
      <c r="D335" s="21" t="n"/>
      <c r="E335" s="22" t="n"/>
      <c r="F335" s="22" t="n"/>
      <c r="G335" s="23" t="n"/>
      <c r="H335" s="24">
        <f>IF(ISNUMBER(F335),F335-IF(ISNUMBER(G335),G335,30),"")</f>
        <v/>
      </c>
      <c r="I335" s="25">
        <f>IF(F335="","",IF(ISNUMBER(F335),F335-TODAY(),"Check date"))</f>
        <v/>
      </c>
      <c r="J335" s="26">
        <f>IF(I335="","",IF(ISNUMBER(I335),IF(I335&lt;0,"Expired",IF(I335&lt;=30,"Due ≤30 days",IF(I335&lt;=90,"Due ≤90 days","OK"))),"Check date"))</f>
        <v/>
      </c>
      <c r="K335" s="21" t="n"/>
      <c r="L335" s="21" t="n"/>
      <c r="M335" s="21" t="n"/>
      <c r="N335" s="21" t="n"/>
      <c r="O335" s="21" t="n"/>
      <c r="P335" s="21" t="n"/>
    </row>
    <row r="336">
      <c r="A336" s="21" t="n"/>
      <c r="B336" s="21" t="n"/>
      <c r="C336" s="21" t="n"/>
      <c r="D336" s="21" t="n"/>
      <c r="E336" s="22" t="n"/>
      <c r="F336" s="22" t="n"/>
      <c r="G336" s="23" t="n"/>
      <c r="H336" s="24">
        <f>IF(ISNUMBER(F336),F336-IF(ISNUMBER(G336),G336,30),"")</f>
        <v/>
      </c>
      <c r="I336" s="25">
        <f>IF(F336="","",IF(ISNUMBER(F336),F336-TODAY(),"Check date"))</f>
        <v/>
      </c>
      <c r="J336" s="26">
        <f>IF(I336="","",IF(ISNUMBER(I336),IF(I336&lt;0,"Expired",IF(I336&lt;=30,"Due ≤30 days",IF(I336&lt;=90,"Due ≤90 days","OK"))),"Check date"))</f>
        <v/>
      </c>
      <c r="K336" s="21" t="n"/>
      <c r="L336" s="21" t="n"/>
      <c r="M336" s="21" t="n"/>
      <c r="N336" s="21" t="n"/>
      <c r="O336" s="21" t="n"/>
      <c r="P336" s="21" t="n"/>
    </row>
    <row r="337">
      <c r="A337" s="21" t="n"/>
      <c r="B337" s="21" t="n"/>
      <c r="C337" s="21" t="n"/>
      <c r="D337" s="21" t="n"/>
      <c r="E337" s="22" t="n"/>
      <c r="F337" s="22" t="n"/>
      <c r="G337" s="23" t="n"/>
      <c r="H337" s="24">
        <f>IF(ISNUMBER(F337),F337-IF(ISNUMBER(G337),G337,30),"")</f>
        <v/>
      </c>
      <c r="I337" s="25">
        <f>IF(F337="","",IF(ISNUMBER(F337),F337-TODAY(),"Check date"))</f>
        <v/>
      </c>
      <c r="J337" s="26">
        <f>IF(I337="","",IF(ISNUMBER(I337),IF(I337&lt;0,"Expired",IF(I337&lt;=30,"Due ≤30 days",IF(I337&lt;=90,"Due ≤90 days","OK"))),"Check date"))</f>
        <v/>
      </c>
      <c r="K337" s="21" t="n"/>
      <c r="L337" s="21" t="n"/>
      <c r="M337" s="21" t="n"/>
      <c r="N337" s="21" t="n"/>
      <c r="O337" s="21" t="n"/>
      <c r="P337" s="21" t="n"/>
    </row>
    <row r="338">
      <c r="A338" s="21" t="n"/>
      <c r="B338" s="21" t="n"/>
      <c r="C338" s="21" t="n"/>
      <c r="D338" s="21" t="n"/>
      <c r="E338" s="22" t="n"/>
      <c r="F338" s="22" t="n"/>
      <c r="G338" s="23" t="n"/>
      <c r="H338" s="24">
        <f>IF(ISNUMBER(F338),F338-IF(ISNUMBER(G338),G338,30),"")</f>
        <v/>
      </c>
      <c r="I338" s="25">
        <f>IF(F338="","",IF(ISNUMBER(F338),F338-TODAY(),"Check date"))</f>
        <v/>
      </c>
      <c r="J338" s="26">
        <f>IF(I338="","",IF(ISNUMBER(I338),IF(I338&lt;0,"Expired",IF(I338&lt;=30,"Due ≤30 days",IF(I338&lt;=90,"Due ≤90 days","OK"))),"Check date"))</f>
        <v/>
      </c>
      <c r="K338" s="21" t="n"/>
      <c r="L338" s="21" t="n"/>
      <c r="M338" s="21" t="n"/>
      <c r="N338" s="21" t="n"/>
      <c r="O338" s="21" t="n"/>
      <c r="P338" s="21" t="n"/>
    </row>
    <row r="339">
      <c r="A339" s="21" t="n"/>
      <c r="B339" s="21" t="n"/>
      <c r="C339" s="21" t="n"/>
      <c r="D339" s="21" t="n"/>
      <c r="E339" s="22" t="n"/>
      <c r="F339" s="22" t="n"/>
      <c r="G339" s="23" t="n"/>
      <c r="H339" s="24">
        <f>IF(ISNUMBER(F339),F339-IF(ISNUMBER(G339),G339,30),"")</f>
        <v/>
      </c>
      <c r="I339" s="25">
        <f>IF(F339="","",IF(ISNUMBER(F339),F339-TODAY(),"Check date"))</f>
        <v/>
      </c>
      <c r="J339" s="26">
        <f>IF(I339="","",IF(ISNUMBER(I339),IF(I339&lt;0,"Expired",IF(I339&lt;=30,"Due ≤30 days",IF(I339&lt;=90,"Due ≤90 days","OK"))),"Check date"))</f>
        <v/>
      </c>
      <c r="K339" s="21" t="n"/>
      <c r="L339" s="21" t="n"/>
      <c r="M339" s="21" t="n"/>
      <c r="N339" s="21" t="n"/>
      <c r="O339" s="21" t="n"/>
      <c r="P339" s="21" t="n"/>
    </row>
    <row r="340">
      <c r="A340" s="21" t="n"/>
      <c r="B340" s="21" t="n"/>
      <c r="C340" s="21" t="n"/>
      <c r="D340" s="21" t="n"/>
      <c r="E340" s="22" t="n"/>
      <c r="F340" s="22" t="n"/>
      <c r="G340" s="23" t="n"/>
      <c r="H340" s="24">
        <f>IF(ISNUMBER(F340),F340-IF(ISNUMBER(G340),G340,30),"")</f>
        <v/>
      </c>
      <c r="I340" s="25">
        <f>IF(F340="","",IF(ISNUMBER(F340),F340-TODAY(),"Check date"))</f>
        <v/>
      </c>
      <c r="J340" s="26">
        <f>IF(I340="","",IF(ISNUMBER(I340),IF(I340&lt;0,"Expired",IF(I340&lt;=30,"Due ≤30 days",IF(I340&lt;=90,"Due ≤90 days","OK"))),"Check date"))</f>
        <v/>
      </c>
      <c r="K340" s="21" t="n"/>
      <c r="L340" s="21" t="n"/>
      <c r="M340" s="21" t="n"/>
      <c r="N340" s="21" t="n"/>
      <c r="O340" s="21" t="n"/>
      <c r="P340" s="21" t="n"/>
    </row>
    <row r="341">
      <c r="A341" s="21" t="n"/>
      <c r="B341" s="21" t="n"/>
      <c r="C341" s="21" t="n"/>
      <c r="D341" s="21" t="n"/>
      <c r="E341" s="22" t="n"/>
      <c r="F341" s="22" t="n"/>
      <c r="G341" s="23" t="n"/>
      <c r="H341" s="24">
        <f>IF(ISNUMBER(F341),F341-IF(ISNUMBER(G341),G341,30),"")</f>
        <v/>
      </c>
      <c r="I341" s="25">
        <f>IF(F341="","",IF(ISNUMBER(F341),F341-TODAY(),"Check date"))</f>
        <v/>
      </c>
      <c r="J341" s="26">
        <f>IF(I341="","",IF(ISNUMBER(I341),IF(I341&lt;0,"Expired",IF(I341&lt;=30,"Due ≤30 days",IF(I341&lt;=90,"Due ≤90 days","OK"))),"Check date"))</f>
        <v/>
      </c>
      <c r="K341" s="21" t="n"/>
      <c r="L341" s="21" t="n"/>
      <c r="M341" s="21" t="n"/>
      <c r="N341" s="21" t="n"/>
      <c r="O341" s="21" t="n"/>
      <c r="P341" s="21" t="n"/>
    </row>
    <row r="342">
      <c r="A342" s="21" t="n"/>
      <c r="B342" s="21" t="n"/>
      <c r="C342" s="21" t="n"/>
      <c r="D342" s="21" t="n"/>
      <c r="E342" s="22" t="n"/>
      <c r="F342" s="22" t="n"/>
      <c r="G342" s="23" t="n"/>
      <c r="H342" s="24">
        <f>IF(ISNUMBER(F342),F342-IF(ISNUMBER(G342),G342,30),"")</f>
        <v/>
      </c>
      <c r="I342" s="25">
        <f>IF(F342="","",IF(ISNUMBER(F342),F342-TODAY(),"Check date"))</f>
        <v/>
      </c>
      <c r="J342" s="26">
        <f>IF(I342="","",IF(ISNUMBER(I342),IF(I342&lt;0,"Expired",IF(I342&lt;=30,"Due ≤30 days",IF(I342&lt;=90,"Due ≤90 days","OK"))),"Check date"))</f>
        <v/>
      </c>
      <c r="K342" s="21" t="n"/>
      <c r="L342" s="21" t="n"/>
      <c r="M342" s="21" t="n"/>
      <c r="N342" s="21" t="n"/>
      <c r="O342" s="21" t="n"/>
      <c r="P342" s="21" t="n"/>
    </row>
    <row r="343">
      <c r="A343" s="21" t="n"/>
      <c r="B343" s="21" t="n"/>
      <c r="C343" s="21" t="n"/>
      <c r="D343" s="21" t="n"/>
      <c r="E343" s="22" t="n"/>
      <c r="F343" s="22" t="n"/>
      <c r="G343" s="23" t="n"/>
      <c r="H343" s="24">
        <f>IF(ISNUMBER(F343),F343-IF(ISNUMBER(G343),G343,30),"")</f>
        <v/>
      </c>
      <c r="I343" s="25">
        <f>IF(F343="","",IF(ISNUMBER(F343),F343-TODAY(),"Check date"))</f>
        <v/>
      </c>
      <c r="J343" s="26">
        <f>IF(I343="","",IF(ISNUMBER(I343),IF(I343&lt;0,"Expired",IF(I343&lt;=30,"Due ≤30 days",IF(I343&lt;=90,"Due ≤90 days","OK"))),"Check date"))</f>
        <v/>
      </c>
      <c r="K343" s="21" t="n"/>
      <c r="L343" s="21" t="n"/>
      <c r="M343" s="21" t="n"/>
      <c r="N343" s="21" t="n"/>
      <c r="O343" s="21" t="n"/>
      <c r="P343" s="21" t="n"/>
    </row>
    <row r="344">
      <c r="A344" s="21" t="n"/>
      <c r="B344" s="21" t="n"/>
      <c r="C344" s="21" t="n"/>
      <c r="D344" s="21" t="n"/>
      <c r="E344" s="22" t="n"/>
      <c r="F344" s="22" t="n"/>
      <c r="G344" s="23" t="n"/>
      <c r="H344" s="24">
        <f>IF(ISNUMBER(F344),F344-IF(ISNUMBER(G344),G344,30),"")</f>
        <v/>
      </c>
      <c r="I344" s="25">
        <f>IF(F344="","",IF(ISNUMBER(F344),F344-TODAY(),"Check date"))</f>
        <v/>
      </c>
      <c r="J344" s="26">
        <f>IF(I344="","",IF(ISNUMBER(I344),IF(I344&lt;0,"Expired",IF(I344&lt;=30,"Due ≤30 days",IF(I344&lt;=90,"Due ≤90 days","OK"))),"Check date"))</f>
        <v/>
      </c>
      <c r="K344" s="21" t="n"/>
      <c r="L344" s="21" t="n"/>
      <c r="M344" s="21" t="n"/>
      <c r="N344" s="21" t="n"/>
      <c r="O344" s="21" t="n"/>
      <c r="P344" s="21" t="n"/>
    </row>
    <row r="345">
      <c r="A345" s="21" t="n"/>
      <c r="B345" s="21" t="n"/>
      <c r="C345" s="21" t="n"/>
      <c r="D345" s="21" t="n"/>
      <c r="E345" s="22" t="n"/>
      <c r="F345" s="22" t="n"/>
      <c r="G345" s="23" t="n"/>
      <c r="H345" s="24">
        <f>IF(ISNUMBER(F345),F345-IF(ISNUMBER(G345),G345,30),"")</f>
        <v/>
      </c>
      <c r="I345" s="25">
        <f>IF(F345="","",IF(ISNUMBER(F345),F345-TODAY(),"Check date"))</f>
        <v/>
      </c>
      <c r="J345" s="26">
        <f>IF(I345="","",IF(ISNUMBER(I345),IF(I345&lt;0,"Expired",IF(I345&lt;=30,"Due ≤30 days",IF(I345&lt;=90,"Due ≤90 days","OK"))),"Check date"))</f>
        <v/>
      </c>
      <c r="K345" s="21" t="n"/>
      <c r="L345" s="21" t="n"/>
      <c r="M345" s="21" t="n"/>
      <c r="N345" s="21" t="n"/>
      <c r="O345" s="21" t="n"/>
      <c r="P345" s="21" t="n"/>
    </row>
    <row r="346">
      <c r="A346" s="21" t="n"/>
      <c r="B346" s="21" t="n"/>
      <c r="C346" s="21" t="n"/>
      <c r="D346" s="21" t="n"/>
      <c r="E346" s="22" t="n"/>
      <c r="F346" s="22" t="n"/>
      <c r="G346" s="23" t="n"/>
      <c r="H346" s="24">
        <f>IF(ISNUMBER(F346),F346-IF(ISNUMBER(G346),G346,30),"")</f>
        <v/>
      </c>
      <c r="I346" s="25">
        <f>IF(F346="","",IF(ISNUMBER(F346),F346-TODAY(),"Check date"))</f>
        <v/>
      </c>
      <c r="J346" s="26">
        <f>IF(I346="","",IF(ISNUMBER(I346),IF(I346&lt;0,"Expired",IF(I346&lt;=30,"Due ≤30 days",IF(I346&lt;=90,"Due ≤90 days","OK"))),"Check date"))</f>
        <v/>
      </c>
      <c r="K346" s="21" t="n"/>
      <c r="L346" s="21" t="n"/>
      <c r="M346" s="21" t="n"/>
      <c r="N346" s="21" t="n"/>
      <c r="O346" s="21" t="n"/>
      <c r="P346" s="21" t="n"/>
    </row>
    <row r="347">
      <c r="A347" s="21" t="n"/>
      <c r="B347" s="21" t="n"/>
      <c r="C347" s="21" t="n"/>
      <c r="D347" s="21" t="n"/>
      <c r="E347" s="22" t="n"/>
      <c r="F347" s="22" t="n"/>
      <c r="G347" s="23" t="n"/>
      <c r="H347" s="24">
        <f>IF(ISNUMBER(F347),F347-IF(ISNUMBER(G347),G347,30),"")</f>
        <v/>
      </c>
      <c r="I347" s="25">
        <f>IF(F347="","",IF(ISNUMBER(F347),F347-TODAY(),"Check date"))</f>
        <v/>
      </c>
      <c r="J347" s="26">
        <f>IF(I347="","",IF(ISNUMBER(I347),IF(I347&lt;0,"Expired",IF(I347&lt;=30,"Due ≤30 days",IF(I347&lt;=90,"Due ≤90 days","OK"))),"Check date"))</f>
        <v/>
      </c>
      <c r="K347" s="21" t="n"/>
      <c r="L347" s="21" t="n"/>
      <c r="M347" s="21" t="n"/>
      <c r="N347" s="21" t="n"/>
      <c r="O347" s="21" t="n"/>
      <c r="P347" s="21" t="n"/>
    </row>
    <row r="348">
      <c r="A348" s="21" t="n"/>
      <c r="B348" s="21" t="n"/>
      <c r="C348" s="21" t="n"/>
      <c r="D348" s="21" t="n"/>
      <c r="E348" s="22" t="n"/>
      <c r="F348" s="22" t="n"/>
      <c r="G348" s="23" t="n"/>
      <c r="H348" s="24">
        <f>IF(ISNUMBER(F348),F348-IF(ISNUMBER(G348),G348,30),"")</f>
        <v/>
      </c>
      <c r="I348" s="25">
        <f>IF(F348="","",IF(ISNUMBER(F348),F348-TODAY(),"Check date"))</f>
        <v/>
      </c>
      <c r="J348" s="26">
        <f>IF(I348="","",IF(ISNUMBER(I348),IF(I348&lt;0,"Expired",IF(I348&lt;=30,"Due ≤30 days",IF(I348&lt;=90,"Due ≤90 days","OK"))),"Check date"))</f>
        <v/>
      </c>
      <c r="K348" s="21" t="n"/>
      <c r="L348" s="21" t="n"/>
      <c r="M348" s="21" t="n"/>
      <c r="N348" s="21" t="n"/>
      <c r="O348" s="21" t="n"/>
      <c r="P348" s="21" t="n"/>
    </row>
    <row r="349">
      <c r="A349" s="21" t="n"/>
      <c r="B349" s="21" t="n"/>
      <c r="C349" s="21" t="n"/>
      <c r="D349" s="21" t="n"/>
      <c r="E349" s="22" t="n"/>
      <c r="F349" s="22" t="n"/>
      <c r="G349" s="23" t="n"/>
      <c r="H349" s="24">
        <f>IF(ISNUMBER(F349),F349-IF(ISNUMBER(G349),G349,30),"")</f>
        <v/>
      </c>
      <c r="I349" s="25">
        <f>IF(F349="","",IF(ISNUMBER(F349),F349-TODAY(),"Check date"))</f>
        <v/>
      </c>
      <c r="J349" s="26">
        <f>IF(I349="","",IF(ISNUMBER(I349),IF(I349&lt;0,"Expired",IF(I349&lt;=30,"Due ≤30 days",IF(I349&lt;=90,"Due ≤90 days","OK"))),"Check date"))</f>
        <v/>
      </c>
      <c r="K349" s="21" t="n"/>
      <c r="L349" s="21" t="n"/>
      <c r="M349" s="21" t="n"/>
      <c r="N349" s="21" t="n"/>
      <c r="O349" s="21" t="n"/>
      <c r="P349" s="21" t="n"/>
    </row>
    <row r="350">
      <c r="A350" s="21" t="n"/>
      <c r="B350" s="21" t="n"/>
      <c r="C350" s="21" t="n"/>
      <c r="D350" s="21" t="n"/>
      <c r="E350" s="22" t="n"/>
      <c r="F350" s="22" t="n"/>
      <c r="G350" s="23" t="n"/>
      <c r="H350" s="24">
        <f>IF(ISNUMBER(F350),F350-IF(ISNUMBER(G350),G350,30),"")</f>
        <v/>
      </c>
      <c r="I350" s="25">
        <f>IF(F350="","",IF(ISNUMBER(F350),F350-TODAY(),"Check date"))</f>
        <v/>
      </c>
      <c r="J350" s="26">
        <f>IF(I350="","",IF(ISNUMBER(I350),IF(I350&lt;0,"Expired",IF(I350&lt;=30,"Due ≤30 days",IF(I350&lt;=90,"Due ≤90 days","OK"))),"Check date"))</f>
        <v/>
      </c>
      <c r="K350" s="21" t="n"/>
      <c r="L350" s="21" t="n"/>
      <c r="M350" s="21" t="n"/>
      <c r="N350" s="21" t="n"/>
      <c r="O350" s="21" t="n"/>
      <c r="P350" s="21" t="n"/>
    </row>
    <row r="351">
      <c r="A351" s="21" t="n"/>
      <c r="B351" s="21" t="n"/>
      <c r="C351" s="21" t="n"/>
      <c r="D351" s="21" t="n"/>
      <c r="E351" s="22" t="n"/>
      <c r="F351" s="22" t="n"/>
      <c r="G351" s="23" t="n"/>
      <c r="H351" s="24">
        <f>IF(ISNUMBER(F351),F351-IF(ISNUMBER(G351),G351,30),"")</f>
        <v/>
      </c>
      <c r="I351" s="25">
        <f>IF(F351="","",IF(ISNUMBER(F351),F351-TODAY(),"Check date"))</f>
        <v/>
      </c>
      <c r="J351" s="26">
        <f>IF(I351="","",IF(ISNUMBER(I351),IF(I351&lt;0,"Expired",IF(I351&lt;=30,"Due ≤30 days",IF(I351&lt;=90,"Due ≤90 days","OK"))),"Check date"))</f>
        <v/>
      </c>
      <c r="K351" s="21" t="n"/>
      <c r="L351" s="21" t="n"/>
      <c r="M351" s="21" t="n"/>
      <c r="N351" s="21" t="n"/>
      <c r="O351" s="21" t="n"/>
      <c r="P351" s="21" t="n"/>
    </row>
    <row r="352">
      <c r="A352" s="21" t="n"/>
      <c r="B352" s="21" t="n"/>
      <c r="C352" s="21" t="n"/>
      <c r="D352" s="21" t="n"/>
      <c r="E352" s="22" t="n"/>
      <c r="F352" s="22" t="n"/>
      <c r="G352" s="23" t="n"/>
      <c r="H352" s="24">
        <f>IF(ISNUMBER(F352),F352-IF(ISNUMBER(G352),G352,30),"")</f>
        <v/>
      </c>
      <c r="I352" s="25">
        <f>IF(F352="","",IF(ISNUMBER(F352),F352-TODAY(),"Check date"))</f>
        <v/>
      </c>
      <c r="J352" s="26">
        <f>IF(I352="","",IF(ISNUMBER(I352),IF(I352&lt;0,"Expired",IF(I352&lt;=30,"Due ≤30 days",IF(I352&lt;=90,"Due ≤90 days","OK"))),"Check date"))</f>
        <v/>
      </c>
      <c r="K352" s="21" t="n"/>
      <c r="L352" s="21" t="n"/>
      <c r="M352" s="21" t="n"/>
      <c r="N352" s="21" t="n"/>
      <c r="O352" s="21" t="n"/>
      <c r="P352" s="21" t="n"/>
    </row>
    <row r="353">
      <c r="A353" s="21" t="n"/>
      <c r="B353" s="21" t="n"/>
      <c r="C353" s="21" t="n"/>
      <c r="D353" s="21" t="n"/>
      <c r="E353" s="22" t="n"/>
      <c r="F353" s="22" t="n"/>
      <c r="G353" s="23" t="n"/>
      <c r="H353" s="24">
        <f>IF(ISNUMBER(F353),F353-IF(ISNUMBER(G353),G353,30),"")</f>
        <v/>
      </c>
      <c r="I353" s="25">
        <f>IF(F353="","",IF(ISNUMBER(F353),F353-TODAY(),"Check date"))</f>
        <v/>
      </c>
      <c r="J353" s="26">
        <f>IF(I353="","",IF(ISNUMBER(I353),IF(I353&lt;0,"Expired",IF(I353&lt;=30,"Due ≤30 days",IF(I353&lt;=90,"Due ≤90 days","OK"))),"Check date"))</f>
        <v/>
      </c>
      <c r="K353" s="21" t="n"/>
      <c r="L353" s="21" t="n"/>
      <c r="M353" s="21" t="n"/>
      <c r="N353" s="21" t="n"/>
      <c r="O353" s="21" t="n"/>
      <c r="P353" s="21" t="n"/>
    </row>
    <row r="354">
      <c r="A354" s="21" t="n"/>
      <c r="B354" s="21" t="n"/>
      <c r="C354" s="21" t="n"/>
      <c r="D354" s="21" t="n"/>
      <c r="E354" s="22" t="n"/>
      <c r="F354" s="22" t="n"/>
      <c r="G354" s="23" t="n"/>
      <c r="H354" s="24">
        <f>IF(ISNUMBER(F354),F354-IF(ISNUMBER(G354),G354,30),"")</f>
        <v/>
      </c>
      <c r="I354" s="25">
        <f>IF(F354="","",IF(ISNUMBER(F354),F354-TODAY(),"Check date"))</f>
        <v/>
      </c>
      <c r="J354" s="26">
        <f>IF(I354="","",IF(ISNUMBER(I354),IF(I354&lt;0,"Expired",IF(I354&lt;=30,"Due ≤30 days",IF(I354&lt;=90,"Due ≤90 days","OK"))),"Check date"))</f>
        <v/>
      </c>
      <c r="K354" s="21" t="n"/>
      <c r="L354" s="21" t="n"/>
      <c r="M354" s="21" t="n"/>
      <c r="N354" s="21" t="n"/>
      <c r="O354" s="21" t="n"/>
      <c r="P354" s="21" t="n"/>
    </row>
    <row r="355">
      <c r="A355" s="21" t="n"/>
      <c r="B355" s="21" t="n"/>
      <c r="C355" s="21" t="n"/>
      <c r="D355" s="21" t="n"/>
      <c r="E355" s="22" t="n"/>
      <c r="F355" s="22" t="n"/>
      <c r="G355" s="23" t="n"/>
      <c r="H355" s="24">
        <f>IF(ISNUMBER(F355),F355-IF(ISNUMBER(G355),G355,30),"")</f>
        <v/>
      </c>
      <c r="I355" s="25">
        <f>IF(F355="","",IF(ISNUMBER(F355),F355-TODAY(),"Check date"))</f>
        <v/>
      </c>
      <c r="J355" s="26">
        <f>IF(I355="","",IF(ISNUMBER(I355),IF(I355&lt;0,"Expired",IF(I355&lt;=30,"Due ≤30 days",IF(I355&lt;=90,"Due ≤90 days","OK"))),"Check date"))</f>
        <v/>
      </c>
      <c r="K355" s="21" t="n"/>
      <c r="L355" s="21" t="n"/>
      <c r="M355" s="21" t="n"/>
      <c r="N355" s="21" t="n"/>
      <c r="O355" s="21" t="n"/>
      <c r="P355" s="21" t="n"/>
    </row>
    <row r="356">
      <c r="A356" s="21" t="n"/>
      <c r="B356" s="21" t="n"/>
      <c r="C356" s="21" t="n"/>
      <c r="D356" s="21" t="n"/>
      <c r="E356" s="22" t="n"/>
      <c r="F356" s="22" t="n"/>
      <c r="G356" s="23" t="n"/>
      <c r="H356" s="24">
        <f>IF(ISNUMBER(F356),F356-IF(ISNUMBER(G356),G356,30),"")</f>
        <v/>
      </c>
      <c r="I356" s="25">
        <f>IF(F356="","",IF(ISNUMBER(F356),F356-TODAY(),"Check date"))</f>
        <v/>
      </c>
      <c r="J356" s="26">
        <f>IF(I356="","",IF(ISNUMBER(I356),IF(I356&lt;0,"Expired",IF(I356&lt;=30,"Due ≤30 days",IF(I356&lt;=90,"Due ≤90 days","OK"))),"Check date"))</f>
        <v/>
      </c>
      <c r="K356" s="21" t="n"/>
      <c r="L356" s="21" t="n"/>
      <c r="M356" s="21" t="n"/>
      <c r="N356" s="21" t="n"/>
      <c r="O356" s="21" t="n"/>
      <c r="P356" s="21" t="n"/>
    </row>
    <row r="357">
      <c r="A357" s="21" t="n"/>
      <c r="B357" s="21" t="n"/>
      <c r="C357" s="21" t="n"/>
      <c r="D357" s="21" t="n"/>
      <c r="E357" s="22" t="n"/>
      <c r="F357" s="22" t="n"/>
      <c r="G357" s="23" t="n"/>
      <c r="H357" s="24">
        <f>IF(ISNUMBER(F357),F357-IF(ISNUMBER(G357),G357,30),"")</f>
        <v/>
      </c>
      <c r="I357" s="25">
        <f>IF(F357="","",IF(ISNUMBER(F357),F357-TODAY(),"Check date"))</f>
        <v/>
      </c>
      <c r="J357" s="26">
        <f>IF(I357="","",IF(ISNUMBER(I357),IF(I357&lt;0,"Expired",IF(I357&lt;=30,"Due ≤30 days",IF(I357&lt;=90,"Due ≤90 days","OK"))),"Check date"))</f>
        <v/>
      </c>
      <c r="K357" s="21" t="n"/>
      <c r="L357" s="21" t="n"/>
      <c r="M357" s="21" t="n"/>
      <c r="N357" s="21" t="n"/>
      <c r="O357" s="21" t="n"/>
      <c r="P357" s="21" t="n"/>
    </row>
    <row r="358">
      <c r="A358" s="21" t="n"/>
      <c r="B358" s="21" t="n"/>
      <c r="C358" s="21" t="n"/>
      <c r="D358" s="21" t="n"/>
      <c r="E358" s="22" t="n"/>
      <c r="F358" s="22" t="n"/>
      <c r="G358" s="23" t="n"/>
      <c r="H358" s="24">
        <f>IF(ISNUMBER(F358),F358-IF(ISNUMBER(G358),G358,30),"")</f>
        <v/>
      </c>
      <c r="I358" s="25">
        <f>IF(F358="","",IF(ISNUMBER(F358),F358-TODAY(),"Check date"))</f>
        <v/>
      </c>
      <c r="J358" s="26">
        <f>IF(I358="","",IF(ISNUMBER(I358),IF(I358&lt;0,"Expired",IF(I358&lt;=30,"Due ≤30 days",IF(I358&lt;=90,"Due ≤90 days","OK"))),"Check date"))</f>
        <v/>
      </c>
      <c r="K358" s="21" t="n"/>
      <c r="L358" s="21" t="n"/>
      <c r="M358" s="21" t="n"/>
      <c r="N358" s="21" t="n"/>
      <c r="O358" s="21" t="n"/>
      <c r="P358" s="21" t="n"/>
    </row>
    <row r="359">
      <c r="A359" s="21" t="n"/>
      <c r="B359" s="21" t="n"/>
      <c r="C359" s="21" t="n"/>
      <c r="D359" s="21" t="n"/>
      <c r="E359" s="22" t="n"/>
      <c r="F359" s="22" t="n"/>
      <c r="G359" s="23" t="n"/>
      <c r="H359" s="24">
        <f>IF(ISNUMBER(F359),F359-IF(ISNUMBER(G359),G359,30),"")</f>
        <v/>
      </c>
      <c r="I359" s="25">
        <f>IF(F359="","",IF(ISNUMBER(F359),F359-TODAY(),"Check date"))</f>
        <v/>
      </c>
      <c r="J359" s="26">
        <f>IF(I359="","",IF(ISNUMBER(I359),IF(I359&lt;0,"Expired",IF(I359&lt;=30,"Due ≤30 days",IF(I359&lt;=90,"Due ≤90 days","OK"))),"Check date"))</f>
        <v/>
      </c>
      <c r="K359" s="21" t="n"/>
      <c r="L359" s="21" t="n"/>
      <c r="M359" s="21" t="n"/>
      <c r="N359" s="21" t="n"/>
      <c r="O359" s="21" t="n"/>
      <c r="P359" s="21" t="n"/>
    </row>
    <row r="360">
      <c r="A360" s="21" t="n"/>
      <c r="B360" s="21" t="n"/>
      <c r="C360" s="21" t="n"/>
      <c r="D360" s="21" t="n"/>
      <c r="E360" s="22" t="n"/>
      <c r="F360" s="22" t="n"/>
      <c r="G360" s="23" t="n"/>
      <c r="H360" s="24">
        <f>IF(ISNUMBER(F360),F360-IF(ISNUMBER(G360),G360,30),"")</f>
        <v/>
      </c>
      <c r="I360" s="25">
        <f>IF(F360="","",IF(ISNUMBER(F360),F360-TODAY(),"Check date"))</f>
        <v/>
      </c>
      <c r="J360" s="26">
        <f>IF(I360="","",IF(ISNUMBER(I360),IF(I360&lt;0,"Expired",IF(I360&lt;=30,"Due ≤30 days",IF(I360&lt;=90,"Due ≤90 days","OK"))),"Check date"))</f>
        <v/>
      </c>
      <c r="K360" s="21" t="n"/>
      <c r="L360" s="21" t="n"/>
      <c r="M360" s="21" t="n"/>
      <c r="N360" s="21" t="n"/>
      <c r="O360" s="21" t="n"/>
      <c r="P360" s="21" t="n"/>
    </row>
    <row r="361">
      <c r="A361" s="21" t="n"/>
      <c r="B361" s="21" t="n"/>
      <c r="C361" s="21" t="n"/>
      <c r="D361" s="21" t="n"/>
      <c r="E361" s="22" t="n"/>
      <c r="F361" s="22" t="n"/>
      <c r="G361" s="23" t="n"/>
      <c r="H361" s="24">
        <f>IF(ISNUMBER(F361),F361-IF(ISNUMBER(G361),G361,30),"")</f>
        <v/>
      </c>
      <c r="I361" s="25">
        <f>IF(F361="","",IF(ISNUMBER(F361),F361-TODAY(),"Check date"))</f>
        <v/>
      </c>
      <c r="J361" s="26">
        <f>IF(I361="","",IF(ISNUMBER(I361),IF(I361&lt;0,"Expired",IF(I361&lt;=30,"Due ≤30 days",IF(I361&lt;=90,"Due ≤90 days","OK"))),"Check date"))</f>
        <v/>
      </c>
      <c r="K361" s="21" t="n"/>
      <c r="L361" s="21" t="n"/>
      <c r="M361" s="21" t="n"/>
      <c r="N361" s="21" t="n"/>
      <c r="O361" s="21" t="n"/>
      <c r="P361" s="21" t="n"/>
    </row>
    <row r="362">
      <c r="A362" s="21" t="n"/>
      <c r="B362" s="21" t="n"/>
      <c r="C362" s="21" t="n"/>
      <c r="D362" s="21" t="n"/>
      <c r="E362" s="22" t="n"/>
      <c r="F362" s="22" t="n"/>
      <c r="G362" s="23" t="n"/>
      <c r="H362" s="24">
        <f>IF(ISNUMBER(F362),F362-IF(ISNUMBER(G362),G362,30),"")</f>
        <v/>
      </c>
      <c r="I362" s="25">
        <f>IF(F362="","",IF(ISNUMBER(F362),F362-TODAY(),"Check date"))</f>
        <v/>
      </c>
      <c r="J362" s="26">
        <f>IF(I362="","",IF(ISNUMBER(I362),IF(I362&lt;0,"Expired",IF(I362&lt;=30,"Due ≤30 days",IF(I362&lt;=90,"Due ≤90 days","OK"))),"Check date"))</f>
        <v/>
      </c>
      <c r="K362" s="21" t="n"/>
      <c r="L362" s="21" t="n"/>
      <c r="M362" s="21" t="n"/>
      <c r="N362" s="21" t="n"/>
      <c r="O362" s="21" t="n"/>
      <c r="P362" s="21" t="n"/>
    </row>
    <row r="363">
      <c r="A363" s="21" t="n"/>
      <c r="B363" s="21" t="n"/>
      <c r="C363" s="21" t="n"/>
      <c r="D363" s="21" t="n"/>
      <c r="E363" s="22" t="n"/>
      <c r="F363" s="22" t="n"/>
      <c r="G363" s="23" t="n"/>
      <c r="H363" s="24">
        <f>IF(ISNUMBER(F363),F363-IF(ISNUMBER(G363),G363,30),"")</f>
        <v/>
      </c>
      <c r="I363" s="25">
        <f>IF(F363="","",IF(ISNUMBER(F363),F363-TODAY(),"Check date"))</f>
        <v/>
      </c>
      <c r="J363" s="26">
        <f>IF(I363="","",IF(ISNUMBER(I363),IF(I363&lt;0,"Expired",IF(I363&lt;=30,"Due ≤30 days",IF(I363&lt;=90,"Due ≤90 days","OK"))),"Check date"))</f>
        <v/>
      </c>
      <c r="K363" s="21" t="n"/>
      <c r="L363" s="21" t="n"/>
      <c r="M363" s="21" t="n"/>
      <c r="N363" s="21" t="n"/>
      <c r="O363" s="21" t="n"/>
      <c r="P363" s="21" t="n"/>
    </row>
    <row r="364">
      <c r="A364" s="21" t="n"/>
      <c r="B364" s="21" t="n"/>
      <c r="C364" s="21" t="n"/>
      <c r="D364" s="21" t="n"/>
      <c r="E364" s="22" t="n"/>
      <c r="F364" s="22" t="n"/>
      <c r="G364" s="23" t="n"/>
      <c r="H364" s="24">
        <f>IF(ISNUMBER(F364),F364-IF(ISNUMBER(G364),G364,30),"")</f>
        <v/>
      </c>
      <c r="I364" s="25">
        <f>IF(F364="","",IF(ISNUMBER(F364),F364-TODAY(),"Check date"))</f>
        <v/>
      </c>
      <c r="J364" s="26">
        <f>IF(I364="","",IF(ISNUMBER(I364),IF(I364&lt;0,"Expired",IF(I364&lt;=30,"Due ≤30 days",IF(I364&lt;=90,"Due ≤90 days","OK"))),"Check date"))</f>
        <v/>
      </c>
      <c r="K364" s="21" t="n"/>
      <c r="L364" s="21" t="n"/>
      <c r="M364" s="21" t="n"/>
      <c r="N364" s="21" t="n"/>
      <c r="O364" s="21" t="n"/>
      <c r="P364" s="21" t="n"/>
    </row>
    <row r="365">
      <c r="A365" s="21" t="n"/>
      <c r="B365" s="21" t="n"/>
      <c r="C365" s="21" t="n"/>
      <c r="D365" s="21" t="n"/>
      <c r="E365" s="22" t="n"/>
      <c r="F365" s="22" t="n"/>
      <c r="G365" s="23" t="n"/>
      <c r="H365" s="24">
        <f>IF(ISNUMBER(F365),F365-IF(ISNUMBER(G365),G365,30),"")</f>
        <v/>
      </c>
      <c r="I365" s="25">
        <f>IF(F365="","",IF(ISNUMBER(F365),F365-TODAY(),"Check date"))</f>
        <v/>
      </c>
      <c r="J365" s="26">
        <f>IF(I365="","",IF(ISNUMBER(I365),IF(I365&lt;0,"Expired",IF(I365&lt;=30,"Due ≤30 days",IF(I365&lt;=90,"Due ≤90 days","OK"))),"Check date"))</f>
        <v/>
      </c>
      <c r="K365" s="21" t="n"/>
      <c r="L365" s="21" t="n"/>
      <c r="M365" s="21" t="n"/>
      <c r="N365" s="21" t="n"/>
      <c r="O365" s="21" t="n"/>
      <c r="P365" s="21" t="n"/>
    </row>
    <row r="366">
      <c r="A366" s="21" t="n"/>
      <c r="B366" s="21" t="n"/>
      <c r="C366" s="21" t="n"/>
      <c r="D366" s="21" t="n"/>
      <c r="E366" s="22" t="n"/>
      <c r="F366" s="22" t="n"/>
      <c r="G366" s="23" t="n"/>
      <c r="H366" s="24">
        <f>IF(ISNUMBER(F366),F366-IF(ISNUMBER(G366),G366,30),"")</f>
        <v/>
      </c>
      <c r="I366" s="25">
        <f>IF(F366="","",IF(ISNUMBER(F366),F366-TODAY(),"Check date"))</f>
        <v/>
      </c>
      <c r="J366" s="26">
        <f>IF(I366="","",IF(ISNUMBER(I366),IF(I366&lt;0,"Expired",IF(I366&lt;=30,"Due ≤30 days",IF(I366&lt;=90,"Due ≤90 days","OK"))),"Check date"))</f>
        <v/>
      </c>
      <c r="K366" s="21" t="n"/>
      <c r="L366" s="21" t="n"/>
      <c r="M366" s="21" t="n"/>
      <c r="N366" s="21" t="n"/>
      <c r="O366" s="21" t="n"/>
      <c r="P366" s="21" t="n"/>
    </row>
    <row r="367">
      <c r="A367" s="21" t="n"/>
      <c r="B367" s="21" t="n"/>
      <c r="C367" s="21" t="n"/>
      <c r="D367" s="21" t="n"/>
      <c r="E367" s="22" t="n"/>
      <c r="F367" s="22" t="n"/>
      <c r="G367" s="23" t="n"/>
      <c r="H367" s="24">
        <f>IF(ISNUMBER(F367),F367-IF(ISNUMBER(G367),G367,30),"")</f>
        <v/>
      </c>
      <c r="I367" s="25">
        <f>IF(F367="","",IF(ISNUMBER(F367),F367-TODAY(),"Check date"))</f>
        <v/>
      </c>
      <c r="J367" s="26">
        <f>IF(I367="","",IF(ISNUMBER(I367),IF(I367&lt;0,"Expired",IF(I367&lt;=30,"Due ≤30 days",IF(I367&lt;=90,"Due ≤90 days","OK"))),"Check date"))</f>
        <v/>
      </c>
      <c r="K367" s="21" t="n"/>
      <c r="L367" s="21" t="n"/>
      <c r="M367" s="21" t="n"/>
      <c r="N367" s="21" t="n"/>
      <c r="O367" s="21" t="n"/>
      <c r="P367" s="21" t="n"/>
    </row>
    <row r="368">
      <c r="A368" s="21" t="n"/>
      <c r="B368" s="21" t="n"/>
      <c r="C368" s="21" t="n"/>
      <c r="D368" s="21" t="n"/>
      <c r="E368" s="22" t="n"/>
      <c r="F368" s="22" t="n"/>
      <c r="G368" s="23" t="n"/>
      <c r="H368" s="24">
        <f>IF(ISNUMBER(F368),F368-IF(ISNUMBER(G368),G368,30),"")</f>
        <v/>
      </c>
      <c r="I368" s="25">
        <f>IF(F368="","",IF(ISNUMBER(F368),F368-TODAY(),"Check date"))</f>
        <v/>
      </c>
      <c r="J368" s="26">
        <f>IF(I368="","",IF(ISNUMBER(I368),IF(I368&lt;0,"Expired",IF(I368&lt;=30,"Due ≤30 days",IF(I368&lt;=90,"Due ≤90 days","OK"))),"Check date"))</f>
        <v/>
      </c>
      <c r="K368" s="21" t="n"/>
      <c r="L368" s="21" t="n"/>
      <c r="M368" s="21" t="n"/>
      <c r="N368" s="21" t="n"/>
      <c r="O368" s="21" t="n"/>
      <c r="P368" s="21" t="n"/>
    </row>
    <row r="369">
      <c r="A369" s="21" t="n"/>
      <c r="B369" s="21" t="n"/>
      <c r="C369" s="21" t="n"/>
      <c r="D369" s="21" t="n"/>
      <c r="E369" s="22" t="n"/>
      <c r="F369" s="22" t="n"/>
      <c r="G369" s="23" t="n"/>
      <c r="H369" s="24">
        <f>IF(ISNUMBER(F369),F369-IF(ISNUMBER(G369),G369,30),"")</f>
        <v/>
      </c>
      <c r="I369" s="25">
        <f>IF(F369="","",IF(ISNUMBER(F369),F369-TODAY(),"Check date"))</f>
        <v/>
      </c>
      <c r="J369" s="26">
        <f>IF(I369="","",IF(ISNUMBER(I369),IF(I369&lt;0,"Expired",IF(I369&lt;=30,"Due ≤30 days",IF(I369&lt;=90,"Due ≤90 days","OK"))),"Check date"))</f>
        <v/>
      </c>
      <c r="K369" s="21" t="n"/>
      <c r="L369" s="21" t="n"/>
      <c r="M369" s="21" t="n"/>
      <c r="N369" s="21" t="n"/>
      <c r="O369" s="21" t="n"/>
      <c r="P369" s="21" t="n"/>
    </row>
    <row r="370">
      <c r="A370" s="21" t="n"/>
      <c r="B370" s="21" t="n"/>
      <c r="C370" s="21" t="n"/>
      <c r="D370" s="21" t="n"/>
      <c r="E370" s="22" t="n"/>
      <c r="F370" s="22" t="n"/>
      <c r="G370" s="23" t="n"/>
      <c r="H370" s="24">
        <f>IF(ISNUMBER(F370),F370-IF(ISNUMBER(G370),G370,30),"")</f>
        <v/>
      </c>
      <c r="I370" s="25">
        <f>IF(F370="","",IF(ISNUMBER(F370),F370-TODAY(),"Check date"))</f>
        <v/>
      </c>
      <c r="J370" s="26">
        <f>IF(I370="","",IF(ISNUMBER(I370),IF(I370&lt;0,"Expired",IF(I370&lt;=30,"Due ≤30 days",IF(I370&lt;=90,"Due ≤90 days","OK"))),"Check date"))</f>
        <v/>
      </c>
      <c r="K370" s="21" t="n"/>
      <c r="L370" s="21" t="n"/>
      <c r="M370" s="21" t="n"/>
      <c r="N370" s="21" t="n"/>
      <c r="O370" s="21" t="n"/>
      <c r="P370" s="21" t="n"/>
    </row>
    <row r="371">
      <c r="A371" s="21" t="n"/>
      <c r="B371" s="21" t="n"/>
      <c r="C371" s="21" t="n"/>
      <c r="D371" s="21" t="n"/>
      <c r="E371" s="22" t="n"/>
      <c r="F371" s="22" t="n"/>
      <c r="G371" s="23" t="n"/>
      <c r="H371" s="24">
        <f>IF(ISNUMBER(F371),F371-IF(ISNUMBER(G371),G371,30),"")</f>
        <v/>
      </c>
      <c r="I371" s="25">
        <f>IF(F371="","",IF(ISNUMBER(F371),F371-TODAY(),"Check date"))</f>
        <v/>
      </c>
      <c r="J371" s="26">
        <f>IF(I371="","",IF(ISNUMBER(I371),IF(I371&lt;0,"Expired",IF(I371&lt;=30,"Due ≤30 days",IF(I371&lt;=90,"Due ≤90 days","OK"))),"Check date"))</f>
        <v/>
      </c>
      <c r="K371" s="21" t="n"/>
      <c r="L371" s="21" t="n"/>
      <c r="M371" s="21" t="n"/>
      <c r="N371" s="21" t="n"/>
      <c r="O371" s="21" t="n"/>
      <c r="P371" s="21" t="n"/>
    </row>
    <row r="372">
      <c r="A372" s="21" t="n"/>
      <c r="B372" s="21" t="n"/>
      <c r="C372" s="21" t="n"/>
      <c r="D372" s="21" t="n"/>
      <c r="E372" s="22" t="n"/>
      <c r="F372" s="22" t="n"/>
      <c r="G372" s="23" t="n"/>
      <c r="H372" s="24">
        <f>IF(ISNUMBER(F372),F372-IF(ISNUMBER(G372),G372,30),"")</f>
        <v/>
      </c>
      <c r="I372" s="25">
        <f>IF(F372="","",IF(ISNUMBER(F372),F372-TODAY(),"Check date"))</f>
        <v/>
      </c>
      <c r="J372" s="26">
        <f>IF(I372="","",IF(ISNUMBER(I372),IF(I372&lt;0,"Expired",IF(I372&lt;=30,"Due ≤30 days",IF(I372&lt;=90,"Due ≤90 days","OK"))),"Check date"))</f>
        <v/>
      </c>
      <c r="K372" s="21" t="n"/>
      <c r="L372" s="21" t="n"/>
      <c r="M372" s="21" t="n"/>
      <c r="N372" s="21" t="n"/>
      <c r="O372" s="21" t="n"/>
      <c r="P372" s="21" t="n"/>
    </row>
    <row r="373">
      <c r="A373" s="21" t="n"/>
      <c r="B373" s="21" t="n"/>
      <c r="C373" s="21" t="n"/>
      <c r="D373" s="21" t="n"/>
      <c r="E373" s="22" t="n"/>
      <c r="F373" s="22" t="n"/>
      <c r="G373" s="23" t="n"/>
      <c r="H373" s="24">
        <f>IF(ISNUMBER(F373),F373-IF(ISNUMBER(G373),G373,30),"")</f>
        <v/>
      </c>
      <c r="I373" s="25">
        <f>IF(F373="","",IF(ISNUMBER(F373),F373-TODAY(),"Check date"))</f>
        <v/>
      </c>
      <c r="J373" s="26">
        <f>IF(I373="","",IF(ISNUMBER(I373),IF(I373&lt;0,"Expired",IF(I373&lt;=30,"Due ≤30 days",IF(I373&lt;=90,"Due ≤90 days","OK"))),"Check date"))</f>
        <v/>
      </c>
      <c r="K373" s="21" t="n"/>
      <c r="L373" s="21" t="n"/>
      <c r="M373" s="21" t="n"/>
      <c r="N373" s="21" t="n"/>
      <c r="O373" s="21" t="n"/>
      <c r="P373" s="21" t="n"/>
    </row>
    <row r="374">
      <c r="A374" s="21" t="n"/>
      <c r="B374" s="21" t="n"/>
      <c r="C374" s="21" t="n"/>
      <c r="D374" s="21" t="n"/>
      <c r="E374" s="22" t="n"/>
      <c r="F374" s="22" t="n"/>
      <c r="G374" s="23" t="n"/>
      <c r="H374" s="24">
        <f>IF(ISNUMBER(F374),F374-IF(ISNUMBER(G374),G374,30),"")</f>
        <v/>
      </c>
      <c r="I374" s="25">
        <f>IF(F374="","",IF(ISNUMBER(F374),F374-TODAY(),"Check date"))</f>
        <v/>
      </c>
      <c r="J374" s="26">
        <f>IF(I374="","",IF(ISNUMBER(I374),IF(I374&lt;0,"Expired",IF(I374&lt;=30,"Due ≤30 days",IF(I374&lt;=90,"Due ≤90 days","OK"))),"Check date"))</f>
        <v/>
      </c>
      <c r="K374" s="21" t="n"/>
      <c r="L374" s="21" t="n"/>
      <c r="M374" s="21" t="n"/>
      <c r="N374" s="21" t="n"/>
      <c r="O374" s="21" t="n"/>
      <c r="P374" s="21" t="n"/>
    </row>
    <row r="375">
      <c r="A375" s="21" t="n"/>
      <c r="B375" s="21" t="n"/>
      <c r="C375" s="21" t="n"/>
      <c r="D375" s="21" t="n"/>
      <c r="E375" s="22" t="n"/>
      <c r="F375" s="22" t="n"/>
      <c r="G375" s="23" t="n"/>
      <c r="H375" s="24">
        <f>IF(ISNUMBER(F375),F375-IF(ISNUMBER(G375),G375,30),"")</f>
        <v/>
      </c>
      <c r="I375" s="25">
        <f>IF(F375="","",IF(ISNUMBER(F375),F375-TODAY(),"Check date"))</f>
        <v/>
      </c>
      <c r="J375" s="26">
        <f>IF(I375="","",IF(ISNUMBER(I375),IF(I375&lt;0,"Expired",IF(I375&lt;=30,"Due ≤30 days",IF(I375&lt;=90,"Due ≤90 days","OK"))),"Check date"))</f>
        <v/>
      </c>
      <c r="K375" s="21" t="n"/>
      <c r="L375" s="21" t="n"/>
      <c r="M375" s="21" t="n"/>
      <c r="N375" s="21" t="n"/>
      <c r="O375" s="21" t="n"/>
      <c r="P375" s="21" t="n"/>
    </row>
    <row r="376">
      <c r="A376" s="21" t="n"/>
      <c r="B376" s="21" t="n"/>
      <c r="C376" s="21" t="n"/>
      <c r="D376" s="21" t="n"/>
      <c r="E376" s="22" t="n"/>
      <c r="F376" s="22" t="n"/>
      <c r="G376" s="23" t="n"/>
      <c r="H376" s="24">
        <f>IF(ISNUMBER(F376),F376-IF(ISNUMBER(G376),G376,30),"")</f>
        <v/>
      </c>
      <c r="I376" s="25">
        <f>IF(F376="","",IF(ISNUMBER(F376),F376-TODAY(),"Check date"))</f>
        <v/>
      </c>
      <c r="J376" s="26">
        <f>IF(I376="","",IF(ISNUMBER(I376),IF(I376&lt;0,"Expired",IF(I376&lt;=30,"Due ≤30 days",IF(I376&lt;=90,"Due ≤90 days","OK"))),"Check date"))</f>
        <v/>
      </c>
      <c r="K376" s="21" t="n"/>
      <c r="L376" s="21" t="n"/>
      <c r="M376" s="21" t="n"/>
      <c r="N376" s="21" t="n"/>
      <c r="O376" s="21" t="n"/>
      <c r="P376" s="21" t="n"/>
    </row>
    <row r="377">
      <c r="A377" s="21" t="n"/>
      <c r="B377" s="21" t="n"/>
      <c r="C377" s="21" t="n"/>
      <c r="D377" s="21" t="n"/>
      <c r="E377" s="22" t="n"/>
      <c r="F377" s="22" t="n"/>
      <c r="G377" s="23" t="n"/>
      <c r="H377" s="24">
        <f>IF(ISNUMBER(F377),F377-IF(ISNUMBER(G377),G377,30),"")</f>
        <v/>
      </c>
      <c r="I377" s="25">
        <f>IF(F377="","",IF(ISNUMBER(F377),F377-TODAY(),"Check date"))</f>
        <v/>
      </c>
      <c r="J377" s="26">
        <f>IF(I377="","",IF(ISNUMBER(I377),IF(I377&lt;0,"Expired",IF(I377&lt;=30,"Due ≤30 days",IF(I377&lt;=90,"Due ≤90 days","OK"))),"Check date"))</f>
        <v/>
      </c>
      <c r="K377" s="21" t="n"/>
      <c r="L377" s="21" t="n"/>
      <c r="M377" s="21" t="n"/>
      <c r="N377" s="21" t="n"/>
      <c r="O377" s="21" t="n"/>
      <c r="P377" s="21" t="n"/>
    </row>
    <row r="378">
      <c r="A378" s="21" t="n"/>
      <c r="B378" s="21" t="n"/>
      <c r="C378" s="21" t="n"/>
      <c r="D378" s="21" t="n"/>
      <c r="E378" s="22" t="n"/>
      <c r="F378" s="22" t="n"/>
      <c r="G378" s="23" t="n"/>
      <c r="H378" s="24">
        <f>IF(ISNUMBER(F378),F378-IF(ISNUMBER(G378),G378,30),"")</f>
        <v/>
      </c>
      <c r="I378" s="25">
        <f>IF(F378="","",IF(ISNUMBER(F378),F378-TODAY(),"Check date"))</f>
        <v/>
      </c>
      <c r="J378" s="26">
        <f>IF(I378="","",IF(ISNUMBER(I378),IF(I378&lt;0,"Expired",IF(I378&lt;=30,"Due ≤30 days",IF(I378&lt;=90,"Due ≤90 days","OK"))),"Check date"))</f>
        <v/>
      </c>
      <c r="K378" s="21" t="n"/>
      <c r="L378" s="21" t="n"/>
      <c r="M378" s="21" t="n"/>
      <c r="N378" s="21" t="n"/>
      <c r="O378" s="21" t="n"/>
      <c r="P378" s="21" t="n"/>
    </row>
    <row r="379">
      <c r="A379" s="21" t="n"/>
      <c r="B379" s="21" t="n"/>
      <c r="C379" s="21" t="n"/>
      <c r="D379" s="21" t="n"/>
      <c r="E379" s="22" t="n"/>
      <c r="F379" s="22" t="n"/>
      <c r="G379" s="23" t="n"/>
      <c r="H379" s="24">
        <f>IF(ISNUMBER(F379),F379-IF(ISNUMBER(G379),G379,30),"")</f>
        <v/>
      </c>
      <c r="I379" s="25">
        <f>IF(F379="","",IF(ISNUMBER(F379),F379-TODAY(),"Check date"))</f>
        <v/>
      </c>
      <c r="J379" s="26">
        <f>IF(I379="","",IF(ISNUMBER(I379),IF(I379&lt;0,"Expired",IF(I379&lt;=30,"Due ≤30 days",IF(I379&lt;=90,"Due ≤90 days","OK"))),"Check date"))</f>
        <v/>
      </c>
      <c r="K379" s="21" t="n"/>
      <c r="L379" s="21" t="n"/>
      <c r="M379" s="21" t="n"/>
      <c r="N379" s="21" t="n"/>
      <c r="O379" s="21" t="n"/>
      <c r="P379" s="21" t="n"/>
    </row>
    <row r="380">
      <c r="A380" s="21" t="n"/>
      <c r="B380" s="21" t="n"/>
      <c r="C380" s="21" t="n"/>
      <c r="D380" s="21" t="n"/>
      <c r="E380" s="22" t="n"/>
      <c r="F380" s="22" t="n"/>
      <c r="G380" s="23" t="n"/>
      <c r="H380" s="24">
        <f>IF(ISNUMBER(F380),F380-IF(ISNUMBER(G380),G380,30),"")</f>
        <v/>
      </c>
      <c r="I380" s="25">
        <f>IF(F380="","",IF(ISNUMBER(F380),F380-TODAY(),"Check date"))</f>
        <v/>
      </c>
      <c r="J380" s="26">
        <f>IF(I380="","",IF(ISNUMBER(I380),IF(I380&lt;0,"Expired",IF(I380&lt;=30,"Due ≤30 days",IF(I380&lt;=90,"Due ≤90 days","OK"))),"Check date"))</f>
        <v/>
      </c>
      <c r="K380" s="21" t="n"/>
      <c r="L380" s="21" t="n"/>
      <c r="M380" s="21" t="n"/>
      <c r="N380" s="21" t="n"/>
      <c r="O380" s="21" t="n"/>
      <c r="P380" s="21" t="n"/>
    </row>
    <row r="381">
      <c r="A381" s="21" t="n"/>
      <c r="B381" s="21" t="n"/>
      <c r="C381" s="21" t="n"/>
      <c r="D381" s="21" t="n"/>
      <c r="E381" s="22" t="n"/>
      <c r="F381" s="22" t="n"/>
      <c r="G381" s="23" t="n"/>
      <c r="H381" s="24">
        <f>IF(ISNUMBER(F381),F381-IF(ISNUMBER(G381),G381,30),"")</f>
        <v/>
      </c>
      <c r="I381" s="25">
        <f>IF(F381="","",IF(ISNUMBER(F381),F381-TODAY(),"Check date"))</f>
        <v/>
      </c>
      <c r="J381" s="26">
        <f>IF(I381="","",IF(ISNUMBER(I381),IF(I381&lt;0,"Expired",IF(I381&lt;=30,"Due ≤30 days",IF(I381&lt;=90,"Due ≤90 days","OK"))),"Check date"))</f>
        <v/>
      </c>
      <c r="K381" s="21" t="n"/>
      <c r="L381" s="21" t="n"/>
      <c r="M381" s="21" t="n"/>
      <c r="N381" s="21" t="n"/>
      <c r="O381" s="21" t="n"/>
      <c r="P381" s="21" t="n"/>
    </row>
    <row r="382">
      <c r="A382" s="21" t="n"/>
      <c r="B382" s="21" t="n"/>
      <c r="C382" s="21" t="n"/>
      <c r="D382" s="21" t="n"/>
      <c r="E382" s="22" t="n"/>
      <c r="F382" s="22" t="n"/>
      <c r="G382" s="23" t="n"/>
      <c r="H382" s="24">
        <f>IF(ISNUMBER(F382),F382-IF(ISNUMBER(G382),G382,30),"")</f>
        <v/>
      </c>
      <c r="I382" s="25">
        <f>IF(F382="","",IF(ISNUMBER(F382),F382-TODAY(),"Check date"))</f>
        <v/>
      </c>
      <c r="J382" s="26">
        <f>IF(I382="","",IF(ISNUMBER(I382),IF(I382&lt;0,"Expired",IF(I382&lt;=30,"Due ≤30 days",IF(I382&lt;=90,"Due ≤90 days","OK"))),"Check date"))</f>
        <v/>
      </c>
      <c r="K382" s="21" t="n"/>
      <c r="L382" s="21" t="n"/>
      <c r="M382" s="21" t="n"/>
      <c r="N382" s="21" t="n"/>
      <c r="O382" s="21" t="n"/>
      <c r="P382" s="21" t="n"/>
    </row>
    <row r="383">
      <c r="A383" s="21" t="n"/>
      <c r="B383" s="21" t="n"/>
      <c r="C383" s="21" t="n"/>
      <c r="D383" s="21" t="n"/>
      <c r="E383" s="22" t="n"/>
      <c r="F383" s="22" t="n"/>
      <c r="G383" s="23" t="n"/>
      <c r="H383" s="24">
        <f>IF(ISNUMBER(F383),F383-IF(ISNUMBER(G383),G383,30),"")</f>
        <v/>
      </c>
      <c r="I383" s="25">
        <f>IF(F383="","",IF(ISNUMBER(F383),F383-TODAY(),"Check date"))</f>
        <v/>
      </c>
      <c r="J383" s="26">
        <f>IF(I383="","",IF(ISNUMBER(I383),IF(I383&lt;0,"Expired",IF(I383&lt;=30,"Due ≤30 days",IF(I383&lt;=90,"Due ≤90 days","OK"))),"Check date"))</f>
        <v/>
      </c>
      <c r="K383" s="21" t="n"/>
      <c r="L383" s="21" t="n"/>
      <c r="M383" s="21" t="n"/>
      <c r="N383" s="21" t="n"/>
      <c r="O383" s="21" t="n"/>
      <c r="P383" s="21" t="n"/>
    </row>
    <row r="384">
      <c r="A384" s="21" t="n"/>
      <c r="B384" s="21" t="n"/>
      <c r="C384" s="21" t="n"/>
      <c r="D384" s="21" t="n"/>
      <c r="E384" s="22" t="n"/>
      <c r="F384" s="22" t="n"/>
      <c r="G384" s="23" t="n"/>
      <c r="H384" s="24">
        <f>IF(ISNUMBER(F384),F384-IF(ISNUMBER(G384),G384,30),"")</f>
        <v/>
      </c>
      <c r="I384" s="25">
        <f>IF(F384="","",IF(ISNUMBER(F384),F384-TODAY(),"Check date"))</f>
        <v/>
      </c>
      <c r="J384" s="26">
        <f>IF(I384="","",IF(ISNUMBER(I384),IF(I384&lt;0,"Expired",IF(I384&lt;=30,"Due ≤30 days",IF(I384&lt;=90,"Due ≤90 days","OK"))),"Check date"))</f>
        <v/>
      </c>
      <c r="K384" s="21" t="n"/>
      <c r="L384" s="21" t="n"/>
      <c r="M384" s="21" t="n"/>
      <c r="N384" s="21" t="n"/>
      <c r="O384" s="21" t="n"/>
      <c r="P384" s="21" t="n"/>
    </row>
    <row r="385">
      <c r="A385" s="21" t="n"/>
      <c r="B385" s="21" t="n"/>
      <c r="C385" s="21" t="n"/>
      <c r="D385" s="21" t="n"/>
      <c r="E385" s="22" t="n"/>
      <c r="F385" s="22" t="n"/>
      <c r="G385" s="23" t="n"/>
      <c r="H385" s="24">
        <f>IF(ISNUMBER(F385),F385-IF(ISNUMBER(G385),G385,30),"")</f>
        <v/>
      </c>
      <c r="I385" s="25">
        <f>IF(F385="","",IF(ISNUMBER(F385),F385-TODAY(),"Check date"))</f>
        <v/>
      </c>
      <c r="J385" s="26">
        <f>IF(I385="","",IF(ISNUMBER(I385),IF(I385&lt;0,"Expired",IF(I385&lt;=30,"Due ≤30 days",IF(I385&lt;=90,"Due ≤90 days","OK"))),"Check date"))</f>
        <v/>
      </c>
      <c r="K385" s="21" t="n"/>
      <c r="L385" s="21" t="n"/>
      <c r="M385" s="21" t="n"/>
      <c r="N385" s="21" t="n"/>
      <c r="O385" s="21" t="n"/>
      <c r="P385" s="21" t="n"/>
    </row>
    <row r="386">
      <c r="A386" s="21" t="n"/>
      <c r="B386" s="21" t="n"/>
      <c r="C386" s="21" t="n"/>
      <c r="D386" s="21" t="n"/>
      <c r="E386" s="22" t="n"/>
      <c r="F386" s="22" t="n"/>
      <c r="G386" s="23" t="n"/>
      <c r="H386" s="24">
        <f>IF(ISNUMBER(F386),F386-IF(ISNUMBER(G386),G386,30),"")</f>
        <v/>
      </c>
      <c r="I386" s="25">
        <f>IF(F386="","",IF(ISNUMBER(F386),F386-TODAY(),"Check date"))</f>
        <v/>
      </c>
      <c r="J386" s="26">
        <f>IF(I386="","",IF(ISNUMBER(I386),IF(I386&lt;0,"Expired",IF(I386&lt;=30,"Due ≤30 days",IF(I386&lt;=90,"Due ≤90 days","OK"))),"Check date"))</f>
        <v/>
      </c>
      <c r="K386" s="21" t="n"/>
      <c r="L386" s="21" t="n"/>
      <c r="M386" s="21" t="n"/>
      <c r="N386" s="21" t="n"/>
      <c r="O386" s="21" t="n"/>
      <c r="P386" s="21" t="n"/>
    </row>
    <row r="387">
      <c r="A387" s="21" t="n"/>
      <c r="B387" s="21" t="n"/>
      <c r="C387" s="21" t="n"/>
      <c r="D387" s="21" t="n"/>
      <c r="E387" s="22" t="n"/>
      <c r="F387" s="22" t="n"/>
      <c r="G387" s="23" t="n"/>
      <c r="H387" s="24">
        <f>IF(ISNUMBER(F387),F387-IF(ISNUMBER(G387),G387,30),"")</f>
        <v/>
      </c>
      <c r="I387" s="25">
        <f>IF(F387="","",IF(ISNUMBER(F387),F387-TODAY(),"Check date"))</f>
        <v/>
      </c>
      <c r="J387" s="26">
        <f>IF(I387="","",IF(ISNUMBER(I387),IF(I387&lt;0,"Expired",IF(I387&lt;=30,"Due ≤30 days",IF(I387&lt;=90,"Due ≤90 days","OK"))),"Check date"))</f>
        <v/>
      </c>
      <c r="K387" s="21" t="n"/>
      <c r="L387" s="21" t="n"/>
      <c r="M387" s="21" t="n"/>
      <c r="N387" s="21" t="n"/>
      <c r="O387" s="21" t="n"/>
      <c r="P387" s="21" t="n"/>
    </row>
    <row r="388">
      <c r="A388" s="21" t="n"/>
      <c r="B388" s="21" t="n"/>
      <c r="C388" s="21" t="n"/>
      <c r="D388" s="21" t="n"/>
      <c r="E388" s="22" t="n"/>
      <c r="F388" s="22" t="n"/>
      <c r="G388" s="23" t="n"/>
      <c r="H388" s="24">
        <f>IF(ISNUMBER(F388),F388-IF(ISNUMBER(G388),G388,30),"")</f>
        <v/>
      </c>
      <c r="I388" s="25">
        <f>IF(F388="","",IF(ISNUMBER(F388),F388-TODAY(),"Check date"))</f>
        <v/>
      </c>
      <c r="J388" s="26">
        <f>IF(I388="","",IF(ISNUMBER(I388),IF(I388&lt;0,"Expired",IF(I388&lt;=30,"Due ≤30 days",IF(I388&lt;=90,"Due ≤90 days","OK"))),"Check date"))</f>
        <v/>
      </c>
      <c r="K388" s="21" t="n"/>
      <c r="L388" s="21" t="n"/>
      <c r="M388" s="21" t="n"/>
      <c r="N388" s="21" t="n"/>
      <c r="O388" s="21" t="n"/>
      <c r="P388" s="21" t="n"/>
    </row>
    <row r="389">
      <c r="A389" s="21" t="n"/>
      <c r="B389" s="21" t="n"/>
      <c r="C389" s="21" t="n"/>
      <c r="D389" s="21" t="n"/>
      <c r="E389" s="22" t="n"/>
      <c r="F389" s="22" t="n"/>
      <c r="G389" s="23" t="n"/>
      <c r="H389" s="24">
        <f>IF(ISNUMBER(F389),F389-IF(ISNUMBER(G389),G389,30),"")</f>
        <v/>
      </c>
      <c r="I389" s="25">
        <f>IF(F389="","",IF(ISNUMBER(F389),F389-TODAY(),"Check date"))</f>
        <v/>
      </c>
      <c r="J389" s="26">
        <f>IF(I389="","",IF(ISNUMBER(I389),IF(I389&lt;0,"Expired",IF(I389&lt;=30,"Due ≤30 days",IF(I389&lt;=90,"Due ≤90 days","OK"))),"Check date"))</f>
        <v/>
      </c>
      <c r="K389" s="21" t="n"/>
      <c r="L389" s="21" t="n"/>
      <c r="M389" s="21" t="n"/>
      <c r="N389" s="21" t="n"/>
      <c r="O389" s="21" t="n"/>
      <c r="P389" s="21" t="n"/>
    </row>
    <row r="390">
      <c r="A390" s="21" t="n"/>
      <c r="B390" s="21" t="n"/>
      <c r="C390" s="21" t="n"/>
      <c r="D390" s="21" t="n"/>
      <c r="E390" s="22" t="n"/>
      <c r="F390" s="22" t="n"/>
      <c r="G390" s="23" t="n"/>
      <c r="H390" s="24">
        <f>IF(ISNUMBER(F390),F390-IF(ISNUMBER(G390),G390,30),"")</f>
        <v/>
      </c>
      <c r="I390" s="25">
        <f>IF(F390="","",IF(ISNUMBER(F390),F390-TODAY(),"Check date"))</f>
        <v/>
      </c>
      <c r="J390" s="26">
        <f>IF(I390="","",IF(ISNUMBER(I390),IF(I390&lt;0,"Expired",IF(I390&lt;=30,"Due ≤30 days",IF(I390&lt;=90,"Due ≤90 days","OK"))),"Check date"))</f>
        <v/>
      </c>
      <c r="K390" s="21" t="n"/>
      <c r="L390" s="21" t="n"/>
      <c r="M390" s="21" t="n"/>
      <c r="N390" s="21" t="n"/>
      <c r="O390" s="21" t="n"/>
      <c r="P390" s="21" t="n"/>
    </row>
    <row r="391">
      <c r="A391" s="21" t="n"/>
      <c r="B391" s="21" t="n"/>
      <c r="C391" s="21" t="n"/>
      <c r="D391" s="21" t="n"/>
      <c r="E391" s="22" t="n"/>
      <c r="F391" s="22" t="n"/>
      <c r="G391" s="23" t="n"/>
      <c r="H391" s="24">
        <f>IF(ISNUMBER(F391),F391-IF(ISNUMBER(G391),G391,30),"")</f>
        <v/>
      </c>
      <c r="I391" s="25">
        <f>IF(F391="","",IF(ISNUMBER(F391),F391-TODAY(),"Check date"))</f>
        <v/>
      </c>
      <c r="J391" s="26">
        <f>IF(I391="","",IF(ISNUMBER(I391),IF(I391&lt;0,"Expired",IF(I391&lt;=30,"Due ≤30 days",IF(I391&lt;=90,"Due ≤90 days","OK"))),"Check date"))</f>
        <v/>
      </c>
      <c r="K391" s="21" t="n"/>
      <c r="L391" s="21" t="n"/>
      <c r="M391" s="21" t="n"/>
      <c r="N391" s="21" t="n"/>
      <c r="O391" s="21" t="n"/>
      <c r="P391" s="21" t="n"/>
    </row>
    <row r="392">
      <c r="A392" s="21" t="n"/>
      <c r="B392" s="21" t="n"/>
      <c r="C392" s="21" t="n"/>
      <c r="D392" s="21" t="n"/>
      <c r="E392" s="22" t="n"/>
      <c r="F392" s="22" t="n"/>
      <c r="G392" s="23" t="n"/>
      <c r="H392" s="24">
        <f>IF(ISNUMBER(F392),F392-IF(ISNUMBER(G392),G392,30),"")</f>
        <v/>
      </c>
      <c r="I392" s="25">
        <f>IF(F392="","",IF(ISNUMBER(F392),F392-TODAY(),"Check date"))</f>
        <v/>
      </c>
      <c r="J392" s="26">
        <f>IF(I392="","",IF(ISNUMBER(I392),IF(I392&lt;0,"Expired",IF(I392&lt;=30,"Due ≤30 days",IF(I392&lt;=90,"Due ≤90 days","OK"))),"Check date"))</f>
        <v/>
      </c>
      <c r="K392" s="21" t="n"/>
      <c r="L392" s="21" t="n"/>
      <c r="M392" s="21" t="n"/>
      <c r="N392" s="21" t="n"/>
      <c r="O392" s="21" t="n"/>
      <c r="P392" s="21" t="n"/>
    </row>
    <row r="393">
      <c r="A393" s="21" t="n"/>
      <c r="B393" s="21" t="n"/>
      <c r="C393" s="21" t="n"/>
      <c r="D393" s="21" t="n"/>
      <c r="E393" s="22" t="n"/>
      <c r="F393" s="22" t="n"/>
      <c r="G393" s="23" t="n"/>
      <c r="H393" s="24">
        <f>IF(ISNUMBER(F393),F393-IF(ISNUMBER(G393),G393,30),"")</f>
        <v/>
      </c>
      <c r="I393" s="25">
        <f>IF(F393="","",IF(ISNUMBER(F393),F393-TODAY(),"Check date"))</f>
        <v/>
      </c>
      <c r="J393" s="26">
        <f>IF(I393="","",IF(ISNUMBER(I393),IF(I393&lt;0,"Expired",IF(I393&lt;=30,"Due ≤30 days",IF(I393&lt;=90,"Due ≤90 days","OK"))),"Check date"))</f>
        <v/>
      </c>
      <c r="K393" s="21" t="n"/>
      <c r="L393" s="21" t="n"/>
      <c r="M393" s="21" t="n"/>
      <c r="N393" s="21" t="n"/>
      <c r="O393" s="21" t="n"/>
      <c r="P393" s="21" t="n"/>
    </row>
    <row r="394">
      <c r="A394" s="21" t="n"/>
      <c r="B394" s="21" t="n"/>
      <c r="C394" s="21" t="n"/>
      <c r="D394" s="21" t="n"/>
      <c r="E394" s="22" t="n"/>
      <c r="F394" s="22" t="n"/>
      <c r="G394" s="23" t="n"/>
      <c r="H394" s="24">
        <f>IF(ISNUMBER(F394),F394-IF(ISNUMBER(G394),G394,30),"")</f>
        <v/>
      </c>
      <c r="I394" s="25">
        <f>IF(F394="","",IF(ISNUMBER(F394),F394-TODAY(),"Check date"))</f>
        <v/>
      </c>
      <c r="J394" s="26">
        <f>IF(I394="","",IF(ISNUMBER(I394),IF(I394&lt;0,"Expired",IF(I394&lt;=30,"Due ≤30 days",IF(I394&lt;=90,"Due ≤90 days","OK"))),"Check date"))</f>
        <v/>
      </c>
      <c r="K394" s="21" t="n"/>
      <c r="L394" s="21" t="n"/>
      <c r="M394" s="21" t="n"/>
      <c r="N394" s="21" t="n"/>
      <c r="O394" s="21" t="n"/>
      <c r="P394" s="21" t="n"/>
    </row>
    <row r="395">
      <c r="A395" s="21" t="n"/>
      <c r="B395" s="21" t="n"/>
      <c r="C395" s="21" t="n"/>
      <c r="D395" s="21" t="n"/>
      <c r="E395" s="22" t="n"/>
      <c r="F395" s="22" t="n"/>
      <c r="G395" s="23" t="n"/>
      <c r="H395" s="24">
        <f>IF(ISNUMBER(F395),F395-IF(ISNUMBER(G395),G395,30),"")</f>
        <v/>
      </c>
      <c r="I395" s="25">
        <f>IF(F395="","",IF(ISNUMBER(F395),F395-TODAY(),"Check date"))</f>
        <v/>
      </c>
      <c r="J395" s="26">
        <f>IF(I395="","",IF(ISNUMBER(I395),IF(I395&lt;0,"Expired",IF(I395&lt;=30,"Due ≤30 days",IF(I395&lt;=90,"Due ≤90 days","OK"))),"Check date"))</f>
        <v/>
      </c>
      <c r="K395" s="21" t="n"/>
      <c r="L395" s="21" t="n"/>
      <c r="M395" s="21" t="n"/>
      <c r="N395" s="21" t="n"/>
      <c r="O395" s="21" t="n"/>
      <c r="P395" s="21" t="n"/>
    </row>
    <row r="396">
      <c r="A396" s="21" t="n"/>
      <c r="B396" s="21" t="n"/>
      <c r="C396" s="21" t="n"/>
      <c r="D396" s="21" t="n"/>
      <c r="E396" s="22" t="n"/>
      <c r="F396" s="22" t="n"/>
      <c r="G396" s="23" t="n"/>
      <c r="H396" s="24">
        <f>IF(ISNUMBER(F396),F396-IF(ISNUMBER(G396),G396,30),"")</f>
        <v/>
      </c>
      <c r="I396" s="25">
        <f>IF(F396="","",IF(ISNUMBER(F396),F396-TODAY(),"Check date"))</f>
        <v/>
      </c>
      <c r="J396" s="26">
        <f>IF(I396="","",IF(ISNUMBER(I396),IF(I396&lt;0,"Expired",IF(I396&lt;=30,"Due ≤30 days",IF(I396&lt;=90,"Due ≤90 days","OK"))),"Check date"))</f>
        <v/>
      </c>
      <c r="K396" s="21" t="n"/>
      <c r="L396" s="21" t="n"/>
      <c r="M396" s="21" t="n"/>
      <c r="N396" s="21" t="n"/>
      <c r="O396" s="21" t="n"/>
      <c r="P396" s="21" t="n"/>
    </row>
    <row r="397">
      <c r="A397" s="21" t="n"/>
      <c r="B397" s="21" t="n"/>
      <c r="C397" s="21" t="n"/>
      <c r="D397" s="21" t="n"/>
      <c r="E397" s="22" t="n"/>
      <c r="F397" s="22" t="n"/>
      <c r="G397" s="23" t="n"/>
      <c r="H397" s="24">
        <f>IF(ISNUMBER(F397),F397-IF(ISNUMBER(G397),G397,30),"")</f>
        <v/>
      </c>
      <c r="I397" s="25">
        <f>IF(F397="","",IF(ISNUMBER(F397),F397-TODAY(),"Check date"))</f>
        <v/>
      </c>
      <c r="J397" s="26">
        <f>IF(I397="","",IF(ISNUMBER(I397),IF(I397&lt;0,"Expired",IF(I397&lt;=30,"Due ≤30 days",IF(I397&lt;=90,"Due ≤90 days","OK"))),"Check date"))</f>
        <v/>
      </c>
      <c r="K397" s="21" t="n"/>
      <c r="L397" s="21" t="n"/>
      <c r="M397" s="21" t="n"/>
      <c r="N397" s="21" t="n"/>
      <c r="O397" s="21" t="n"/>
      <c r="P397" s="21" t="n"/>
    </row>
    <row r="398">
      <c r="A398" s="21" t="n"/>
      <c r="B398" s="21" t="n"/>
      <c r="C398" s="21" t="n"/>
      <c r="D398" s="21" t="n"/>
      <c r="E398" s="22" t="n"/>
      <c r="F398" s="22" t="n"/>
      <c r="G398" s="23" t="n"/>
      <c r="H398" s="24">
        <f>IF(ISNUMBER(F398),F398-IF(ISNUMBER(G398),G398,30),"")</f>
        <v/>
      </c>
      <c r="I398" s="25">
        <f>IF(F398="","",IF(ISNUMBER(F398),F398-TODAY(),"Check date"))</f>
        <v/>
      </c>
      <c r="J398" s="26">
        <f>IF(I398="","",IF(ISNUMBER(I398),IF(I398&lt;0,"Expired",IF(I398&lt;=30,"Due ≤30 days",IF(I398&lt;=90,"Due ≤90 days","OK"))),"Check date"))</f>
        <v/>
      </c>
      <c r="K398" s="21" t="n"/>
      <c r="L398" s="21" t="n"/>
      <c r="M398" s="21" t="n"/>
      <c r="N398" s="21" t="n"/>
      <c r="O398" s="21" t="n"/>
      <c r="P398" s="21" t="n"/>
    </row>
    <row r="399">
      <c r="A399" s="21" t="n"/>
      <c r="B399" s="21" t="n"/>
      <c r="C399" s="21" t="n"/>
      <c r="D399" s="21" t="n"/>
      <c r="E399" s="22" t="n"/>
      <c r="F399" s="22" t="n"/>
      <c r="G399" s="23" t="n"/>
      <c r="H399" s="24">
        <f>IF(ISNUMBER(F399),F399-IF(ISNUMBER(G399),G399,30),"")</f>
        <v/>
      </c>
      <c r="I399" s="25">
        <f>IF(F399="","",IF(ISNUMBER(F399),F399-TODAY(),"Check date"))</f>
        <v/>
      </c>
      <c r="J399" s="26">
        <f>IF(I399="","",IF(ISNUMBER(I399),IF(I399&lt;0,"Expired",IF(I399&lt;=30,"Due ≤30 days",IF(I399&lt;=90,"Due ≤90 days","OK"))),"Check date"))</f>
        <v/>
      </c>
      <c r="K399" s="21" t="n"/>
      <c r="L399" s="21" t="n"/>
      <c r="M399" s="21" t="n"/>
      <c r="N399" s="21" t="n"/>
      <c r="O399" s="21" t="n"/>
      <c r="P399" s="21" t="n"/>
    </row>
    <row r="400">
      <c r="A400" s="21" t="n"/>
      <c r="B400" s="21" t="n"/>
      <c r="C400" s="21" t="n"/>
      <c r="D400" s="21" t="n"/>
      <c r="E400" s="22" t="n"/>
      <c r="F400" s="22" t="n"/>
      <c r="G400" s="23" t="n"/>
      <c r="H400" s="24">
        <f>IF(ISNUMBER(F400),F400-IF(ISNUMBER(G400),G400,30),"")</f>
        <v/>
      </c>
      <c r="I400" s="25">
        <f>IF(F400="","",IF(ISNUMBER(F400),F400-TODAY(),"Check date"))</f>
        <v/>
      </c>
      <c r="J400" s="26">
        <f>IF(I400="","",IF(ISNUMBER(I400),IF(I400&lt;0,"Expired",IF(I400&lt;=30,"Due ≤30 days",IF(I400&lt;=90,"Due ≤90 days","OK"))),"Check date"))</f>
        <v/>
      </c>
      <c r="K400" s="21" t="n"/>
      <c r="L400" s="21" t="n"/>
      <c r="M400" s="21" t="n"/>
      <c r="N400" s="21" t="n"/>
      <c r="O400" s="21" t="n"/>
      <c r="P400" s="21" t="n"/>
    </row>
    <row r="401">
      <c r="A401" s="21" t="n"/>
      <c r="B401" s="21" t="n"/>
      <c r="C401" s="21" t="n"/>
      <c r="D401" s="21" t="n"/>
      <c r="E401" s="22" t="n"/>
      <c r="F401" s="22" t="n"/>
      <c r="G401" s="23" t="n"/>
      <c r="H401" s="24">
        <f>IF(ISNUMBER(F401),F401-IF(ISNUMBER(G401),G401,30),"")</f>
        <v/>
      </c>
      <c r="I401" s="25">
        <f>IF(F401="","",IF(ISNUMBER(F401),F401-TODAY(),"Check date"))</f>
        <v/>
      </c>
      <c r="J401" s="26">
        <f>IF(I401="","",IF(ISNUMBER(I401),IF(I401&lt;0,"Expired",IF(I401&lt;=30,"Due ≤30 days",IF(I401&lt;=90,"Due ≤90 days","OK"))),"Check date"))</f>
        <v/>
      </c>
      <c r="K401" s="21" t="n"/>
      <c r="L401" s="21" t="n"/>
      <c r="M401" s="21" t="n"/>
      <c r="N401" s="21" t="n"/>
      <c r="O401" s="21" t="n"/>
      <c r="P401" s="21" t="n"/>
    </row>
    <row r="402">
      <c r="A402" s="21" t="n"/>
      <c r="B402" s="21" t="n"/>
      <c r="C402" s="21" t="n"/>
      <c r="D402" s="21" t="n"/>
      <c r="E402" s="22" t="n"/>
      <c r="F402" s="22" t="n"/>
      <c r="G402" s="23" t="n"/>
      <c r="H402" s="24">
        <f>IF(ISNUMBER(F402),F402-IF(ISNUMBER(G402),G402,30),"")</f>
        <v/>
      </c>
      <c r="I402" s="25">
        <f>IF(F402="","",IF(ISNUMBER(F402),F402-TODAY(),"Check date"))</f>
        <v/>
      </c>
      <c r="J402" s="26">
        <f>IF(I402="","",IF(ISNUMBER(I402),IF(I402&lt;0,"Expired",IF(I402&lt;=30,"Due ≤30 days",IF(I402&lt;=90,"Due ≤90 days","OK"))),"Check date"))</f>
        <v/>
      </c>
      <c r="K402" s="21" t="n"/>
      <c r="L402" s="21" t="n"/>
      <c r="M402" s="21" t="n"/>
      <c r="N402" s="21" t="n"/>
      <c r="O402" s="21" t="n"/>
      <c r="P402" s="21" t="n"/>
    </row>
    <row r="403">
      <c r="A403" s="21" t="n"/>
      <c r="B403" s="21" t="n"/>
      <c r="C403" s="21" t="n"/>
      <c r="D403" s="21" t="n"/>
      <c r="E403" s="22" t="n"/>
      <c r="F403" s="22" t="n"/>
      <c r="G403" s="23" t="n"/>
      <c r="H403" s="24">
        <f>IF(ISNUMBER(F403),F403-IF(ISNUMBER(G403),G403,30),"")</f>
        <v/>
      </c>
      <c r="I403" s="25">
        <f>IF(F403="","",IF(ISNUMBER(F403),F403-TODAY(),"Check date"))</f>
        <v/>
      </c>
      <c r="J403" s="26">
        <f>IF(I403="","",IF(ISNUMBER(I403),IF(I403&lt;0,"Expired",IF(I403&lt;=30,"Due ≤30 days",IF(I403&lt;=90,"Due ≤90 days","OK"))),"Check date"))</f>
        <v/>
      </c>
      <c r="K403" s="21" t="n"/>
      <c r="L403" s="21" t="n"/>
      <c r="M403" s="21" t="n"/>
      <c r="N403" s="21" t="n"/>
      <c r="O403" s="21" t="n"/>
      <c r="P403" s="21" t="n"/>
    </row>
    <row r="404">
      <c r="A404" s="21" t="n"/>
      <c r="B404" s="21" t="n"/>
      <c r="C404" s="21" t="n"/>
      <c r="D404" s="21" t="n"/>
      <c r="E404" s="22" t="n"/>
      <c r="F404" s="22" t="n"/>
      <c r="G404" s="23" t="n"/>
      <c r="H404" s="24">
        <f>IF(ISNUMBER(F404),F404-IF(ISNUMBER(G404),G404,30),"")</f>
        <v/>
      </c>
      <c r="I404" s="25">
        <f>IF(F404="","",IF(ISNUMBER(F404),F404-TODAY(),"Check date"))</f>
        <v/>
      </c>
      <c r="J404" s="26">
        <f>IF(I404="","",IF(ISNUMBER(I404),IF(I404&lt;0,"Expired",IF(I404&lt;=30,"Due ≤30 days",IF(I404&lt;=90,"Due ≤90 days","OK"))),"Check date"))</f>
        <v/>
      </c>
      <c r="K404" s="21" t="n"/>
      <c r="L404" s="21" t="n"/>
      <c r="M404" s="21" t="n"/>
      <c r="N404" s="21" t="n"/>
      <c r="O404" s="21" t="n"/>
      <c r="P404" s="21" t="n"/>
    </row>
    <row r="405">
      <c r="A405" s="21" t="n"/>
      <c r="B405" s="21" t="n"/>
      <c r="C405" s="21" t="n"/>
      <c r="D405" s="21" t="n"/>
      <c r="E405" s="22" t="n"/>
      <c r="F405" s="22" t="n"/>
      <c r="G405" s="23" t="n"/>
      <c r="H405" s="24">
        <f>IF(ISNUMBER(F405),F405-IF(ISNUMBER(G405),G405,30),"")</f>
        <v/>
      </c>
      <c r="I405" s="25">
        <f>IF(F405="","",IF(ISNUMBER(F405),F405-TODAY(),"Check date"))</f>
        <v/>
      </c>
      <c r="J405" s="26">
        <f>IF(I405="","",IF(ISNUMBER(I405),IF(I405&lt;0,"Expired",IF(I405&lt;=30,"Due ≤30 days",IF(I405&lt;=90,"Due ≤90 days","OK"))),"Check date"))</f>
        <v/>
      </c>
      <c r="K405" s="21" t="n"/>
      <c r="L405" s="21" t="n"/>
      <c r="M405" s="21" t="n"/>
      <c r="N405" s="21" t="n"/>
      <c r="O405" s="21" t="n"/>
      <c r="P405" s="21" t="n"/>
    </row>
    <row r="406">
      <c r="A406" s="21" t="n"/>
      <c r="B406" s="21" t="n"/>
      <c r="C406" s="21" t="n"/>
      <c r="D406" s="21" t="n"/>
      <c r="E406" s="22" t="n"/>
      <c r="F406" s="22" t="n"/>
      <c r="G406" s="23" t="n"/>
      <c r="H406" s="24">
        <f>IF(ISNUMBER(F406),F406-IF(ISNUMBER(G406),G406,30),"")</f>
        <v/>
      </c>
      <c r="I406" s="25">
        <f>IF(F406="","",IF(ISNUMBER(F406),F406-TODAY(),"Check date"))</f>
        <v/>
      </c>
      <c r="J406" s="26">
        <f>IF(I406="","",IF(ISNUMBER(I406),IF(I406&lt;0,"Expired",IF(I406&lt;=30,"Due ≤30 days",IF(I406&lt;=90,"Due ≤90 days","OK"))),"Check date"))</f>
        <v/>
      </c>
      <c r="K406" s="21" t="n"/>
      <c r="L406" s="21" t="n"/>
      <c r="M406" s="21" t="n"/>
      <c r="N406" s="21" t="n"/>
      <c r="O406" s="21" t="n"/>
      <c r="P406" s="21" t="n"/>
    </row>
    <row r="407">
      <c r="A407" s="21" t="n"/>
      <c r="B407" s="21" t="n"/>
      <c r="C407" s="21" t="n"/>
      <c r="D407" s="21" t="n"/>
      <c r="E407" s="22" t="n"/>
      <c r="F407" s="22" t="n"/>
      <c r="G407" s="23" t="n"/>
      <c r="H407" s="24">
        <f>IF(ISNUMBER(F407),F407-IF(ISNUMBER(G407),G407,30),"")</f>
        <v/>
      </c>
      <c r="I407" s="25">
        <f>IF(F407="","",IF(ISNUMBER(F407),F407-TODAY(),"Check date"))</f>
        <v/>
      </c>
      <c r="J407" s="26">
        <f>IF(I407="","",IF(ISNUMBER(I407),IF(I407&lt;0,"Expired",IF(I407&lt;=30,"Due ≤30 days",IF(I407&lt;=90,"Due ≤90 days","OK"))),"Check date"))</f>
        <v/>
      </c>
      <c r="K407" s="21" t="n"/>
      <c r="L407" s="21" t="n"/>
      <c r="M407" s="21" t="n"/>
      <c r="N407" s="21" t="n"/>
      <c r="O407" s="21" t="n"/>
      <c r="P407" s="21" t="n"/>
    </row>
    <row r="408">
      <c r="A408" s="21" t="n"/>
      <c r="B408" s="21" t="n"/>
      <c r="C408" s="21" t="n"/>
      <c r="D408" s="21" t="n"/>
      <c r="E408" s="22" t="n"/>
      <c r="F408" s="22" t="n"/>
      <c r="G408" s="23" t="n"/>
      <c r="H408" s="24">
        <f>IF(ISNUMBER(F408),F408-IF(ISNUMBER(G408),G408,30),"")</f>
        <v/>
      </c>
      <c r="I408" s="25">
        <f>IF(F408="","",IF(ISNUMBER(F408),F408-TODAY(),"Check date"))</f>
        <v/>
      </c>
      <c r="J408" s="26">
        <f>IF(I408="","",IF(ISNUMBER(I408),IF(I408&lt;0,"Expired",IF(I408&lt;=30,"Due ≤30 days",IF(I408&lt;=90,"Due ≤90 days","OK"))),"Check date"))</f>
        <v/>
      </c>
      <c r="K408" s="21" t="n"/>
      <c r="L408" s="21" t="n"/>
      <c r="M408" s="21" t="n"/>
      <c r="N408" s="21" t="n"/>
      <c r="O408" s="21" t="n"/>
      <c r="P408" s="21" t="n"/>
    </row>
    <row r="409">
      <c r="A409" s="21" t="n"/>
      <c r="B409" s="21" t="n"/>
      <c r="C409" s="21" t="n"/>
      <c r="D409" s="21" t="n"/>
      <c r="E409" s="22" t="n"/>
      <c r="F409" s="22" t="n"/>
      <c r="G409" s="23" t="n"/>
      <c r="H409" s="24">
        <f>IF(ISNUMBER(F409),F409-IF(ISNUMBER(G409),G409,30),"")</f>
        <v/>
      </c>
      <c r="I409" s="25">
        <f>IF(F409="","",IF(ISNUMBER(F409),F409-TODAY(),"Check date"))</f>
        <v/>
      </c>
      <c r="J409" s="26">
        <f>IF(I409="","",IF(ISNUMBER(I409),IF(I409&lt;0,"Expired",IF(I409&lt;=30,"Due ≤30 days",IF(I409&lt;=90,"Due ≤90 days","OK"))),"Check date"))</f>
        <v/>
      </c>
      <c r="K409" s="21" t="n"/>
      <c r="L409" s="21" t="n"/>
      <c r="M409" s="21" t="n"/>
      <c r="N409" s="21" t="n"/>
      <c r="O409" s="21" t="n"/>
      <c r="P409" s="21" t="n"/>
    </row>
    <row r="410">
      <c r="A410" s="21" t="n"/>
      <c r="B410" s="21" t="n"/>
      <c r="C410" s="21" t="n"/>
      <c r="D410" s="21" t="n"/>
      <c r="E410" s="22" t="n"/>
      <c r="F410" s="22" t="n"/>
      <c r="G410" s="23" t="n"/>
      <c r="H410" s="24">
        <f>IF(ISNUMBER(F410),F410-IF(ISNUMBER(G410),G410,30),"")</f>
        <v/>
      </c>
      <c r="I410" s="25">
        <f>IF(F410="","",IF(ISNUMBER(F410),F410-TODAY(),"Check date"))</f>
        <v/>
      </c>
      <c r="J410" s="26">
        <f>IF(I410="","",IF(ISNUMBER(I410),IF(I410&lt;0,"Expired",IF(I410&lt;=30,"Due ≤30 days",IF(I410&lt;=90,"Due ≤90 days","OK"))),"Check date"))</f>
        <v/>
      </c>
      <c r="K410" s="21" t="n"/>
      <c r="L410" s="21" t="n"/>
      <c r="M410" s="21" t="n"/>
      <c r="N410" s="21" t="n"/>
      <c r="O410" s="21" t="n"/>
      <c r="P410" s="21" t="n"/>
    </row>
    <row r="411">
      <c r="A411" s="21" t="n"/>
      <c r="B411" s="21" t="n"/>
      <c r="C411" s="21" t="n"/>
      <c r="D411" s="21" t="n"/>
      <c r="E411" s="22" t="n"/>
      <c r="F411" s="22" t="n"/>
      <c r="G411" s="23" t="n"/>
      <c r="H411" s="24">
        <f>IF(ISNUMBER(F411),F411-IF(ISNUMBER(G411),G411,30),"")</f>
        <v/>
      </c>
      <c r="I411" s="25">
        <f>IF(F411="","",IF(ISNUMBER(F411),F411-TODAY(),"Check date"))</f>
        <v/>
      </c>
      <c r="J411" s="26">
        <f>IF(I411="","",IF(ISNUMBER(I411),IF(I411&lt;0,"Expired",IF(I411&lt;=30,"Due ≤30 days",IF(I411&lt;=90,"Due ≤90 days","OK"))),"Check date"))</f>
        <v/>
      </c>
      <c r="K411" s="21" t="n"/>
      <c r="L411" s="21" t="n"/>
      <c r="M411" s="21" t="n"/>
      <c r="N411" s="21" t="n"/>
      <c r="O411" s="21" t="n"/>
      <c r="P411" s="21" t="n"/>
    </row>
    <row r="412">
      <c r="A412" s="21" t="n"/>
      <c r="B412" s="21" t="n"/>
      <c r="C412" s="21" t="n"/>
      <c r="D412" s="21" t="n"/>
      <c r="E412" s="22" t="n"/>
      <c r="F412" s="22" t="n"/>
      <c r="G412" s="23" t="n"/>
      <c r="H412" s="24">
        <f>IF(ISNUMBER(F412),F412-IF(ISNUMBER(G412),G412,30),"")</f>
        <v/>
      </c>
      <c r="I412" s="25">
        <f>IF(F412="","",IF(ISNUMBER(F412),F412-TODAY(),"Check date"))</f>
        <v/>
      </c>
      <c r="J412" s="26">
        <f>IF(I412="","",IF(ISNUMBER(I412),IF(I412&lt;0,"Expired",IF(I412&lt;=30,"Due ≤30 days",IF(I412&lt;=90,"Due ≤90 days","OK"))),"Check date"))</f>
        <v/>
      </c>
      <c r="K412" s="21" t="n"/>
      <c r="L412" s="21" t="n"/>
      <c r="M412" s="21" t="n"/>
      <c r="N412" s="21" t="n"/>
      <c r="O412" s="21" t="n"/>
      <c r="P412" s="21" t="n"/>
    </row>
    <row r="413">
      <c r="A413" s="21" t="n"/>
      <c r="B413" s="21" t="n"/>
      <c r="C413" s="21" t="n"/>
      <c r="D413" s="21" t="n"/>
      <c r="E413" s="22" t="n"/>
      <c r="F413" s="22" t="n"/>
      <c r="G413" s="23" t="n"/>
      <c r="H413" s="24">
        <f>IF(ISNUMBER(F413),F413-IF(ISNUMBER(G413),G413,30),"")</f>
        <v/>
      </c>
      <c r="I413" s="25">
        <f>IF(F413="","",IF(ISNUMBER(F413),F413-TODAY(),"Check date"))</f>
        <v/>
      </c>
      <c r="J413" s="26">
        <f>IF(I413="","",IF(ISNUMBER(I413),IF(I413&lt;0,"Expired",IF(I413&lt;=30,"Due ≤30 days",IF(I413&lt;=90,"Due ≤90 days","OK"))),"Check date"))</f>
        <v/>
      </c>
      <c r="K413" s="21" t="n"/>
      <c r="L413" s="21" t="n"/>
      <c r="M413" s="21" t="n"/>
      <c r="N413" s="21" t="n"/>
      <c r="O413" s="21" t="n"/>
      <c r="P413" s="21" t="n"/>
    </row>
    <row r="414">
      <c r="A414" s="21" t="n"/>
      <c r="B414" s="21" t="n"/>
      <c r="C414" s="21" t="n"/>
      <c r="D414" s="21" t="n"/>
      <c r="E414" s="22" t="n"/>
      <c r="F414" s="22" t="n"/>
      <c r="G414" s="23" t="n"/>
      <c r="H414" s="24">
        <f>IF(ISNUMBER(F414),F414-IF(ISNUMBER(G414),G414,30),"")</f>
        <v/>
      </c>
      <c r="I414" s="25">
        <f>IF(F414="","",IF(ISNUMBER(F414),F414-TODAY(),"Check date"))</f>
        <v/>
      </c>
      <c r="J414" s="26">
        <f>IF(I414="","",IF(ISNUMBER(I414),IF(I414&lt;0,"Expired",IF(I414&lt;=30,"Due ≤30 days",IF(I414&lt;=90,"Due ≤90 days","OK"))),"Check date"))</f>
        <v/>
      </c>
      <c r="K414" s="21" t="n"/>
      <c r="L414" s="21" t="n"/>
      <c r="M414" s="21" t="n"/>
      <c r="N414" s="21" t="n"/>
      <c r="O414" s="21" t="n"/>
      <c r="P414" s="21" t="n"/>
    </row>
    <row r="415">
      <c r="A415" s="21" t="n"/>
      <c r="B415" s="21" t="n"/>
      <c r="C415" s="21" t="n"/>
      <c r="D415" s="21" t="n"/>
      <c r="E415" s="22" t="n"/>
      <c r="F415" s="22" t="n"/>
      <c r="G415" s="23" t="n"/>
      <c r="H415" s="24">
        <f>IF(ISNUMBER(F415),F415-IF(ISNUMBER(G415),G415,30),"")</f>
        <v/>
      </c>
      <c r="I415" s="25">
        <f>IF(F415="","",IF(ISNUMBER(F415),F415-TODAY(),"Check date"))</f>
        <v/>
      </c>
      <c r="J415" s="26">
        <f>IF(I415="","",IF(ISNUMBER(I415),IF(I415&lt;0,"Expired",IF(I415&lt;=30,"Due ≤30 days",IF(I415&lt;=90,"Due ≤90 days","OK"))),"Check date"))</f>
        <v/>
      </c>
      <c r="K415" s="21" t="n"/>
      <c r="L415" s="21" t="n"/>
      <c r="M415" s="21" t="n"/>
      <c r="N415" s="21" t="n"/>
      <c r="O415" s="21" t="n"/>
      <c r="P415" s="21" t="n"/>
    </row>
    <row r="416">
      <c r="A416" s="21" t="n"/>
      <c r="B416" s="21" t="n"/>
      <c r="C416" s="21" t="n"/>
      <c r="D416" s="21" t="n"/>
      <c r="E416" s="22" t="n"/>
      <c r="F416" s="22" t="n"/>
      <c r="G416" s="23" t="n"/>
      <c r="H416" s="24">
        <f>IF(ISNUMBER(F416),F416-IF(ISNUMBER(G416),G416,30),"")</f>
        <v/>
      </c>
      <c r="I416" s="25">
        <f>IF(F416="","",IF(ISNUMBER(F416),F416-TODAY(),"Check date"))</f>
        <v/>
      </c>
      <c r="J416" s="26">
        <f>IF(I416="","",IF(ISNUMBER(I416),IF(I416&lt;0,"Expired",IF(I416&lt;=30,"Due ≤30 days",IF(I416&lt;=90,"Due ≤90 days","OK"))),"Check date"))</f>
        <v/>
      </c>
      <c r="K416" s="21" t="n"/>
      <c r="L416" s="21" t="n"/>
      <c r="M416" s="21" t="n"/>
      <c r="N416" s="21" t="n"/>
      <c r="O416" s="21" t="n"/>
      <c r="P416" s="21" t="n"/>
    </row>
    <row r="417">
      <c r="A417" s="21" t="n"/>
      <c r="B417" s="21" t="n"/>
      <c r="C417" s="21" t="n"/>
      <c r="D417" s="21" t="n"/>
      <c r="E417" s="22" t="n"/>
      <c r="F417" s="22" t="n"/>
      <c r="G417" s="23" t="n"/>
      <c r="H417" s="24">
        <f>IF(ISNUMBER(F417),F417-IF(ISNUMBER(G417),G417,30),"")</f>
        <v/>
      </c>
      <c r="I417" s="25">
        <f>IF(F417="","",IF(ISNUMBER(F417),F417-TODAY(),"Check date"))</f>
        <v/>
      </c>
      <c r="J417" s="26">
        <f>IF(I417="","",IF(ISNUMBER(I417),IF(I417&lt;0,"Expired",IF(I417&lt;=30,"Due ≤30 days",IF(I417&lt;=90,"Due ≤90 days","OK"))),"Check date"))</f>
        <v/>
      </c>
      <c r="K417" s="21" t="n"/>
      <c r="L417" s="21" t="n"/>
      <c r="M417" s="21" t="n"/>
      <c r="N417" s="21" t="n"/>
      <c r="O417" s="21" t="n"/>
      <c r="P417" s="21" t="n"/>
    </row>
    <row r="418">
      <c r="A418" s="21" t="n"/>
      <c r="B418" s="21" t="n"/>
      <c r="C418" s="21" t="n"/>
      <c r="D418" s="21" t="n"/>
      <c r="E418" s="22" t="n"/>
      <c r="F418" s="22" t="n"/>
      <c r="G418" s="23" t="n"/>
      <c r="H418" s="24">
        <f>IF(ISNUMBER(F418),F418-IF(ISNUMBER(G418),G418,30),"")</f>
        <v/>
      </c>
      <c r="I418" s="25">
        <f>IF(F418="","",IF(ISNUMBER(F418),F418-TODAY(),"Check date"))</f>
        <v/>
      </c>
      <c r="J418" s="26">
        <f>IF(I418="","",IF(ISNUMBER(I418),IF(I418&lt;0,"Expired",IF(I418&lt;=30,"Due ≤30 days",IF(I418&lt;=90,"Due ≤90 days","OK"))),"Check date"))</f>
        <v/>
      </c>
      <c r="K418" s="21" t="n"/>
      <c r="L418" s="21" t="n"/>
      <c r="M418" s="21" t="n"/>
      <c r="N418" s="21" t="n"/>
      <c r="O418" s="21" t="n"/>
      <c r="P418" s="21" t="n"/>
    </row>
    <row r="419">
      <c r="A419" s="21" t="n"/>
      <c r="B419" s="21" t="n"/>
      <c r="C419" s="21" t="n"/>
      <c r="D419" s="21" t="n"/>
      <c r="E419" s="22" t="n"/>
      <c r="F419" s="22" t="n"/>
      <c r="G419" s="23" t="n"/>
      <c r="H419" s="24">
        <f>IF(ISNUMBER(F419),F419-IF(ISNUMBER(G419),G419,30),"")</f>
        <v/>
      </c>
      <c r="I419" s="25">
        <f>IF(F419="","",IF(ISNUMBER(F419),F419-TODAY(),"Check date"))</f>
        <v/>
      </c>
      <c r="J419" s="26">
        <f>IF(I419="","",IF(ISNUMBER(I419),IF(I419&lt;0,"Expired",IF(I419&lt;=30,"Due ≤30 days",IF(I419&lt;=90,"Due ≤90 days","OK"))),"Check date"))</f>
        <v/>
      </c>
      <c r="K419" s="21" t="n"/>
      <c r="L419" s="21" t="n"/>
      <c r="M419" s="21" t="n"/>
      <c r="N419" s="21" t="n"/>
      <c r="O419" s="21" t="n"/>
      <c r="P419" s="21" t="n"/>
    </row>
    <row r="420">
      <c r="A420" s="21" t="n"/>
      <c r="B420" s="21" t="n"/>
      <c r="C420" s="21" t="n"/>
      <c r="D420" s="21" t="n"/>
      <c r="E420" s="22" t="n"/>
      <c r="F420" s="22" t="n"/>
      <c r="G420" s="23" t="n"/>
      <c r="H420" s="24">
        <f>IF(ISNUMBER(F420),F420-IF(ISNUMBER(G420),G420,30),"")</f>
        <v/>
      </c>
      <c r="I420" s="25">
        <f>IF(F420="","",IF(ISNUMBER(F420),F420-TODAY(),"Check date"))</f>
        <v/>
      </c>
      <c r="J420" s="26">
        <f>IF(I420="","",IF(ISNUMBER(I420),IF(I420&lt;0,"Expired",IF(I420&lt;=30,"Due ≤30 days",IF(I420&lt;=90,"Due ≤90 days","OK"))),"Check date"))</f>
        <v/>
      </c>
      <c r="K420" s="21" t="n"/>
      <c r="L420" s="21" t="n"/>
      <c r="M420" s="21" t="n"/>
      <c r="N420" s="21" t="n"/>
      <c r="O420" s="21" t="n"/>
      <c r="P420" s="21" t="n"/>
    </row>
    <row r="421">
      <c r="A421" s="21" t="n"/>
      <c r="B421" s="21" t="n"/>
      <c r="C421" s="21" t="n"/>
      <c r="D421" s="21" t="n"/>
      <c r="E421" s="22" t="n"/>
      <c r="F421" s="22" t="n"/>
      <c r="G421" s="23" t="n"/>
      <c r="H421" s="24">
        <f>IF(ISNUMBER(F421),F421-IF(ISNUMBER(G421),G421,30),"")</f>
        <v/>
      </c>
      <c r="I421" s="25">
        <f>IF(F421="","",IF(ISNUMBER(F421),F421-TODAY(),"Check date"))</f>
        <v/>
      </c>
      <c r="J421" s="26">
        <f>IF(I421="","",IF(ISNUMBER(I421),IF(I421&lt;0,"Expired",IF(I421&lt;=30,"Due ≤30 days",IF(I421&lt;=90,"Due ≤90 days","OK"))),"Check date"))</f>
        <v/>
      </c>
      <c r="K421" s="21" t="n"/>
      <c r="L421" s="21" t="n"/>
      <c r="M421" s="21" t="n"/>
      <c r="N421" s="21" t="n"/>
      <c r="O421" s="21" t="n"/>
      <c r="P421" s="21" t="n"/>
    </row>
    <row r="422">
      <c r="A422" s="21" t="n"/>
      <c r="B422" s="21" t="n"/>
      <c r="C422" s="21" t="n"/>
      <c r="D422" s="21" t="n"/>
      <c r="E422" s="22" t="n"/>
      <c r="F422" s="22" t="n"/>
      <c r="G422" s="23" t="n"/>
      <c r="H422" s="24">
        <f>IF(ISNUMBER(F422),F422-IF(ISNUMBER(G422),G422,30),"")</f>
        <v/>
      </c>
      <c r="I422" s="25">
        <f>IF(F422="","",IF(ISNUMBER(F422),F422-TODAY(),"Check date"))</f>
        <v/>
      </c>
      <c r="J422" s="26">
        <f>IF(I422="","",IF(ISNUMBER(I422),IF(I422&lt;0,"Expired",IF(I422&lt;=30,"Due ≤30 days",IF(I422&lt;=90,"Due ≤90 days","OK"))),"Check date"))</f>
        <v/>
      </c>
      <c r="K422" s="21" t="n"/>
      <c r="L422" s="21" t="n"/>
      <c r="M422" s="21" t="n"/>
      <c r="N422" s="21" t="n"/>
      <c r="O422" s="21" t="n"/>
      <c r="P422" s="21" t="n"/>
    </row>
    <row r="423">
      <c r="A423" s="21" t="n"/>
      <c r="B423" s="21" t="n"/>
      <c r="C423" s="21" t="n"/>
      <c r="D423" s="21" t="n"/>
      <c r="E423" s="22" t="n"/>
      <c r="F423" s="22" t="n"/>
      <c r="G423" s="23" t="n"/>
      <c r="H423" s="24">
        <f>IF(ISNUMBER(F423),F423-IF(ISNUMBER(G423),G423,30),"")</f>
        <v/>
      </c>
      <c r="I423" s="25">
        <f>IF(F423="","",IF(ISNUMBER(F423),F423-TODAY(),"Check date"))</f>
        <v/>
      </c>
      <c r="J423" s="26">
        <f>IF(I423="","",IF(ISNUMBER(I423),IF(I423&lt;0,"Expired",IF(I423&lt;=30,"Due ≤30 days",IF(I423&lt;=90,"Due ≤90 days","OK"))),"Check date"))</f>
        <v/>
      </c>
      <c r="K423" s="21" t="n"/>
      <c r="L423" s="21" t="n"/>
      <c r="M423" s="21" t="n"/>
      <c r="N423" s="21" t="n"/>
      <c r="O423" s="21" t="n"/>
      <c r="P423" s="21" t="n"/>
    </row>
    <row r="424">
      <c r="A424" s="21" t="n"/>
      <c r="B424" s="21" t="n"/>
      <c r="C424" s="21" t="n"/>
      <c r="D424" s="21" t="n"/>
      <c r="E424" s="22" t="n"/>
      <c r="F424" s="22" t="n"/>
      <c r="G424" s="23" t="n"/>
      <c r="H424" s="24">
        <f>IF(ISNUMBER(F424),F424-IF(ISNUMBER(G424),G424,30),"")</f>
        <v/>
      </c>
      <c r="I424" s="25">
        <f>IF(F424="","",IF(ISNUMBER(F424),F424-TODAY(),"Check date"))</f>
        <v/>
      </c>
      <c r="J424" s="26">
        <f>IF(I424="","",IF(ISNUMBER(I424),IF(I424&lt;0,"Expired",IF(I424&lt;=30,"Due ≤30 days",IF(I424&lt;=90,"Due ≤90 days","OK"))),"Check date"))</f>
        <v/>
      </c>
      <c r="K424" s="21" t="n"/>
      <c r="L424" s="21" t="n"/>
      <c r="M424" s="21" t="n"/>
      <c r="N424" s="21" t="n"/>
      <c r="O424" s="21" t="n"/>
      <c r="P424" s="21" t="n"/>
    </row>
    <row r="425">
      <c r="A425" s="21" t="n"/>
      <c r="B425" s="21" t="n"/>
      <c r="C425" s="21" t="n"/>
      <c r="D425" s="21" t="n"/>
      <c r="E425" s="22" t="n"/>
      <c r="F425" s="22" t="n"/>
      <c r="G425" s="23" t="n"/>
      <c r="H425" s="24">
        <f>IF(ISNUMBER(F425),F425-IF(ISNUMBER(G425),G425,30),"")</f>
        <v/>
      </c>
      <c r="I425" s="25">
        <f>IF(F425="","",IF(ISNUMBER(F425),F425-TODAY(),"Check date"))</f>
        <v/>
      </c>
      <c r="J425" s="26">
        <f>IF(I425="","",IF(ISNUMBER(I425),IF(I425&lt;0,"Expired",IF(I425&lt;=30,"Due ≤30 days",IF(I425&lt;=90,"Due ≤90 days","OK"))),"Check date"))</f>
        <v/>
      </c>
      <c r="K425" s="21" t="n"/>
      <c r="L425" s="21" t="n"/>
      <c r="M425" s="21" t="n"/>
      <c r="N425" s="21" t="n"/>
      <c r="O425" s="21" t="n"/>
      <c r="P425" s="21" t="n"/>
    </row>
    <row r="426">
      <c r="A426" s="21" t="n"/>
      <c r="B426" s="21" t="n"/>
      <c r="C426" s="21" t="n"/>
      <c r="D426" s="21" t="n"/>
      <c r="E426" s="22" t="n"/>
      <c r="F426" s="22" t="n"/>
      <c r="G426" s="23" t="n"/>
      <c r="H426" s="24">
        <f>IF(ISNUMBER(F426),F426-IF(ISNUMBER(G426),G426,30),"")</f>
        <v/>
      </c>
      <c r="I426" s="25">
        <f>IF(F426="","",IF(ISNUMBER(F426),F426-TODAY(),"Check date"))</f>
        <v/>
      </c>
      <c r="J426" s="26">
        <f>IF(I426="","",IF(ISNUMBER(I426),IF(I426&lt;0,"Expired",IF(I426&lt;=30,"Due ≤30 days",IF(I426&lt;=90,"Due ≤90 days","OK"))),"Check date"))</f>
        <v/>
      </c>
      <c r="K426" s="21" t="n"/>
      <c r="L426" s="21" t="n"/>
      <c r="M426" s="21" t="n"/>
      <c r="N426" s="21" t="n"/>
      <c r="O426" s="21" t="n"/>
      <c r="P426" s="21" t="n"/>
    </row>
    <row r="427">
      <c r="A427" s="21" t="n"/>
      <c r="B427" s="21" t="n"/>
      <c r="C427" s="21" t="n"/>
      <c r="D427" s="21" t="n"/>
      <c r="E427" s="22" t="n"/>
      <c r="F427" s="22" t="n"/>
      <c r="G427" s="23" t="n"/>
      <c r="H427" s="24">
        <f>IF(ISNUMBER(F427),F427-IF(ISNUMBER(G427),G427,30),"")</f>
        <v/>
      </c>
      <c r="I427" s="25">
        <f>IF(F427="","",IF(ISNUMBER(F427),F427-TODAY(),"Check date"))</f>
        <v/>
      </c>
      <c r="J427" s="26">
        <f>IF(I427="","",IF(ISNUMBER(I427),IF(I427&lt;0,"Expired",IF(I427&lt;=30,"Due ≤30 days",IF(I427&lt;=90,"Due ≤90 days","OK"))),"Check date"))</f>
        <v/>
      </c>
      <c r="K427" s="21" t="n"/>
      <c r="L427" s="21" t="n"/>
      <c r="M427" s="21" t="n"/>
      <c r="N427" s="21" t="n"/>
      <c r="O427" s="21" t="n"/>
      <c r="P427" s="21" t="n"/>
    </row>
    <row r="428">
      <c r="A428" s="21" t="n"/>
      <c r="B428" s="21" t="n"/>
      <c r="C428" s="21" t="n"/>
      <c r="D428" s="21" t="n"/>
      <c r="E428" s="22" t="n"/>
      <c r="F428" s="22" t="n"/>
      <c r="G428" s="23" t="n"/>
      <c r="H428" s="24">
        <f>IF(ISNUMBER(F428),F428-IF(ISNUMBER(G428),G428,30),"")</f>
        <v/>
      </c>
      <c r="I428" s="25">
        <f>IF(F428="","",IF(ISNUMBER(F428),F428-TODAY(),"Check date"))</f>
        <v/>
      </c>
      <c r="J428" s="26">
        <f>IF(I428="","",IF(ISNUMBER(I428),IF(I428&lt;0,"Expired",IF(I428&lt;=30,"Due ≤30 days",IF(I428&lt;=90,"Due ≤90 days","OK"))),"Check date"))</f>
        <v/>
      </c>
      <c r="K428" s="21" t="n"/>
      <c r="L428" s="21" t="n"/>
      <c r="M428" s="21" t="n"/>
      <c r="N428" s="21" t="n"/>
      <c r="O428" s="21" t="n"/>
      <c r="P428" s="21" t="n"/>
    </row>
    <row r="429">
      <c r="A429" s="21" t="n"/>
      <c r="B429" s="21" t="n"/>
      <c r="C429" s="21" t="n"/>
      <c r="D429" s="21" t="n"/>
      <c r="E429" s="22" t="n"/>
      <c r="F429" s="22" t="n"/>
      <c r="G429" s="23" t="n"/>
      <c r="H429" s="24">
        <f>IF(ISNUMBER(F429),F429-IF(ISNUMBER(G429),G429,30),"")</f>
        <v/>
      </c>
      <c r="I429" s="25">
        <f>IF(F429="","",IF(ISNUMBER(F429),F429-TODAY(),"Check date"))</f>
        <v/>
      </c>
      <c r="J429" s="26">
        <f>IF(I429="","",IF(ISNUMBER(I429),IF(I429&lt;0,"Expired",IF(I429&lt;=30,"Due ≤30 days",IF(I429&lt;=90,"Due ≤90 days","OK"))),"Check date"))</f>
        <v/>
      </c>
      <c r="K429" s="21" t="n"/>
      <c r="L429" s="21" t="n"/>
      <c r="M429" s="21" t="n"/>
      <c r="N429" s="21" t="n"/>
      <c r="O429" s="21" t="n"/>
      <c r="P429" s="21" t="n"/>
    </row>
    <row r="430">
      <c r="A430" s="21" t="n"/>
      <c r="B430" s="21" t="n"/>
      <c r="C430" s="21" t="n"/>
      <c r="D430" s="21" t="n"/>
      <c r="E430" s="22" t="n"/>
      <c r="F430" s="22" t="n"/>
      <c r="G430" s="23" t="n"/>
      <c r="H430" s="24">
        <f>IF(ISNUMBER(F430),F430-IF(ISNUMBER(G430),G430,30),"")</f>
        <v/>
      </c>
      <c r="I430" s="25">
        <f>IF(F430="","",IF(ISNUMBER(F430),F430-TODAY(),"Check date"))</f>
        <v/>
      </c>
      <c r="J430" s="26">
        <f>IF(I430="","",IF(ISNUMBER(I430),IF(I430&lt;0,"Expired",IF(I430&lt;=30,"Due ≤30 days",IF(I430&lt;=90,"Due ≤90 days","OK"))),"Check date"))</f>
        <v/>
      </c>
      <c r="K430" s="21" t="n"/>
      <c r="L430" s="21" t="n"/>
      <c r="M430" s="21" t="n"/>
      <c r="N430" s="21" t="n"/>
      <c r="O430" s="21" t="n"/>
      <c r="P430" s="21" t="n"/>
    </row>
    <row r="431">
      <c r="A431" s="21" t="n"/>
      <c r="B431" s="21" t="n"/>
      <c r="C431" s="21" t="n"/>
      <c r="D431" s="21" t="n"/>
      <c r="E431" s="22" t="n"/>
      <c r="F431" s="22" t="n"/>
      <c r="G431" s="23" t="n"/>
      <c r="H431" s="24">
        <f>IF(ISNUMBER(F431),F431-IF(ISNUMBER(G431),G431,30),"")</f>
        <v/>
      </c>
      <c r="I431" s="25">
        <f>IF(F431="","",IF(ISNUMBER(F431),F431-TODAY(),"Check date"))</f>
        <v/>
      </c>
      <c r="J431" s="26">
        <f>IF(I431="","",IF(ISNUMBER(I431),IF(I431&lt;0,"Expired",IF(I431&lt;=30,"Due ≤30 days",IF(I431&lt;=90,"Due ≤90 days","OK"))),"Check date"))</f>
        <v/>
      </c>
      <c r="K431" s="21" t="n"/>
      <c r="L431" s="21" t="n"/>
      <c r="M431" s="21" t="n"/>
      <c r="N431" s="21" t="n"/>
      <c r="O431" s="21" t="n"/>
      <c r="P431" s="21" t="n"/>
    </row>
    <row r="432">
      <c r="A432" s="21" t="n"/>
      <c r="B432" s="21" t="n"/>
      <c r="C432" s="21" t="n"/>
      <c r="D432" s="21" t="n"/>
      <c r="E432" s="22" t="n"/>
      <c r="F432" s="22" t="n"/>
      <c r="G432" s="23" t="n"/>
      <c r="H432" s="24">
        <f>IF(ISNUMBER(F432),F432-IF(ISNUMBER(G432),G432,30),"")</f>
        <v/>
      </c>
      <c r="I432" s="25">
        <f>IF(F432="","",IF(ISNUMBER(F432),F432-TODAY(),"Check date"))</f>
        <v/>
      </c>
      <c r="J432" s="26">
        <f>IF(I432="","",IF(ISNUMBER(I432),IF(I432&lt;0,"Expired",IF(I432&lt;=30,"Due ≤30 days",IF(I432&lt;=90,"Due ≤90 days","OK"))),"Check date"))</f>
        <v/>
      </c>
      <c r="K432" s="21" t="n"/>
      <c r="L432" s="21" t="n"/>
      <c r="M432" s="21" t="n"/>
      <c r="N432" s="21" t="n"/>
      <c r="O432" s="21" t="n"/>
      <c r="P432" s="21" t="n"/>
    </row>
    <row r="433">
      <c r="A433" s="21" t="n"/>
      <c r="B433" s="21" t="n"/>
      <c r="C433" s="21" t="n"/>
      <c r="D433" s="21" t="n"/>
      <c r="E433" s="22" t="n"/>
      <c r="F433" s="22" t="n"/>
      <c r="G433" s="23" t="n"/>
      <c r="H433" s="24">
        <f>IF(ISNUMBER(F433),F433-IF(ISNUMBER(G433),G433,30),"")</f>
        <v/>
      </c>
      <c r="I433" s="25">
        <f>IF(F433="","",IF(ISNUMBER(F433),F433-TODAY(),"Check date"))</f>
        <v/>
      </c>
      <c r="J433" s="26">
        <f>IF(I433="","",IF(ISNUMBER(I433),IF(I433&lt;0,"Expired",IF(I433&lt;=30,"Due ≤30 days",IF(I433&lt;=90,"Due ≤90 days","OK"))),"Check date"))</f>
        <v/>
      </c>
      <c r="K433" s="21" t="n"/>
      <c r="L433" s="21" t="n"/>
      <c r="M433" s="21" t="n"/>
      <c r="N433" s="21" t="n"/>
      <c r="O433" s="21" t="n"/>
      <c r="P433" s="21" t="n"/>
    </row>
    <row r="434">
      <c r="A434" s="21" t="n"/>
      <c r="B434" s="21" t="n"/>
      <c r="C434" s="21" t="n"/>
      <c r="D434" s="21" t="n"/>
      <c r="E434" s="22" t="n"/>
      <c r="F434" s="22" t="n"/>
      <c r="G434" s="23" t="n"/>
      <c r="H434" s="24">
        <f>IF(ISNUMBER(F434),F434-IF(ISNUMBER(G434),G434,30),"")</f>
        <v/>
      </c>
      <c r="I434" s="25">
        <f>IF(F434="","",IF(ISNUMBER(F434),F434-TODAY(),"Check date"))</f>
        <v/>
      </c>
      <c r="J434" s="26">
        <f>IF(I434="","",IF(ISNUMBER(I434),IF(I434&lt;0,"Expired",IF(I434&lt;=30,"Due ≤30 days",IF(I434&lt;=90,"Due ≤90 days","OK"))),"Check date"))</f>
        <v/>
      </c>
      <c r="K434" s="21" t="n"/>
      <c r="L434" s="21" t="n"/>
      <c r="M434" s="21" t="n"/>
      <c r="N434" s="21" t="n"/>
      <c r="O434" s="21" t="n"/>
      <c r="P434" s="21" t="n"/>
    </row>
    <row r="435">
      <c r="A435" s="21" t="n"/>
      <c r="B435" s="21" t="n"/>
      <c r="C435" s="21" t="n"/>
      <c r="D435" s="21" t="n"/>
      <c r="E435" s="22" t="n"/>
      <c r="F435" s="22" t="n"/>
      <c r="G435" s="23" t="n"/>
      <c r="H435" s="24">
        <f>IF(ISNUMBER(F435),F435-IF(ISNUMBER(G435),G435,30),"")</f>
        <v/>
      </c>
      <c r="I435" s="25">
        <f>IF(F435="","",IF(ISNUMBER(F435),F435-TODAY(),"Check date"))</f>
        <v/>
      </c>
      <c r="J435" s="26">
        <f>IF(I435="","",IF(ISNUMBER(I435),IF(I435&lt;0,"Expired",IF(I435&lt;=30,"Due ≤30 days",IF(I435&lt;=90,"Due ≤90 days","OK"))),"Check date"))</f>
        <v/>
      </c>
      <c r="K435" s="21" t="n"/>
      <c r="L435" s="21" t="n"/>
      <c r="M435" s="21" t="n"/>
      <c r="N435" s="21" t="n"/>
      <c r="O435" s="21" t="n"/>
      <c r="P435" s="21" t="n"/>
    </row>
    <row r="436">
      <c r="A436" s="21" t="n"/>
      <c r="B436" s="21" t="n"/>
      <c r="C436" s="21" t="n"/>
      <c r="D436" s="21" t="n"/>
      <c r="E436" s="22" t="n"/>
      <c r="F436" s="22" t="n"/>
      <c r="G436" s="23" t="n"/>
      <c r="H436" s="24">
        <f>IF(ISNUMBER(F436),F436-IF(ISNUMBER(G436),G436,30),"")</f>
        <v/>
      </c>
      <c r="I436" s="25">
        <f>IF(F436="","",IF(ISNUMBER(F436),F436-TODAY(),"Check date"))</f>
        <v/>
      </c>
      <c r="J436" s="26">
        <f>IF(I436="","",IF(ISNUMBER(I436),IF(I436&lt;0,"Expired",IF(I436&lt;=30,"Due ≤30 days",IF(I436&lt;=90,"Due ≤90 days","OK"))),"Check date"))</f>
        <v/>
      </c>
      <c r="K436" s="21" t="n"/>
      <c r="L436" s="21" t="n"/>
      <c r="M436" s="21" t="n"/>
      <c r="N436" s="21" t="n"/>
      <c r="O436" s="21" t="n"/>
      <c r="P436" s="21" t="n"/>
    </row>
    <row r="437">
      <c r="A437" s="21" t="n"/>
      <c r="B437" s="21" t="n"/>
      <c r="C437" s="21" t="n"/>
      <c r="D437" s="21" t="n"/>
      <c r="E437" s="22" t="n"/>
      <c r="F437" s="22" t="n"/>
      <c r="G437" s="23" t="n"/>
      <c r="H437" s="24">
        <f>IF(ISNUMBER(F437),F437-IF(ISNUMBER(G437),G437,30),"")</f>
        <v/>
      </c>
      <c r="I437" s="25">
        <f>IF(F437="","",IF(ISNUMBER(F437),F437-TODAY(),"Check date"))</f>
        <v/>
      </c>
      <c r="J437" s="26">
        <f>IF(I437="","",IF(ISNUMBER(I437),IF(I437&lt;0,"Expired",IF(I437&lt;=30,"Due ≤30 days",IF(I437&lt;=90,"Due ≤90 days","OK"))),"Check date"))</f>
        <v/>
      </c>
      <c r="K437" s="21" t="n"/>
      <c r="L437" s="21" t="n"/>
      <c r="M437" s="21" t="n"/>
      <c r="N437" s="21" t="n"/>
      <c r="O437" s="21" t="n"/>
      <c r="P437" s="21" t="n"/>
    </row>
    <row r="438">
      <c r="A438" s="21" t="n"/>
      <c r="B438" s="21" t="n"/>
      <c r="C438" s="21" t="n"/>
      <c r="D438" s="21" t="n"/>
      <c r="E438" s="22" t="n"/>
      <c r="F438" s="22" t="n"/>
      <c r="G438" s="23" t="n"/>
      <c r="H438" s="24">
        <f>IF(ISNUMBER(F438),F438-IF(ISNUMBER(G438),G438,30),"")</f>
        <v/>
      </c>
      <c r="I438" s="25">
        <f>IF(F438="","",IF(ISNUMBER(F438),F438-TODAY(),"Check date"))</f>
        <v/>
      </c>
      <c r="J438" s="26">
        <f>IF(I438="","",IF(ISNUMBER(I438),IF(I438&lt;0,"Expired",IF(I438&lt;=30,"Due ≤30 days",IF(I438&lt;=90,"Due ≤90 days","OK"))),"Check date"))</f>
        <v/>
      </c>
      <c r="K438" s="21" t="n"/>
      <c r="L438" s="21" t="n"/>
      <c r="M438" s="21" t="n"/>
      <c r="N438" s="21" t="n"/>
      <c r="O438" s="21" t="n"/>
      <c r="P438" s="21" t="n"/>
    </row>
    <row r="439">
      <c r="A439" s="21" t="n"/>
      <c r="B439" s="21" t="n"/>
      <c r="C439" s="21" t="n"/>
      <c r="D439" s="21" t="n"/>
      <c r="E439" s="22" t="n"/>
      <c r="F439" s="22" t="n"/>
      <c r="G439" s="23" t="n"/>
      <c r="H439" s="24">
        <f>IF(ISNUMBER(F439),F439-IF(ISNUMBER(G439),G439,30),"")</f>
        <v/>
      </c>
      <c r="I439" s="25">
        <f>IF(F439="","",IF(ISNUMBER(F439),F439-TODAY(),"Check date"))</f>
        <v/>
      </c>
      <c r="J439" s="26">
        <f>IF(I439="","",IF(ISNUMBER(I439),IF(I439&lt;0,"Expired",IF(I439&lt;=30,"Due ≤30 days",IF(I439&lt;=90,"Due ≤90 days","OK"))),"Check date"))</f>
        <v/>
      </c>
      <c r="K439" s="21" t="n"/>
      <c r="L439" s="21" t="n"/>
      <c r="M439" s="21" t="n"/>
      <c r="N439" s="21" t="n"/>
      <c r="O439" s="21" t="n"/>
      <c r="P439" s="21" t="n"/>
    </row>
    <row r="440">
      <c r="A440" s="21" t="n"/>
      <c r="B440" s="21" t="n"/>
      <c r="C440" s="21" t="n"/>
      <c r="D440" s="21" t="n"/>
      <c r="E440" s="22" t="n"/>
      <c r="F440" s="22" t="n"/>
      <c r="G440" s="23" t="n"/>
      <c r="H440" s="24">
        <f>IF(ISNUMBER(F440),F440-IF(ISNUMBER(G440),G440,30),"")</f>
        <v/>
      </c>
      <c r="I440" s="25">
        <f>IF(F440="","",IF(ISNUMBER(F440),F440-TODAY(),"Check date"))</f>
        <v/>
      </c>
      <c r="J440" s="26">
        <f>IF(I440="","",IF(ISNUMBER(I440),IF(I440&lt;0,"Expired",IF(I440&lt;=30,"Due ≤30 days",IF(I440&lt;=90,"Due ≤90 days","OK"))),"Check date"))</f>
        <v/>
      </c>
      <c r="K440" s="21" t="n"/>
      <c r="L440" s="21" t="n"/>
      <c r="M440" s="21" t="n"/>
      <c r="N440" s="21" t="n"/>
      <c r="O440" s="21" t="n"/>
      <c r="P440" s="21" t="n"/>
    </row>
    <row r="441">
      <c r="A441" s="21" t="n"/>
      <c r="B441" s="21" t="n"/>
      <c r="C441" s="21" t="n"/>
      <c r="D441" s="21" t="n"/>
      <c r="E441" s="22" t="n"/>
      <c r="F441" s="22" t="n"/>
      <c r="G441" s="23" t="n"/>
      <c r="H441" s="24">
        <f>IF(ISNUMBER(F441),F441-IF(ISNUMBER(G441),G441,30),"")</f>
        <v/>
      </c>
      <c r="I441" s="25">
        <f>IF(F441="","",IF(ISNUMBER(F441),F441-TODAY(),"Check date"))</f>
        <v/>
      </c>
      <c r="J441" s="26">
        <f>IF(I441="","",IF(ISNUMBER(I441),IF(I441&lt;0,"Expired",IF(I441&lt;=30,"Due ≤30 days",IF(I441&lt;=90,"Due ≤90 days","OK"))),"Check date"))</f>
        <v/>
      </c>
      <c r="K441" s="21" t="n"/>
      <c r="L441" s="21" t="n"/>
      <c r="M441" s="21" t="n"/>
      <c r="N441" s="21" t="n"/>
      <c r="O441" s="21" t="n"/>
      <c r="P441" s="21" t="n"/>
    </row>
    <row r="442">
      <c r="A442" s="21" t="n"/>
      <c r="B442" s="21" t="n"/>
      <c r="C442" s="21" t="n"/>
      <c r="D442" s="21" t="n"/>
      <c r="E442" s="22" t="n"/>
      <c r="F442" s="22" t="n"/>
      <c r="G442" s="23" t="n"/>
      <c r="H442" s="24">
        <f>IF(ISNUMBER(F442),F442-IF(ISNUMBER(G442),G442,30),"")</f>
        <v/>
      </c>
      <c r="I442" s="25">
        <f>IF(F442="","",IF(ISNUMBER(F442),F442-TODAY(),"Check date"))</f>
        <v/>
      </c>
      <c r="J442" s="26">
        <f>IF(I442="","",IF(ISNUMBER(I442),IF(I442&lt;0,"Expired",IF(I442&lt;=30,"Due ≤30 days",IF(I442&lt;=90,"Due ≤90 days","OK"))),"Check date"))</f>
        <v/>
      </c>
      <c r="K442" s="21" t="n"/>
      <c r="L442" s="21" t="n"/>
      <c r="M442" s="21" t="n"/>
      <c r="N442" s="21" t="n"/>
      <c r="O442" s="21" t="n"/>
      <c r="P442" s="21" t="n"/>
    </row>
    <row r="443">
      <c r="A443" s="21" t="n"/>
      <c r="B443" s="21" t="n"/>
      <c r="C443" s="21" t="n"/>
      <c r="D443" s="21" t="n"/>
      <c r="E443" s="22" t="n"/>
      <c r="F443" s="22" t="n"/>
      <c r="G443" s="23" t="n"/>
      <c r="H443" s="24">
        <f>IF(ISNUMBER(F443),F443-IF(ISNUMBER(G443),G443,30),"")</f>
        <v/>
      </c>
      <c r="I443" s="25">
        <f>IF(F443="","",IF(ISNUMBER(F443),F443-TODAY(),"Check date"))</f>
        <v/>
      </c>
      <c r="J443" s="26">
        <f>IF(I443="","",IF(ISNUMBER(I443),IF(I443&lt;0,"Expired",IF(I443&lt;=30,"Due ≤30 days",IF(I443&lt;=90,"Due ≤90 days","OK"))),"Check date"))</f>
        <v/>
      </c>
      <c r="K443" s="21" t="n"/>
      <c r="L443" s="21" t="n"/>
      <c r="M443" s="21" t="n"/>
      <c r="N443" s="21" t="n"/>
      <c r="O443" s="21" t="n"/>
      <c r="P443" s="21" t="n"/>
    </row>
    <row r="444">
      <c r="A444" s="21" t="n"/>
      <c r="B444" s="21" t="n"/>
      <c r="C444" s="21" t="n"/>
      <c r="D444" s="21" t="n"/>
      <c r="E444" s="22" t="n"/>
      <c r="F444" s="22" t="n"/>
      <c r="G444" s="23" t="n"/>
      <c r="H444" s="24">
        <f>IF(ISNUMBER(F444),F444-IF(ISNUMBER(G444),G444,30),"")</f>
        <v/>
      </c>
      <c r="I444" s="25">
        <f>IF(F444="","",IF(ISNUMBER(F444),F444-TODAY(),"Check date"))</f>
        <v/>
      </c>
      <c r="J444" s="26">
        <f>IF(I444="","",IF(ISNUMBER(I444),IF(I444&lt;0,"Expired",IF(I444&lt;=30,"Due ≤30 days",IF(I444&lt;=90,"Due ≤90 days","OK"))),"Check date"))</f>
        <v/>
      </c>
      <c r="K444" s="21" t="n"/>
      <c r="L444" s="21" t="n"/>
      <c r="M444" s="21" t="n"/>
      <c r="N444" s="21" t="n"/>
      <c r="O444" s="21" t="n"/>
      <c r="P444" s="21" t="n"/>
    </row>
    <row r="445">
      <c r="A445" s="21" t="n"/>
      <c r="B445" s="21" t="n"/>
      <c r="C445" s="21" t="n"/>
      <c r="D445" s="21" t="n"/>
      <c r="E445" s="22" t="n"/>
      <c r="F445" s="22" t="n"/>
      <c r="G445" s="23" t="n"/>
      <c r="H445" s="24">
        <f>IF(ISNUMBER(F445),F445-IF(ISNUMBER(G445),G445,30),"")</f>
        <v/>
      </c>
      <c r="I445" s="25">
        <f>IF(F445="","",IF(ISNUMBER(F445),F445-TODAY(),"Check date"))</f>
        <v/>
      </c>
      <c r="J445" s="26">
        <f>IF(I445="","",IF(ISNUMBER(I445),IF(I445&lt;0,"Expired",IF(I445&lt;=30,"Due ≤30 days",IF(I445&lt;=90,"Due ≤90 days","OK"))),"Check date"))</f>
        <v/>
      </c>
      <c r="K445" s="21" t="n"/>
      <c r="L445" s="21" t="n"/>
      <c r="M445" s="21" t="n"/>
      <c r="N445" s="21" t="n"/>
      <c r="O445" s="21" t="n"/>
      <c r="P445" s="21" t="n"/>
    </row>
    <row r="446">
      <c r="A446" s="21" t="n"/>
      <c r="B446" s="21" t="n"/>
      <c r="C446" s="21" t="n"/>
      <c r="D446" s="21" t="n"/>
      <c r="E446" s="22" t="n"/>
      <c r="F446" s="22" t="n"/>
      <c r="G446" s="23" t="n"/>
      <c r="H446" s="24">
        <f>IF(ISNUMBER(F446),F446-IF(ISNUMBER(G446),G446,30),"")</f>
        <v/>
      </c>
      <c r="I446" s="25">
        <f>IF(F446="","",IF(ISNUMBER(F446),F446-TODAY(),"Check date"))</f>
        <v/>
      </c>
      <c r="J446" s="26">
        <f>IF(I446="","",IF(ISNUMBER(I446),IF(I446&lt;0,"Expired",IF(I446&lt;=30,"Due ≤30 days",IF(I446&lt;=90,"Due ≤90 days","OK"))),"Check date"))</f>
        <v/>
      </c>
      <c r="K446" s="21" t="n"/>
      <c r="L446" s="21" t="n"/>
      <c r="M446" s="21" t="n"/>
      <c r="N446" s="21" t="n"/>
      <c r="O446" s="21" t="n"/>
      <c r="P446" s="21" t="n"/>
    </row>
    <row r="447">
      <c r="A447" s="21" t="n"/>
      <c r="B447" s="21" t="n"/>
      <c r="C447" s="21" t="n"/>
      <c r="D447" s="21" t="n"/>
      <c r="E447" s="22" t="n"/>
      <c r="F447" s="22" t="n"/>
      <c r="G447" s="23" t="n"/>
      <c r="H447" s="24">
        <f>IF(ISNUMBER(F447),F447-IF(ISNUMBER(G447),G447,30),"")</f>
        <v/>
      </c>
      <c r="I447" s="25">
        <f>IF(F447="","",IF(ISNUMBER(F447),F447-TODAY(),"Check date"))</f>
        <v/>
      </c>
      <c r="J447" s="26">
        <f>IF(I447="","",IF(ISNUMBER(I447),IF(I447&lt;0,"Expired",IF(I447&lt;=30,"Due ≤30 days",IF(I447&lt;=90,"Due ≤90 days","OK"))),"Check date"))</f>
        <v/>
      </c>
      <c r="K447" s="21" t="n"/>
      <c r="L447" s="21" t="n"/>
      <c r="M447" s="21" t="n"/>
      <c r="N447" s="21" t="n"/>
      <c r="O447" s="21" t="n"/>
      <c r="P447" s="21" t="n"/>
    </row>
    <row r="448">
      <c r="A448" s="21" t="n"/>
      <c r="B448" s="21" t="n"/>
      <c r="C448" s="21" t="n"/>
      <c r="D448" s="21" t="n"/>
      <c r="E448" s="22" t="n"/>
      <c r="F448" s="22" t="n"/>
      <c r="G448" s="23" t="n"/>
      <c r="H448" s="24">
        <f>IF(ISNUMBER(F448),F448-IF(ISNUMBER(G448),G448,30),"")</f>
        <v/>
      </c>
      <c r="I448" s="25">
        <f>IF(F448="","",IF(ISNUMBER(F448),F448-TODAY(),"Check date"))</f>
        <v/>
      </c>
      <c r="J448" s="26">
        <f>IF(I448="","",IF(ISNUMBER(I448),IF(I448&lt;0,"Expired",IF(I448&lt;=30,"Due ≤30 days",IF(I448&lt;=90,"Due ≤90 days","OK"))),"Check date"))</f>
        <v/>
      </c>
      <c r="K448" s="21" t="n"/>
      <c r="L448" s="21" t="n"/>
      <c r="M448" s="21" t="n"/>
      <c r="N448" s="21" t="n"/>
      <c r="O448" s="21" t="n"/>
      <c r="P448" s="21" t="n"/>
    </row>
    <row r="449">
      <c r="A449" s="21" t="n"/>
      <c r="B449" s="21" t="n"/>
      <c r="C449" s="21" t="n"/>
      <c r="D449" s="21" t="n"/>
      <c r="E449" s="22" t="n"/>
      <c r="F449" s="22" t="n"/>
      <c r="G449" s="23" t="n"/>
      <c r="H449" s="24">
        <f>IF(ISNUMBER(F449),F449-IF(ISNUMBER(G449),G449,30),"")</f>
        <v/>
      </c>
      <c r="I449" s="25">
        <f>IF(F449="","",IF(ISNUMBER(F449),F449-TODAY(),"Check date"))</f>
        <v/>
      </c>
      <c r="J449" s="26">
        <f>IF(I449="","",IF(ISNUMBER(I449),IF(I449&lt;0,"Expired",IF(I449&lt;=30,"Due ≤30 days",IF(I449&lt;=90,"Due ≤90 days","OK"))),"Check date"))</f>
        <v/>
      </c>
      <c r="K449" s="21" t="n"/>
      <c r="L449" s="21" t="n"/>
      <c r="M449" s="21" t="n"/>
      <c r="N449" s="21" t="n"/>
      <c r="O449" s="21" t="n"/>
      <c r="P449" s="21" t="n"/>
    </row>
    <row r="450">
      <c r="A450" s="21" t="n"/>
      <c r="B450" s="21" t="n"/>
      <c r="C450" s="21" t="n"/>
      <c r="D450" s="21" t="n"/>
      <c r="E450" s="22" t="n"/>
      <c r="F450" s="22" t="n"/>
      <c r="G450" s="23" t="n"/>
      <c r="H450" s="24">
        <f>IF(ISNUMBER(F450),F450-IF(ISNUMBER(G450),G450,30),"")</f>
        <v/>
      </c>
      <c r="I450" s="25">
        <f>IF(F450="","",IF(ISNUMBER(F450),F450-TODAY(),"Check date"))</f>
        <v/>
      </c>
      <c r="J450" s="26">
        <f>IF(I450="","",IF(ISNUMBER(I450),IF(I450&lt;0,"Expired",IF(I450&lt;=30,"Due ≤30 days",IF(I450&lt;=90,"Due ≤90 days","OK"))),"Check date"))</f>
        <v/>
      </c>
      <c r="K450" s="21" t="n"/>
      <c r="L450" s="21" t="n"/>
      <c r="M450" s="21" t="n"/>
      <c r="N450" s="21" t="n"/>
      <c r="O450" s="21" t="n"/>
      <c r="P450" s="21" t="n"/>
    </row>
    <row r="451">
      <c r="A451" s="21" t="n"/>
      <c r="B451" s="21" t="n"/>
      <c r="C451" s="21" t="n"/>
      <c r="D451" s="21" t="n"/>
      <c r="E451" s="22" t="n"/>
      <c r="F451" s="22" t="n"/>
      <c r="G451" s="23" t="n"/>
      <c r="H451" s="24">
        <f>IF(ISNUMBER(F451),F451-IF(ISNUMBER(G451),G451,30),"")</f>
        <v/>
      </c>
      <c r="I451" s="25">
        <f>IF(F451="","",IF(ISNUMBER(F451),F451-TODAY(),"Check date"))</f>
        <v/>
      </c>
      <c r="J451" s="26">
        <f>IF(I451="","",IF(ISNUMBER(I451),IF(I451&lt;0,"Expired",IF(I451&lt;=30,"Due ≤30 days",IF(I451&lt;=90,"Due ≤90 days","OK"))),"Check date"))</f>
        <v/>
      </c>
      <c r="K451" s="21" t="n"/>
      <c r="L451" s="21" t="n"/>
      <c r="M451" s="21" t="n"/>
      <c r="N451" s="21" t="n"/>
      <c r="O451" s="21" t="n"/>
      <c r="P451" s="21" t="n"/>
    </row>
    <row r="452">
      <c r="A452" s="21" t="n"/>
      <c r="B452" s="21" t="n"/>
      <c r="C452" s="21" t="n"/>
      <c r="D452" s="21" t="n"/>
      <c r="E452" s="22" t="n"/>
      <c r="F452" s="22" t="n"/>
      <c r="G452" s="23" t="n"/>
      <c r="H452" s="24">
        <f>IF(ISNUMBER(F452),F452-IF(ISNUMBER(G452),G452,30),"")</f>
        <v/>
      </c>
      <c r="I452" s="25">
        <f>IF(F452="","",IF(ISNUMBER(F452),F452-TODAY(),"Check date"))</f>
        <v/>
      </c>
      <c r="J452" s="26">
        <f>IF(I452="","",IF(ISNUMBER(I452),IF(I452&lt;0,"Expired",IF(I452&lt;=30,"Due ≤30 days",IF(I452&lt;=90,"Due ≤90 days","OK"))),"Check date"))</f>
        <v/>
      </c>
      <c r="K452" s="21" t="n"/>
      <c r="L452" s="21" t="n"/>
      <c r="M452" s="21" t="n"/>
      <c r="N452" s="21" t="n"/>
      <c r="O452" s="21" t="n"/>
      <c r="P452" s="21" t="n"/>
    </row>
    <row r="453">
      <c r="A453" s="21" t="n"/>
      <c r="B453" s="21" t="n"/>
      <c r="C453" s="21" t="n"/>
      <c r="D453" s="21" t="n"/>
      <c r="E453" s="22" t="n"/>
      <c r="F453" s="22" t="n"/>
      <c r="G453" s="23" t="n"/>
      <c r="H453" s="24">
        <f>IF(ISNUMBER(F453),F453-IF(ISNUMBER(G453),G453,30),"")</f>
        <v/>
      </c>
      <c r="I453" s="25">
        <f>IF(F453="","",IF(ISNUMBER(F453),F453-TODAY(),"Check date"))</f>
        <v/>
      </c>
      <c r="J453" s="26">
        <f>IF(I453="","",IF(ISNUMBER(I453),IF(I453&lt;0,"Expired",IF(I453&lt;=30,"Due ≤30 days",IF(I453&lt;=90,"Due ≤90 days","OK"))),"Check date"))</f>
        <v/>
      </c>
      <c r="K453" s="21" t="n"/>
      <c r="L453" s="21" t="n"/>
      <c r="M453" s="21" t="n"/>
      <c r="N453" s="21" t="n"/>
      <c r="O453" s="21" t="n"/>
      <c r="P453" s="21" t="n"/>
    </row>
    <row r="454">
      <c r="A454" s="21" t="n"/>
      <c r="B454" s="21" t="n"/>
      <c r="C454" s="21" t="n"/>
      <c r="D454" s="21" t="n"/>
      <c r="E454" s="22" t="n"/>
      <c r="F454" s="22" t="n"/>
      <c r="G454" s="23" t="n"/>
      <c r="H454" s="24">
        <f>IF(ISNUMBER(F454),F454-IF(ISNUMBER(G454),G454,30),"")</f>
        <v/>
      </c>
      <c r="I454" s="25">
        <f>IF(F454="","",IF(ISNUMBER(F454),F454-TODAY(),"Check date"))</f>
        <v/>
      </c>
      <c r="J454" s="26">
        <f>IF(I454="","",IF(ISNUMBER(I454),IF(I454&lt;0,"Expired",IF(I454&lt;=30,"Due ≤30 days",IF(I454&lt;=90,"Due ≤90 days","OK"))),"Check date"))</f>
        <v/>
      </c>
      <c r="K454" s="21" t="n"/>
      <c r="L454" s="21" t="n"/>
      <c r="M454" s="21" t="n"/>
      <c r="N454" s="21" t="n"/>
      <c r="O454" s="21" t="n"/>
      <c r="P454" s="21" t="n"/>
    </row>
    <row r="455">
      <c r="A455" s="21" t="n"/>
      <c r="B455" s="21" t="n"/>
      <c r="C455" s="21" t="n"/>
      <c r="D455" s="21" t="n"/>
      <c r="E455" s="22" t="n"/>
      <c r="F455" s="22" t="n"/>
      <c r="G455" s="23" t="n"/>
      <c r="H455" s="24">
        <f>IF(ISNUMBER(F455),F455-IF(ISNUMBER(G455),G455,30),"")</f>
        <v/>
      </c>
      <c r="I455" s="25">
        <f>IF(F455="","",IF(ISNUMBER(F455),F455-TODAY(),"Check date"))</f>
        <v/>
      </c>
      <c r="J455" s="26">
        <f>IF(I455="","",IF(ISNUMBER(I455),IF(I455&lt;0,"Expired",IF(I455&lt;=30,"Due ≤30 days",IF(I455&lt;=90,"Due ≤90 days","OK"))),"Check date"))</f>
        <v/>
      </c>
      <c r="K455" s="21" t="n"/>
      <c r="L455" s="21" t="n"/>
      <c r="M455" s="21" t="n"/>
      <c r="N455" s="21" t="n"/>
      <c r="O455" s="21" t="n"/>
      <c r="P455" s="21" t="n"/>
    </row>
    <row r="456">
      <c r="A456" s="21" t="n"/>
      <c r="B456" s="21" t="n"/>
      <c r="C456" s="21" t="n"/>
      <c r="D456" s="21" t="n"/>
      <c r="E456" s="22" t="n"/>
      <c r="F456" s="22" t="n"/>
      <c r="G456" s="23" t="n"/>
      <c r="H456" s="24">
        <f>IF(ISNUMBER(F456),F456-IF(ISNUMBER(G456),G456,30),"")</f>
        <v/>
      </c>
      <c r="I456" s="25">
        <f>IF(F456="","",IF(ISNUMBER(F456),F456-TODAY(),"Check date"))</f>
        <v/>
      </c>
      <c r="J456" s="26">
        <f>IF(I456="","",IF(ISNUMBER(I456),IF(I456&lt;0,"Expired",IF(I456&lt;=30,"Due ≤30 days",IF(I456&lt;=90,"Due ≤90 days","OK"))),"Check date"))</f>
        <v/>
      </c>
      <c r="K456" s="21" t="n"/>
      <c r="L456" s="21" t="n"/>
      <c r="M456" s="21" t="n"/>
      <c r="N456" s="21" t="n"/>
      <c r="O456" s="21" t="n"/>
      <c r="P456" s="21" t="n"/>
    </row>
    <row r="457">
      <c r="A457" s="21" t="n"/>
      <c r="B457" s="21" t="n"/>
      <c r="C457" s="21" t="n"/>
      <c r="D457" s="21" t="n"/>
      <c r="E457" s="22" t="n"/>
      <c r="F457" s="22" t="n"/>
      <c r="G457" s="23" t="n"/>
      <c r="H457" s="24">
        <f>IF(ISNUMBER(F457),F457-IF(ISNUMBER(G457),G457,30),"")</f>
        <v/>
      </c>
      <c r="I457" s="25">
        <f>IF(F457="","",IF(ISNUMBER(F457),F457-TODAY(),"Check date"))</f>
        <v/>
      </c>
      <c r="J457" s="26">
        <f>IF(I457="","",IF(ISNUMBER(I457),IF(I457&lt;0,"Expired",IF(I457&lt;=30,"Due ≤30 days",IF(I457&lt;=90,"Due ≤90 days","OK"))),"Check date"))</f>
        <v/>
      </c>
      <c r="K457" s="21" t="n"/>
      <c r="L457" s="21" t="n"/>
      <c r="M457" s="21" t="n"/>
      <c r="N457" s="21" t="n"/>
      <c r="O457" s="21" t="n"/>
      <c r="P457" s="21" t="n"/>
    </row>
    <row r="458">
      <c r="A458" s="21" t="n"/>
      <c r="B458" s="21" t="n"/>
      <c r="C458" s="21" t="n"/>
      <c r="D458" s="21" t="n"/>
      <c r="E458" s="22" t="n"/>
      <c r="F458" s="22" t="n"/>
      <c r="G458" s="23" t="n"/>
      <c r="H458" s="24">
        <f>IF(ISNUMBER(F458),F458-IF(ISNUMBER(G458),G458,30),"")</f>
        <v/>
      </c>
      <c r="I458" s="25">
        <f>IF(F458="","",IF(ISNUMBER(F458),F458-TODAY(),"Check date"))</f>
        <v/>
      </c>
      <c r="J458" s="26">
        <f>IF(I458="","",IF(ISNUMBER(I458),IF(I458&lt;0,"Expired",IF(I458&lt;=30,"Due ≤30 days",IF(I458&lt;=90,"Due ≤90 days","OK"))),"Check date"))</f>
        <v/>
      </c>
      <c r="K458" s="21" t="n"/>
      <c r="L458" s="21" t="n"/>
      <c r="M458" s="21" t="n"/>
      <c r="N458" s="21" t="n"/>
      <c r="O458" s="21" t="n"/>
      <c r="P458" s="21" t="n"/>
    </row>
    <row r="459">
      <c r="A459" s="21" t="n"/>
      <c r="B459" s="21" t="n"/>
      <c r="C459" s="21" t="n"/>
      <c r="D459" s="21" t="n"/>
      <c r="E459" s="22" t="n"/>
      <c r="F459" s="22" t="n"/>
      <c r="G459" s="23" t="n"/>
      <c r="H459" s="24">
        <f>IF(ISNUMBER(F459),F459-IF(ISNUMBER(G459),G459,30),"")</f>
        <v/>
      </c>
      <c r="I459" s="25">
        <f>IF(F459="","",IF(ISNUMBER(F459),F459-TODAY(),"Check date"))</f>
        <v/>
      </c>
      <c r="J459" s="26">
        <f>IF(I459="","",IF(ISNUMBER(I459),IF(I459&lt;0,"Expired",IF(I459&lt;=30,"Due ≤30 days",IF(I459&lt;=90,"Due ≤90 days","OK"))),"Check date"))</f>
        <v/>
      </c>
      <c r="K459" s="21" t="n"/>
      <c r="L459" s="21" t="n"/>
      <c r="M459" s="21" t="n"/>
      <c r="N459" s="21" t="n"/>
      <c r="O459" s="21" t="n"/>
      <c r="P459" s="21" t="n"/>
    </row>
    <row r="460">
      <c r="A460" s="21" t="n"/>
      <c r="B460" s="21" t="n"/>
      <c r="C460" s="21" t="n"/>
      <c r="D460" s="21" t="n"/>
      <c r="E460" s="22" t="n"/>
      <c r="F460" s="22" t="n"/>
      <c r="G460" s="23" t="n"/>
      <c r="H460" s="24">
        <f>IF(ISNUMBER(F460),F460-IF(ISNUMBER(G460),G460,30),"")</f>
        <v/>
      </c>
      <c r="I460" s="25">
        <f>IF(F460="","",IF(ISNUMBER(F460),F460-TODAY(),"Check date"))</f>
        <v/>
      </c>
      <c r="J460" s="26">
        <f>IF(I460="","",IF(ISNUMBER(I460),IF(I460&lt;0,"Expired",IF(I460&lt;=30,"Due ≤30 days",IF(I460&lt;=90,"Due ≤90 days","OK"))),"Check date"))</f>
        <v/>
      </c>
      <c r="K460" s="21" t="n"/>
      <c r="L460" s="21" t="n"/>
      <c r="M460" s="21" t="n"/>
      <c r="N460" s="21" t="n"/>
      <c r="O460" s="21" t="n"/>
      <c r="P460" s="21" t="n"/>
    </row>
    <row r="461">
      <c r="A461" s="21" t="n"/>
      <c r="B461" s="21" t="n"/>
      <c r="C461" s="21" t="n"/>
      <c r="D461" s="21" t="n"/>
      <c r="E461" s="22" t="n"/>
      <c r="F461" s="22" t="n"/>
      <c r="G461" s="23" t="n"/>
      <c r="H461" s="24">
        <f>IF(ISNUMBER(F461),F461-IF(ISNUMBER(G461),G461,30),"")</f>
        <v/>
      </c>
      <c r="I461" s="25">
        <f>IF(F461="","",IF(ISNUMBER(F461),F461-TODAY(),"Check date"))</f>
        <v/>
      </c>
      <c r="J461" s="26">
        <f>IF(I461="","",IF(ISNUMBER(I461),IF(I461&lt;0,"Expired",IF(I461&lt;=30,"Due ≤30 days",IF(I461&lt;=90,"Due ≤90 days","OK"))),"Check date"))</f>
        <v/>
      </c>
      <c r="K461" s="21" t="n"/>
      <c r="L461" s="21" t="n"/>
      <c r="M461" s="21" t="n"/>
      <c r="N461" s="21" t="n"/>
      <c r="O461" s="21" t="n"/>
      <c r="P461" s="21" t="n"/>
    </row>
    <row r="462">
      <c r="A462" s="21" t="n"/>
      <c r="B462" s="21" t="n"/>
      <c r="C462" s="21" t="n"/>
      <c r="D462" s="21" t="n"/>
      <c r="E462" s="22" t="n"/>
      <c r="F462" s="22" t="n"/>
      <c r="G462" s="23" t="n"/>
      <c r="H462" s="24">
        <f>IF(ISNUMBER(F462),F462-IF(ISNUMBER(G462),G462,30),"")</f>
        <v/>
      </c>
      <c r="I462" s="25">
        <f>IF(F462="","",IF(ISNUMBER(F462),F462-TODAY(),"Check date"))</f>
        <v/>
      </c>
      <c r="J462" s="26">
        <f>IF(I462="","",IF(ISNUMBER(I462),IF(I462&lt;0,"Expired",IF(I462&lt;=30,"Due ≤30 days",IF(I462&lt;=90,"Due ≤90 days","OK"))),"Check date"))</f>
        <v/>
      </c>
      <c r="K462" s="21" t="n"/>
      <c r="L462" s="21" t="n"/>
      <c r="M462" s="21" t="n"/>
      <c r="N462" s="21" t="n"/>
      <c r="O462" s="21" t="n"/>
      <c r="P462" s="21" t="n"/>
    </row>
    <row r="463">
      <c r="A463" s="21" t="n"/>
      <c r="B463" s="21" t="n"/>
      <c r="C463" s="21" t="n"/>
      <c r="D463" s="21" t="n"/>
      <c r="E463" s="22" t="n"/>
      <c r="F463" s="22" t="n"/>
      <c r="G463" s="23" t="n"/>
      <c r="H463" s="24">
        <f>IF(ISNUMBER(F463),F463-IF(ISNUMBER(G463),G463,30),"")</f>
        <v/>
      </c>
      <c r="I463" s="25">
        <f>IF(F463="","",IF(ISNUMBER(F463),F463-TODAY(),"Check date"))</f>
        <v/>
      </c>
      <c r="J463" s="26">
        <f>IF(I463="","",IF(ISNUMBER(I463),IF(I463&lt;0,"Expired",IF(I463&lt;=30,"Due ≤30 days",IF(I463&lt;=90,"Due ≤90 days","OK"))),"Check date"))</f>
        <v/>
      </c>
      <c r="K463" s="21" t="n"/>
      <c r="L463" s="21" t="n"/>
      <c r="M463" s="21" t="n"/>
      <c r="N463" s="21" t="n"/>
      <c r="O463" s="21" t="n"/>
      <c r="P463" s="21" t="n"/>
    </row>
    <row r="464">
      <c r="A464" s="21" t="n"/>
      <c r="B464" s="21" t="n"/>
      <c r="C464" s="21" t="n"/>
      <c r="D464" s="21" t="n"/>
      <c r="E464" s="22" t="n"/>
      <c r="F464" s="22" t="n"/>
      <c r="G464" s="23" t="n"/>
      <c r="H464" s="24">
        <f>IF(ISNUMBER(F464),F464-IF(ISNUMBER(G464),G464,30),"")</f>
        <v/>
      </c>
      <c r="I464" s="25">
        <f>IF(F464="","",IF(ISNUMBER(F464),F464-TODAY(),"Check date"))</f>
        <v/>
      </c>
      <c r="J464" s="26">
        <f>IF(I464="","",IF(ISNUMBER(I464),IF(I464&lt;0,"Expired",IF(I464&lt;=30,"Due ≤30 days",IF(I464&lt;=90,"Due ≤90 days","OK"))),"Check date"))</f>
        <v/>
      </c>
      <c r="K464" s="21" t="n"/>
      <c r="L464" s="21" t="n"/>
      <c r="M464" s="21" t="n"/>
      <c r="N464" s="21" t="n"/>
      <c r="O464" s="21" t="n"/>
      <c r="P464" s="21" t="n"/>
    </row>
    <row r="465">
      <c r="A465" s="21" t="n"/>
      <c r="B465" s="21" t="n"/>
      <c r="C465" s="21" t="n"/>
      <c r="D465" s="21" t="n"/>
      <c r="E465" s="22" t="n"/>
      <c r="F465" s="22" t="n"/>
      <c r="G465" s="23" t="n"/>
      <c r="H465" s="24">
        <f>IF(ISNUMBER(F465),F465-IF(ISNUMBER(G465),G465,30),"")</f>
        <v/>
      </c>
      <c r="I465" s="25">
        <f>IF(F465="","",IF(ISNUMBER(F465),F465-TODAY(),"Check date"))</f>
        <v/>
      </c>
      <c r="J465" s="26">
        <f>IF(I465="","",IF(ISNUMBER(I465),IF(I465&lt;0,"Expired",IF(I465&lt;=30,"Due ≤30 days",IF(I465&lt;=90,"Due ≤90 days","OK"))),"Check date"))</f>
        <v/>
      </c>
      <c r="K465" s="21" t="n"/>
      <c r="L465" s="21" t="n"/>
      <c r="M465" s="21" t="n"/>
      <c r="N465" s="21" t="n"/>
      <c r="O465" s="21" t="n"/>
      <c r="P465" s="21" t="n"/>
    </row>
    <row r="466">
      <c r="A466" s="21" t="n"/>
      <c r="B466" s="21" t="n"/>
      <c r="C466" s="21" t="n"/>
      <c r="D466" s="21" t="n"/>
      <c r="E466" s="22" t="n"/>
      <c r="F466" s="22" t="n"/>
      <c r="G466" s="23" t="n"/>
      <c r="H466" s="24">
        <f>IF(ISNUMBER(F466),F466-IF(ISNUMBER(G466),G466,30),"")</f>
        <v/>
      </c>
      <c r="I466" s="25">
        <f>IF(F466="","",IF(ISNUMBER(F466),F466-TODAY(),"Check date"))</f>
        <v/>
      </c>
      <c r="J466" s="26">
        <f>IF(I466="","",IF(ISNUMBER(I466),IF(I466&lt;0,"Expired",IF(I466&lt;=30,"Due ≤30 days",IF(I466&lt;=90,"Due ≤90 days","OK"))),"Check date"))</f>
        <v/>
      </c>
      <c r="K466" s="21" t="n"/>
      <c r="L466" s="21" t="n"/>
      <c r="M466" s="21" t="n"/>
      <c r="N466" s="21" t="n"/>
      <c r="O466" s="21" t="n"/>
      <c r="P466" s="21" t="n"/>
    </row>
    <row r="467">
      <c r="A467" s="21" t="n"/>
      <c r="B467" s="21" t="n"/>
      <c r="C467" s="21" t="n"/>
      <c r="D467" s="21" t="n"/>
      <c r="E467" s="22" t="n"/>
      <c r="F467" s="22" t="n"/>
      <c r="G467" s="23" t="n"/>
      <c r="H467" s="24">
        <f>IF(ISNUMBER(F467),F467-IF(ISNUMBER(G467),G467,30),"")</f>
        <v/>
      </c>
      <c r="I467" s="25">
        <f>IF(F467="","",IF(ISNUMBER(F467),F467-TODAY(),"Check date"))</f>
        <v/>
      </c>
      <c r="J467" s="26">
        <f>IF(I467="","",IF(ISNUMBER(I467),IF(I467&lt;0,"Expired",IF(I467&lt;=30,"Due ≤30 days",IF(I467&lt;=90,"Due ≤90 days","OK"))),"Check date"))</f>
        <v/>
      </c>
      <c r="K467" s="21" t="n"/>
      <c r="L467" s="21" t="n"/>
      <c r="M467" s="21" t="n"/>
      <c r="N467" s="21" t="n"/>
      <c r="O467" s="21" t="n"/>
      <c r="P467" s="21" t="n"/>
    </row>
    <row r="468">
      <c r="A468" s="21" t="n"/>
      <c r="B468" s="21" t="n"/>
      <c r="C468" s="21" t="n"/>
      <c r="D468" s="21" t="n"/>
      <c r="E468" s="22" t="n"/>
      <c r="F468" s="22" t="n"/>
      <c r="G468" s="23" t="n"/>
      <c r="H468" s="24">
        <f>IF(ISNUMBER(F468),F468-IF(ISNUMBER(G468),G468,30),"")</f>
        <v/>
      </c>
      <c r="I468" s="25">
        <f>IF(F468="","",IF(ISNUMBER(F468),F468-TODAY(),"Check date"))</f>
        <v/>
      </c>
      <c r="J468" s="26">
        <f>IF(I468="","",IF(ISNUMBER(I468),IF(I468&lt;0,"Expired",IF(I468&lt;=30,"Due ≤30 days",IF(I468&lt;=90,"Due ≤90 days","OK"))),"Check date"))</f>
        <v/>
      </c>
      <c r="K468" s="21" t="n"/>
      <c r="L468" s="21" t="n"/>
      <c r="M468" s="21" t="n"/>
      <c r="N468" s="21" t="n"/>
      <c r="O468" s="21" t="n"/>
      <c r="P468" s="21" t="n"/>
    </row>
    <row r="469">
      <c r="A469" s="21" t="n"/>
      <c r="B469" s="21" t="n"/>
      <c r="C469" s="21" t="n"/>
      <c r="D469" s="21" t="n"/>
      <c r="E469" s="22" t="n"/>
      <c r="F469" s="22" t="n"/>
      <c r="G469" s="23" t="n"/>
      <c r="H469" s="24">
        <f>IF(ISNUMBER(F469),F469-IF(ISNUMBER(G469),G469,30),"")</f>
        <v/>
      </c>
      <c r="I469" s="25">
        <f>IF(F469="","",IF(ISNUMBER(F469),F469-TODAY(),"Check date"))</f>
        <v/>
      </c>
      <c r="J469" s="26">
        <f>IF(I469="","",IF(ISNUMBER(I469),IF(I469&lt;0,"Expired",IF(I469&lt;=30,"Due ≤30 days",IF(I469&lt;=90,"Due ≤90 days","OK"))),"Check date"))</f>
        <v/>
      </c>
      <c r="K469" s="21" t="n"/>
      <c r="L469" s="21" t="n"/>
      <c r="M469" s="21" t="n"/>
      <c r="N469" s="21" t="n"/>
      <c r="O469" s="21" t="n"/>
      <c r="P469" s="21" t="n"/>
    </row>
    <row r="470">
      <c r="A470" s="21" t="n"/>
      <c r="B470" s="21" t="n"/>
      <c r="C470" s="21" t="n"/>
      <c r="D470" s="21" t="n"/>
      <c r="E470" s="22" t="n"/>
      <c r="F470" s="22" t="n"/>
      <c r="G470" s="23" t="n"/>
      <c r="H470" s="24">
        <f>IF(ISNUMBER(F470),F470-IF(ISNUMBER(G470),G470,30),"")</f>
        <v/>
      </c>
      <c r="I470" s="25">
        <f>IF(F470="","",IF(ISNUMBER(F470),F470-TODAY(),"Check date"))</f>
        <v/>
      </c>
      <c r="J470" s="26">
        <f>IF(I470="","",IF(ISNUMBER(I470),IF(I470&lt;0,"Expired",IF(I470&lt;=30,"Due ≤30 days",IF(I470&lt;=90,"Due ≤90 days","OK"))),"Check date"))</f>
        <v/>
      </c>
      <c r="K470" s="21" t="n"/>
      <c r="L470" s="21" t="n"/>
      <c r="M470" s="21" t="n"/>
      <c r="N470" s="21" t="n"/>
      <c r="O470" s="21" t="n"/>
      <c r="P470" s="21" t="n"/>
    </row>
    <row r="471">
      <c r="A471" s="21" t="n"/>
      <c r="B471" s="21" t="n"/>
      <c r="C471" s="21" t="n"/>
      <c r="D471" s="21" t="n"/>
      <c r="E471" s="22" t="n"/>
      <c r="F471" s="22" t="n"/>
      <c r="G471" s="23" t="n"/>
      <c r="H471" s="24">
        <f>IF(ISNUMBER(F471),F471-IF(ISNUMBER(G471),G471,30),"")</f>
        <v/>
      </c>
      <c r="I471" s="25">
        <f>IF(F471="","",IF(ISNUMBER(F471),F471-TODAY(),"Check date"))</f>
        <v/>
      </c>
      <c r="J471" s="26">
        <f>IF(I471="","",IF(ISNUMBER(I471),IF(I471&lt;0,"Expired",IF(I471&lt;=30,"Due ≤30 days",IF(I471&lt;=90,"Due ≤90 days","OK"))),"Check date"))</f>
        <v/>
      </c>
      <c r="K471" s="21" t="n"/>
      <c r="L471" s="21" t="n"/>
      <c r="M471" s="21" t="n"/>
      <c r="N471" s="21" t="n"/>
      <c r="O471" s="21" t="n"/>
      <c r="P471" s="21" t="n"/>
    </row>
    <row r="472">
      <c r="A472" s="21" t="n"/>
      <c r="B472" s="21" t="n"/>
      <c r="C472" s="21" t="n"/>
      <c r="D472" s="21" t="n"/>
      <c r="E472" s="22" t="n"/>
      <c r="F472" s="22" t="n"/>
      <c r="G472" s="23" t="n"/>
      <c r="H472" s="24">
        <f>IF(ISNUMBER(F472),F472-IF(ISNUMBER(G472),G472,30),"")</f>
        <v/>
      </c>
      <c r="I472" s="25">
        <f>IF(F472="","",IF(ISNUMBER(F472),F472-TODAY(),"Check date"))</f>
        <v/>
      </c>
      <c r="J472" s="26">
        <f>IF(I472="","",IF(ISNUMBER(I472),IF(I472&lt;0,"Expired",IF(I472&lt;=30,"Due ≤30 days",IF(I472&lt;=90,"Due ≤90 days","OK"))),"Check date"))</f>
        <v/>
      </c>
      <c r="K472" s="21" t="n"/>
      <c r="L472" s="21" t="n"/>
      <c r="M472" s="21" t="n"/>
      <c r="N472" s="21" t="n"/>
      <c r="O472" s="21" t="n"/>
      <c r="P472" s="21" t="n"/>
    </row>
    <row r="473">
      <c r="A473" s="21" t="n"/>
      <c r="B473" s="21" t="n"/>
      <c r="C473" s="21" t="n"/>
      <c r="D473" s="21" t="n"/>
      <c r="E473" s="22" t="n"/>
      <c r="F473" s="22" t="n"/>
      <c r="G473" s="23" t="n"/>
      <c r="H473" s="24">
        <f>IF(ISNUMBER(F473),F473-IF(ISNUMBER(G473),G473,30),"")</f>
        <v/>
      </c>
      <c r="I473" s="25">
        <f>IF(F473="","",IF(ISNUMBER(F473),F473-TODAY(),"Check date"))</f>
        <v/>
      </c>
      <c r="J473" s="26">
        <f>IF(I473="","",IF(ISNUMBER(I473),IF(I473&lt;0,"Expired",IF(I473&lt;=30,"Due ≤30 days",IF(I473&lt;=90,"Due ≤90 days","OK"))),"Check date"))</f>
        <v/>
      </c>
      <c r="K473" s="21" t="n"/>
      <c r="L473" s="21" t="n"/>
      <c r="M473" s="21" t="n"/>
      <c r="N473" s="21" t="n"/>
      <c r="O473" s="21" t="n"/>
      <c r="P473" s="21" t="n"/>
    </row>
    <row r="474">
      <c r="A474" s="21" t="n"/>
      <c r="B474" s="21" t="n"/>
      <c r="C474" s="21" t="n"/>
      <c r="D474" s="21" t="n"/>
      <c r="E474" s="22" t="n"/>
      <c r="F474" s="22" t="n"/>
      <c r="G474" s="23" t="n"/>
      <c r="H474" s="24">
        <f>IF(ISNUMBER(F474),F474-IF(ISNUMBER(G474),G474,30),"")</f>
        <v/>
      </c>
      <c r="I474" s="25">
        <f>IF(F474="","",IF(ISNUMBER(F474),F474-TODAY(),"Check date"))</f>
        <v/>
      </c>
      <c r="J474" s="26">
        <f>IF(I474="","",IF(ISNUMBER(I474),IF(I474&lt;0,"Expired",IF(I474&lt;=30,"Due ≤30 days",IF(I474&lt;=90,"Due ≤90 days","OK"))),"Check date"))</f>
        <v/>
      </c>
      <c r="K474" s="21" t="n"/>
      <c r="L474" s="21" t="n"/>
      <c r="M474" s="21" t="n"/>
      <c r="N474" s="21" t="n"/>
      <c r="O474" s="21" t="n"/>
      <c r="P474" s="21" t="n"/>
    </row>
    <row r="475">
      <c r="A475" s="21" t="n"/>
      <c r="B475" s="21" t="n"/>
      <c r="C475" s="21" t="n"/>
      <c r="D475" s="21" t="n"/>
      <c r="E475" s="22" t="n"/>
      <c r="F475" s="22" t="n"/>
      <c r="G475" s="23" t="n"/>
      <c r="H475" s="24">
        <f>IF(ISNUMBER(F475),F475-IF(ISNUMBER(G475),G475,30),"")</f>
        <v/>
      </c>
      <c r="I475" s="25">
        <f>IF(F475="","",IF(ISNUMBER(F475),F475-TODAY(),"Check date"))</f>
        <v/>
      </c>
      <c r="J475" s="26">
        <f>IF(I475="","",IF(ISNUMBER(I475),IF(I475&lt;0,"Expired",IF(I475&lt;=30,"Due ≤30 days",IF(I475&lt;=90,"Due ≤90 days","OK"))),"Check date"))</f>
        <v/>
      </c>
      <c r="K475" s="21" t="n"/>
      <c r="L475" s="21" t="n"/>
      <c r="M475" s="21" t="n"/>
      <c r="N475" s="21" t="n"/>
      <c r="O475" s="21" t="n"/>
      <c r="P475" s="21" t="n"/>
    </row>
    <row r="476">
      <c r="A476" s="21" t="n"/>
      <c r="B476" s="21" t="n"/>
      <c r="C476" s="21" t="n"/>
      <c r="D476" s="21" t="n"/>
      <c r="E476" s="22" t="n"/>
      <c r="F476" s="22" t="n"/>
      <c r="G476" s="23" t="n"/>
      <c r="H476" s="24">
        <f>IF(ISNUMBER(F476),F476-IF(ISNUMBER(G476),G476,30),"")</f>
        <v/>
      </c>
      <c r="I476" s="25">
        <f>IF(F476="","",IF(ISNUMBER(F476),F476-TODAY(),"Check date"))</f>
        <v/>
      </c>
      <c r="J476" s="26">
        <f>IF(I476="","",IF(ISNUMBER(I476),IF(I476&lt;0,"Expired",IF(I476&lt;=30,"Due ≤30 days",IF(I476&lt;=90,"Due ≤90 days","OK"))),"Check date"))</f>
        <v/>
      </c>
      <c r="K476" s="21" t="n"/>
      <c r="L476" s="21" t="n"/>
      <c r="M476" s="21" t="n"/>
      <c r="N476" s="21" t="n"/>
      <c r="O476" s="21" t="n"/>
      <c r="P476" s="21" t="n"/>
    </row>
    <row r="477">
      <c r="A477" s="21" t="n"/>
      <c r="B477" s="21" t="n"/>
      <c r="C477" s="21" t="n"/>
      <c r="D477" s="21" t="n"/>
      <c r="E477" s="22" t="n"/>
      <c r="F477" s="22" t="n"/>
      <c r="G477" s="23" t="n"/>
      <c r="H477" s="24">
        <f>IF(ISNUMBER(F477),F477-IF(ISNUMBER(G477),G477,30),"")</f>
        <v/>
      </c>
      <c r="I477" s="25">
        <f>IF(F477="","",IF(ISNUMBER(F477),F477-TODAY(),"Check date"))</f>
        <v/>
      </c>
      <c r="J477" s="26">
        <f>IF(I477="","",IF(ISNUMBER(I477),IF(I477&lt;0,"Expired",IF(I477&lt;=30,"Due ≤30 days",IF(I477&lt;=90,"Due ≤90 days","OK"))),"Check date"))</f>
        <v/>
      </c>
      <c r="K477" s="21" t="n"/>
      <c r="L477" s="21" t="n"/>
      <c r="M477" s="21" t="n"/>
      <c r="N477" s="21" t="n"/>
      <c r="O477" s="21" t="n"/>
      <c r="P477" s="21" t="n"/>
    </row>
    <row r="478">
      <c r="A478" s="21" t="n"/>
      <c r="B478" s="21" t="n"/>
      <c r="C478" s="21" t="n"/>
      <c r="D478" s="21" t="n"/>
      <c r="E478" s="22" t="n"/>
      <c r="F478" s="22" t="n"/>
      <c r="G478" s="23" t="n"/>
      <c r="H478" s="24">
        <f>IF(ISNUMBER(F478),F478-IF(ISNUMBER(G478),G478,30),"")</f>
        <v/>
      </c>
      <c r="I478" s="25">
        <f>IF(F478="","",IF(ISNUMBER(F478),F478-TODAY(),"Check date"))</f>
        <v/>
      </c>
      <c r="J478" s="26">
        <f>IF(I478="","",IF(ISNUMBER(I478),IF(I478&lt;0,"Expired",IF(I478&lt;=30,"Due ≤30 days",IF(I478&lt;=90,"Due ≤90 days","OK"))),"Check date"))</f>
        <v/>
      </c>
      <c r="K478" s="21" t="n"/>
      <c r="L478" s="21" t="n"/>
      <c r="M478" s="21" t="n"/>
      <c r="N478" s="21" t="n"/>
      <c r="O478" s="21" t="n"/>
      <c r="P478" s="21" t="n"/>
    </row>
    <row r="479">
      <c r="A479" s="21" t="n"/>
      <c r="B479" s="21" t="n"/>
      <c r="C479" s="21" t="n"/>
      <c r="D479" s="21" t="n"/>
      <c r="E479" s="22" t="n"/>
      <c r="F479" s="22" t="n"/>
      <c r="G479" s="23" t="n"/>
      <c r="H479" s="24">
        <f>IF(ISNUMBER(F479),F479-IF(ISNUMBER(G479),G479,30),"")</f>
        <v/>
      </c>
      <c r="I479" s="25">
        <f>IF(F479="","",IF(ISNUMBER(F479),F479-TODAY(),"Check date"))</f>
        <v/>
      </c>
      <c r="J479" s="26">
        <f>IF(I479="","",IF(ISNUMBER(I479),IF(I479&lt;0,"Expired",IF(I479&lt;=30,"Due ≤30 days",IF(I479&lt;=90,"Due ≤90 days","OK"))),"Check date"))</f>
        <v/>
      </c>
      <c r="K479" s="21" t="n"/>
      <c r="L479" s="21" t="n"/>
      <c r="M479" s="21" t="n"/>
      <c r="N479" s="21" t="n"/>
      <c r="O479" s="21" t="n"/>
      <c r="P479" s="21" t="n"/>
    </row>
    <row r="480">
      <c r="A480" s="21" t="n"/>
      <c r="B480" s="21" t="n"/>
      <c r="C480" s="21" t="n"/>
      <c r="D480" s="21" t="n"/>
      <c r="E480" s="22" t="n"/>
      <c r="F480" s="22" t="n"/>
      <c r="G480" s="23" t="n"/>
      <c r="H480" s="24">
        <f>IF(ISNUMBER(F480),F480-IF(ISNUMBER(G480),G480,30),"")</f>
        <v/>
      </c>
      <c r="I480" s="25">
        <f>IF(F480="","",IF(ISNUMBER(F480),F480-TODAY(),"Check date"))</f>
        <v/>
      </c>
      <c r="J480" s="26">
        <f>IF(I480="","",IF(ISNUMBER(I480),IF(I480&lt;0,"Expired",IF(I480&lt;=30,"Due ≤30 days",IF(I480&lt;=90,"Due ≤90 days","OK"))),"Check date"))</f>
        <v/>
      </c>
      <c r="K480" s="21" t="n"/>
      <c r="L480" s="21" t="n"/>
      <c r="M480" s="21" t="n"/>
      <c r="N480" s="21" t="n"/>
      <c r="O480" s="21" t="n"/>
      <c r="P480" s="21" t="n"/>
    </row>
    <row r="481">
      <c r="A481" s="21" t="n"/>
      <c r="B481" s="21" t="n"/>
      <c r="C481" s="21" t="n"/>
      <c r="D481" s="21" t="n"/>
      <c r="E481" s="22" t="n"/>
      <c r="F481" s="22" t="n"/>
      <c r="G481" s="23" t="n"/>
      <c r="H481" s="24">
        <f>IF(ISNUMBER(F481),F481-IF(ISNUMBER(G481),G481,30),"")</f>
        <v/>
      </c>
      <c r="I481" s="25">
        <f>IF(F481="","",IF(ISNUMBER(F481),F481-TODAY(),"Check date"))</f>
        <v/>
      </c>
      <c r="J481" s="26">
        <f>IF(I481="","",IF(ISNUMBER(I481),IF(I481&lt;0,"Expired",IF(I481&lt;=30,"Due ≤30 days",IF(I481&lt;=90,"Due ≤90 days","OK"))),"Check date"))</f>
        <v/>
      </c>
      <c r="K481" s="21" t="n"/>
      <c r="L481" s="21" t="n"/>
      <c r="M481" s="21" t="n"/>
      <c r="N481" s="21" t="n"/>
      <c r="O481" s="21" t="n"/>
      <c r="P481" s="21" t="n"/>
    </row>
    <row r="482">
      <c r="A482" s="21" t="n"/>
      <c r="B482" s="21" t="n"/>
      <c r="C482" s="21" t="n"/>
      <c r="D482" s="21" t="n"/>
      <c r="E482" s="22" t="n"/>
      <c r="F482" s="22" t="n"/>
      <c r="G482" s="23" t="n"/>
      <c r="H482" s="24">
        <f>IF(ISNUMBER(F482),F482-IF(ISNUMBER(G482),G482,30),"")</f>
        <v/>
      </c>
      <c r="I482" s="25">
        <f>IF(F482="","",IF(ISNUMBER(F482),F482-TODAY(),"Check date"))</f>
        <v/>
      </c>
      <c r="J482" s="26">
        <f>IF(I482="","",IF(ISNUMBER(I482),IF(I482&lt;0,"Expired",IF(I482&lt;=30,"Due ≤30 days",IF(I482&lt;=90,"Due ≤90 days","OK"))),"Check date"))</f>
        <v/>
      </c>
      <c r="K482" s="21" t="n"/>
      <c r="L482" s="21" t="n"/>
      <c r="M482" s="21" t="n"/>
      <c r="N482" s="21" t="n"/>
      <c r="O482" s="21" t="n"/>
      <c r="P482" s="21" t="n"/>
    </row>
    <row r="483">
      <c r="A483" s="21" t="n"/>
      <c r="B483" s="21" t="n"/>
      <c r="C483" s="21" t="n"/>
      <c r="D483" s="21" t="n"/>
      <c r="E483" s="22" t="n"/>
      <c r="F483" s="22" t="n"/>
      <c r="G483" s="23" t="n"/>
      <c r="H483" s="24">
        <f>IF(ISNUMBER(F483),F483-IF(ISNUMBER(G483),G483,30),"")</f>
        <v/>
      </c>
      <c r="I483" s="25">
        <f>IF(F483="","",IF(ISNUMBER(F483),F483-TODAY(),"Check date"))</f>
        <v/>
      </c>
      <c r="J483" s="26">
        <f>IF(I483="","",IF(ISNUMBER(I483),IF(I483&lt;0,"Expired",IF(I483&lt;=30,"Due ≤30 days",IF(I483&lt;=90,"Due ≤90 days","OK"))),"Check date"))</f>
        <v/>
      </c>
      <c r="K483" s="21" t="n"/>
      <c r="L483" s="21" t="n"/>
      <c r="M483" s="21" t="n"/>
      <c r="N483" s="21" t="n"/>
      <c r="O483" s="21" t="n"/>
      <c r="P483" s="21" t="n"/>
    </row>
    <row r="484">
      <c r="A484" s="21" t="n"/>
      <c r="B484" s="21" t="n"/>
      <c r="C484" s="21" t="n"/>
      <c r="D484" s="21" t="n"/>
      <c r="E484" s="22" t="n"/>
      <c r="F484" s="22" t="n"/>
      <c r="G484" s="23" t="n"/>
      <c r="H484" s="24">
        <f>IF(ISNUMBER(F484),F484-IF(ISNUMBER(G484),G484,30),"")</f>
        <v/>
      </c>
      <c r="I484" s="25">
        <f>IF(F484="","",IF(ISNUMBER(F484),F484-TODAY(),"Check date"))</f>
        <v/>
      </c>
      <c r="J484" s="26">
        <f>IF(I484="","",IF(ISNUMBER(I484),IF(I484&lt;0,"Expired",IF(I484&lt;=30,"Due ≤30 days",IF(I484&lt;=90,"Due ≤90 days","OK"))),"Check date"))</f>
        <v/>
      </c>
      <c r="K484" s="21" t="n"/>
      <c r="L484" s="21" t="n"/>
      <c r="M484" s="21" t="n"/>
      <c r="N484" s="21" t="n"/>
      <c r="O484" s="21" t="n"/>
      <c r="P484" s="21" t="n"/>
    </row>
    <row r="485">
      <c r="A485" s="21" t="n"/>
      <c r="B485" s="21" t="n"/>
      <c r="C485" s="21" t="n"/>
      <c r="D485" s="21" t="n"/>
      <c r="E485" s="22" t="n"/>
      <c r="F485" s="22" t="n"/>
      <c r="G485" s="23" t="n"/>
      <c r="H485" s="24">
        <f>IF(ISNUMBER(F485),F485-IF(ISNUMBER(G485),G485,30),"")</f>
        <v/>
      </c>
      <c r="I485" s="25">
        <f>IF(F485="","",IF(ISNUMBER(F485),F485-TODAY(),"Check date"))</f>
        <v/>
      </c>
      <c r="J485" s="26">
        <f>IF(I485="","",IF(ISNUMBER(I485),IF(I485&lt;0,"Expired",IF(I485&lt;=30,"Due ≤30 days",IF(I485&lt;=90,"Due ≤90 days","OK"))),"Check date"))</f>
        <v/>
      </c>
      <c r="K485" s="21" t="n"/>
      <c r="L485" s="21" t="n"/>
      <c r="M485" s="21" t="n"/>
      <c r="N485" s="21" t="n"/>
      <c r="O485" s="21" t="n"/>
      <c r="P485" s="21" t="n"/>
    </row>
    <row r="486">
      <c r="A486" s="21" t="n"/>
      <c r="B486" s="21" t="n"/>
      <c r="C486" s="21" t="n"/>
      <c r="D486" s="21" t="n"/>
      <c r="E486" s="22" t="n"/>
      <c r="F486" s="22" t="n"/>
      <c r="G486" s="23" t="n"/>
      <c r="H486" s="24">
        <f>IF(ISNUMBER(F486),F486-IF(ISNUMBER(G486),G486,30),"")</f>
        <v/>
      </c>
      <c r="I486" s="25">
        <f>IF(F486="","",IF(ISNUMBER(F486),F486-TODAY(),"Check date"))</f>
        <v/>
      </c>
      <c r="J486" s="26">
        <f>IF(I486="","",IF(ISNUMBER(I486),IF(I486&lt;0,"Expired",IF(I486&lt;=30,"Due ≤30 days",IF(I486&lt;=90,"Due ≤90 days","OK"))),"Check date"))</f>
        <v/>
      </c>
      <c r="K486" s="21" t="n"/>
      <c r="L486" s="21" t="n"/>
      <c r="M486" s="21" t="n"/>
      <c r="N486" s="21" t="n"/>
      <c r="O486" s="21" t="n"/>
      <c r="P486" s="21" t="n"/>
    </row>
    <row r="487">
      <c r="A487" s="21" t="n"/>
      <c r="B487" s="21" t="n"/>
      <c r="C487" s="21" t="n"/>
      <c r="D487" s="21" t="n"/>
      <c r="E487" s="22" t="n"/>
      <c r="F487" s="22" t="n"/>
      <c r="G487" s="23" t="n"/>
      <c r="H487" s="24">
        <f>IF(ISNUMBER(F487),F487-IF(ISNUMBER(G487),G487,30),"")</f>
        <v/>
      </c>
      <c r="I487" s="25">
        <f>IF(F487="","",IF(ISNUMBER(F487),F487-TODAY(),"Check date"))</f>
        <v/>
      </c>
      <c r="J487" s="26">
        <f>IF(I487="","",IF(ISNUMBER(I487),IF(I487&lt;0,"Expired",IF(I487&lt;=30,"Due ≤30 days",IF(I487&lt;=90,"Due ≤90 days","OK"))),"Check date"))</f>
        <v/>
      </c>
      <c r="K487" s="21" t="n"/>
      <c r="L487" s="21" t="n"/>
      <c r="M487" s="21" t="n"/>
      <c r="N487" s="21" t="n"/>
      <c r="O487" s="21" t="n"/>
      <c r="P487" s="21" t="n"/>
    </row>
    <row r="488">
      <c r="A488" s="21" t="n"/>
      <c r="B488" s="21" t="n"/>
      <c r="C488" s="21" t="n"/>
      <c r="D488" s="21" t="n"/>
      <c r="E488" s="22" t="n"/>
      <c r="F488" s="22" t="n"/>
      <c r="G488" s="23" t="n"/>
      <c r="H488" s="24">
        <f>IF(ISNUMBER(F488),F488-IF(ISNUMBER(G488),G488,30),"")</f>
        <v/>
      </c>
      <c r="I488" s="25">
        <f>IF(F488="","",IF(ISNUMBER(F488),F488-TODAY(),"Check date"))</f>
        <v/>
      </c>
      <c r="J488" s="26">
        <f>IF(I488="","",IF(ISNUMBER(I488),IF(I488&lt;0,"Expired",IF(I488&lt;=30,"Due ≤30 days",IF(I488&lt;=90,"Due ≤90 days","OK"))),"Check date"))</f>
        <v/>
      </c>
      <c r="K488" s="21" t="n"/>
      <c r="L488" s="21" t="n"/>
      <c r="M488" s="21" t="n"/>
      <c r="N488" s="21" t="n"/>
      <c r="O488" s="21" t="n"/>
      <c r="P488" s="21" t="n"/>
    </row>
    <row r="489">
      <c r="A489" s="21" t="n"/>
      <c r="B489" s="21" t="n"/>
      <c r="C489" s="21" t="n"/>
      <c r="D489" s="21" t="n"/>
      <c r="E489" s="22" t="n"/>
      <c r="F489" s="22" t="n"/>
      <c r="G489" s="23" t="n"/>
      <c r="H489" s="24">
        <f>IF(ISNUMBER(F489),F489-IF(ISNUMBER(G489),G489,30),"")</f>
        <v/>
      </c>
      <c r="I489" s="25">
        <f>IF(F489="","",IF(ISNUMBER(F489),F489-TODAY(),"Check date"))</f>
        <v/>
      </c>
      <c r="J489" s="26">
        <f>IF(I489="","",IF(ISNUMBER(I489),IF(I489&lt;0,"Expired",IF(I489&lt;=30,"Due ≤30 days",IF(I489&lt;=90,"Due ≤90 days","OK"))),"Check date"))</f>
        <v/>
      </c>
      <c r="K489" s="21" t="n"/>
      <c r="L489" s="21" t="n"/>
      <c r="M489" s="21" t="n"/>
      <c r="N489" s="21" t="n"/>
      <c r="O489" s="21" t="n"/>
      <c r="P489" s="21" t="n"/>
    </row>
    <row r="490">
      <c r="A490" s="21" t="n"/>
      <c r="B490" s="21" t="n"/>
      <c r="C490" s="21" t="n"/>
      <c r="D490" s="21" t="n"/>
      <c r="E490" s="22" t="n"/>
      <c r="F490" s="22" t="n"/>
      <c r="G490" s="23" t="n"/>
      <c r="H490" s="24">
        <f>IF(ISNUMBER(F490),F490-IF(ISNUMBER(G490),G490,30),"")</f>
        <v/>
      </c>
      <c r="I490" s="25">
        <f>IF(F490="","",IF(ISNUMBER(F490),F490-TODAY(),"Check date"))</f>
        <v/>
      </c>
      <c r="J490" s="26">
        <f>IF(I490="","",IF(ISNUMBER(I490),IF(I490&lt;0,"Expired",IF(I490&lt;=30,"Due ≤30 days",IF(I490&lt;=90,"Due ≤90 days","OK"))),"Check date"))</f>
        <v/>
      </c>
      <c r="K490" s="21" t="n"/>
      <c r="L490" s="21" t="n"/>
      <c r="M490" s="21" t="n"/>
      <c r="N490" s="21" t="n"/>
      <c r="O490" s="21" t="n"/>
      <c r="P490" s="21" t="n"/>
    </row>
    <row r="491">
      <c r="A491" s="21" t="n"/>
      <c r="B491" s="21" t="n"/>
      <c r="C491" s="21" t="n"/>
      <c r="D491" s="21" t="n"/>
      <c r="E491" s="22" t="n"/>
      <c r="F491" s="22" t="n"/>
      <c r="G491" s="23" t="n"/>
      <c r="H491" s="24">
        <f>IF(ISNUMBER(F491),F491-IF(ISNUMBER(G491),G491,30),"")</f>
        <v/>
      </c>
      <c r="I491" s="25">
        <f>IF(F491="","",IF(ISNUMBER(F491),F491-TODAY(),"Check date"))</f>
        <v/>
      </c>
      <c r="J491" s="26">
        <f>IF(I491="","",IF(ISNUMBER(I491),IF(I491&lt;0,"Expired",IF(I491&lt;=30,"Due ≤30 days",IF(I491&lt;=90,"Due ≤90 days","OK"))),"Check date"))</f>
        <v/>
      </c>
      <c r="K491" s="21" t="n"/>
      <c r="L491" s="21" t="n"/>
      <c r="M491" s="21" t="n"/>
      <c r="N491" s="21" t="n"/>
      <c r="O491" s="21" t="n"/>
      <c r="P491" s="21" t="n"/>
    </row>
    <row r="492">
      <c r="A492" s="21" t="n"/>
      <c r="B492" s="21" t="n"/>
      <c r="C492" s="21" t="n"/>
      <c r="D492" s="21" t="n"/>
      <c r="E492" s="22" t="n"/>
      <c r="F492" s="22" t="n"/>
      <c r="G492" s="23" t="n"/>
      <c r="H492" s="24">
        <f>IF(ISNUMBER(F492),F492-IF(ISNUMBER(G492),G492,30),"")</f>
        <v/>
      </c>
      <c r="I492" s="25">
        <f>IF(F492="","",IF(ISNUMBER(F492),F492-TODAY(),"Check date"))</f>
        <v/>
      </c>
      <c r="J492" s="26">
        <f>IF(I492="","",IF(ISNUMBER(I492),IF(I492&lt;0,"Expired",IF(I492&lt;=30,"Due ≤30 days",IF(I492&lt;=90,"Due ≤90 days","OK"))),"Check date"))</f>
        <v/>
      </c>
      <c r="K492" s="21" t="n"/>
      <c r="L492" s="21" t="n"/>
      <c r="M492" s="21" t="n"/>
      <c r="N492" s="21" t="n"/>
      <c r="O492" s="21" t="n"/>
      <c r="P492" s="21" t="n"/>
    </row>
    <row r="493">
      <c r="A493" s="21" t="n"/>
      <c r="B493" s="21" t="n"/>
      <c r="C493" s="21" t="n"/>
      <c r="D493" s="21" t="n"/>
      <c r="E493" s="22" t="n"/>
      <c r="F493" s="22" t="n"/>
      <c r="G493" s="23" t="n"/>
      <c r="H493" s="24">
        <f>IF(ISNUMBER(F493),F493-IF(ISNUMBER(G493),G493,30),"")</f>
        <v/>
      </c>
      <c r="I493" s="25">
        <f>IF(F493="","",IF(ISNUMBER(F493),F493-TODAY(),"Check date"))</f>
        <v/>
      </c>
      <c r="J493" s="26">
        <f>IF(I493="","",IF(ISNUMBER(I493),IF(I493&lt;0,"Expired",IF(I493&lt;=30,"Due ≤30 days",IF(I493&lt;=90,"Due ≤90 days","OK"))),"Check date"))</f>
        <v/>
      </c>
      <c r="K493" s="21" t="n"/>
      <c r="L493" s="21" t="n"/>
      <c r="M493" s="21" t="n"/>
      <c r="N493" s="21" t="n"/>
      <c r="O493" s="21" t="n"/>
      <c r="P493" s="21" t="n"/>
    </row>
    <row r="494">
      <c r="A494" s="21" t="n"/>
      <c r="B494" s="21" t="n"/>
      <c r="C494" s="21" t="n"/>
      <c r="D494" s="21" t="n"/>
      <c r="E494" s="22" t="n"/>
      <c r="F494" s="22" t="n"/>
      <c r="G494" s="23" t="n"/>
      <c r="H494" s="24">
        <f>IF(ISNUMBER(F494),F494-IF(ISNUMBER(G494),G494,30),"")</f>
        <v/>
      </c>
      <c r="I494" s="25">
        <f>IF(F494="","",IF(ISNUMBER(F494),F494-TODAY(),"Check date"))</f>
        <v/>
      </c>
      <c r="J494" s="26">
        <f>IF(I494="","",IF(ISNUMBER(I494),IF(I494&lt;0,"Expired",IF(I494&lt;=30,"Due ≤30 days",IF(I494&lt;=90,"Due ≤90 days","OK"))),"Check date"))</f>
        <v/>
      </c>
      <c r="K494" s="21" t="n"/>
      <c r="L494" s="21" t="n"/>
      <c r="M494" s="21" t="n"/>
      <c r="N494" s="21" t="n"/>
      <c r="O494" s="21" t="n"/>
      <c r="P494" s="21" t="n"/>
    </row>
    <row r="495">
      <c r="A495" s="21" t="n"/>
      <c r="B495" s="21" t="n"/>
      <c r="C495" s="21" t="n"/>
      <c r="D495" s="21" t="n"/>
      <c r="E495" s="22" t="n"/>
      <c r="F495" s="22" t="n"/>
      <c r="G495" s="23" t="n"/>
      <c r="H495" s="24">
        <f>IF(ISNUMBER(F495),F495-IF(ISNUMBER(G495),G495,30),"")</f>
        <v/>
      </c>
      <c r="I495" s="25">
        <f>IF(F495="","",IF(ISNUMBER(F495),F495-TODAY(),"Check date"))</f>
        <v/>
      </c>
      <c r="J495" s="26">
        <f>IF(I495="","",IF(ISNUMBER(I495),IF(I495&lt;0,"Expired",IF(I495&lt;=30,"Due ≤30 days",IF(I495&lt;=90,"Due ≤90 days","OK"))),"Check date"))</f>
        <v/>
      </c>
      <c r="K495" s="21" t="n"/>
      <c r="L495" s="21" t="n"/>
      <c r="M495" s="21" t="n"/>
      <c r="N495" s="21" t="n"/>
      <c r="O495" s="21" t="n"/>
      <c r="P495" s="21" t="n"/>
    </row>
    <row r="496">
      <c r="A496" s="21" t="n"/>
      <c r="B496" s="21" t="n"/>
      <c r="C496" s="21" t="n"/>
      <c r="D496" s="21" t="n"/>
      <c r="E496" s="22" t="n"/>
      <c r="F496" s="22" t="n"/>
      <c r="G496" s="23" t="n"/>
      <c r="H496" s="24">
        <f>IF(ISNUMBER(F496),F496-IF(ISNUMBER(G496),G496,30),"")</f>
        <v/>
      </c>
      <c r="I496" s="25">
        <f>IF(F496="","",IF(ISNUMBER(F496),F496-TODAY(),"Check date"))</f>
        <v/>
      </c>
      <c r="J496" s="26">
        <f>IF(I496="","",IF(ISNUMBER(I496),IF(I496&lt;0,"Expired",IF(I496&lt;=30,"Due ≤30 days",IF(I496&lt;=90,"Due ≤90 days","OK"))),"Check date"))</f>
        <v/>
      </c>
      <c r="K496" s="21" t="n"/>
      <c r="L496" s="21" t="n"/>
      <c r="M496" s="21" t="n"/>
      <c r="N496" s="21" t="n"/>
      <c r="O496" s="21" t="n"/>
      <c r="P496" s="21" t="n"/>
    </row>
    <row r="497">
      <c r="A497" s="21" t="n"/>
      <c r="B497" s="21" t="n"/>
      <c r="C497" s="21" t="n"/>
      <c r="D497" s="21" t="n"/>
      <c r="E497" s="22" t="n"/>
      <c r="F497" s="22" t="n"/>
      <c r="G497" s="23" t="n"/>
      <c r="H497" s="24">
        <f>IF(ISNUMBER(F497),F497-IF(ISNUMBER(G497),G497,30),"")</f>
        <v/>
      </c>
      <c r="I497" s="25">
        <f>IF(F497="","",IF(ISNUMBER(F497),F497-TODAY(),"Check date"))</f>
        <v/>
      </c>
      <c r="J497" s="26">
        <f>IF(I497="","",IF(ISNUMBER(I497),IF(I497&lt;0,"Expired",IF(I497&lt;=30,"Due ≤30 days",IF(I497&lt;=90,"Due ≤90 days","OK"))),"Check date"))</f>
        <v/>
      </c>
      <c r="K497" s="21" t="n"/>
      <c r="L497" s="21" t="n"/>
      <c r="M497" s="21" t="n"/>
      <c r="N497" s="21" t="n"/>
      <c r="O497" s="21" t="n"/>
      <c r="P497" s="21" t="n"/>
    </row>
    <row r="498">
      <c r="A498" s="21" t="n"/>
      <c r="B498" s="21" t="n"/>
      <c r="C498" s="21" t="n"/>
      <c r="D498" s="21" t="n"/>
      <c r="E498" s="22" t="n"/>
      <c r="F498" s="22" t="n"/>
      <c r="G498" s="23" t="n"/>
      <c r="H498" s="24">
        <f>IF(ISNUMBER(F498),F498-IF(ISNUMBER(G498),G498,30),"")</f>
        <v/>
      </c>
      <c r="I498" s="25">
        <f>IF(F498="","",IF(ISNUMBER(F498),F498-TODAY(),"Check date"))</f>
        <v/>
      </c>
      <c r="J498" s="26">
        <f>IF(I498="","",IF(ISNUMBER(I498),IF(I498&lt;0,"Expired",IF(I498&lt;=30,"Due ≤30 days",IF(I498&lt;=90,"Due ≤90 days","OK"))),"Check date"))</f>
        <v/>
      </c>
      <c r="K498" s="21" t="n"/>
      <c r="L498" s="21" t="n"/>
      <c r="M498" s="21" t="n"/>
      <c r="N498" s="21" t="n"/>
      <c r="O498" s="21" t="n"/>
      <c r="P498" s="21" t="n"/>
    </row>
    <row r="499">
      <c r="A499" s="21" t="n"/>
      <c r="B499" s="21" t="n"/>
      <c r="C499" s="21" t="n"/>
      <c r="D499" s="21" t="n"/>
      <c r="E499" s="22" t="n"/>
      <c r="F499" s="22" t="n"/>
      <c r="G499" s="23" t="n"/>
      <c r="H499" s="24">
        <f>IF(ISNUMBER(F499),F499-IF(ISNUMBER(G499),G499,30),"")</f>
        <v/>
      </c>
      <c r="I499" s="25">
        <f>IF(F499="","",IF(ISNUMBER(F499),F499-TODAY(),"Check date"))</f>
        <v/>
      </c>
      <c r="J499" s="26">
        <f>IF(I499="","",IF(ISNUMBER(I499),IF(I499&lt;0,"Expired",IF(I499&lt;=30,"Due ≤30 days",IF(I499&lt;=90,"Due ≤90 days","OK"))),"Check date"))</f>
        <v/>
      </c>
      <c r="K499" s="21" t="n"/>
      <c r="L499" s="21" t="n"/>
      <c r="M499" s="21" t="n"/>
      <c r="N499" s="21" t="n"/>
      <c r="O499" s="21" t="n"/>
      <c r="P499" s="21" t="n"/>
    </row>
    <row r="500">
      <c r="A500" s="21" t="n"/>
      <c r="B500" s="21" t="n"/>
      <c r="C500" s="21" t="n"/>
      <c r="D500" s="21" t="n"/>
      <c r="E500" s="22" t="n"/>
      <c r="F500" s="22" t="n"/>
      <c r="G500" s="23" t="n"/>
      <c r="H500" s="24">
        <f>IF(ISNUMBER(F500),F500-IF(ISNUMBER(G500),G500,30),"")</f>
        <v/>
      </c>
      <c r="I500" s="25">
        <f>IF(F500="","",IF(ISNUMBER(F500),F500-TODAY(),"Check date"))</f>
        <v/>
      </c>
      <c r="J500" s="26">
        <f>IF(I500="","",IF(ISNUMBER(I500),IF(I500&lt;0,"Expired",IF(I500&lt;=30,"Due ≤30 days",IF(I500&lt;=90,"Due ≤90 days","OK"))),"Check date"))</f>
        <v/>
      </c>
      <c r="K500" s="21" t="n"/>
      <c r="L500" s="21" t="n"/>
      <c r="M500" s="21" t="n"/>
      <c r="N500" s="21" t="n"/>
      <c r="O500" s="21" t="n"/>
      <c r="P500" s="21" t="n"/>
    </row>
    <row r="501">
      <c r="A501" s="21" t="n"/>
      <c r="B501" s="21" t="n"/>
      <c r="C501" s="21" t="n"/>
      <c r="D501" s="21" t="n"/>
      <c r="E501" s="22" t="n"/>
      <c r="F501" s="22" t="n"/>
      <c r="G501" s="23" t="n"/>
      <c r="H501" s="24">
        <f>IF(ISNUMBER(F501),F501-IF(ISNUMBER(G501),G501,30),"")</f>
        <v/>
      </c>
      <c r="I501" s="25">
        <f>IF(F501="","",IF(ISNUMBER(F501),F501-TODAY(),"Check date"))</f>
        <v/>
      </c>
      <c r="J501" s="26">
        <f>IF(I501="","",IF(ISNUMBER(I501),IF(I501&lt;0,"Expired",IF(I501&lt;=30,"Due ≤30 days",IF(I501&lt;=90,"Due ≤90 days","OK"))),"Check date"))</f>
        <v/>
      </c>
      <c r="K501" s="21" t="n"/>
      <c r="L501" s="21" t="n"/>
      <c r="M501" s="21" t="n"/>
      <c r="N501" s="21" t="n"/>
      <c r="O501" s="21" t="n"/>
      <c r="P501" s="21" t="n"/>
    </row>
    <row r="502">
      <c r="A502" s="21" t="n"/>
      <c r="B502" s="21" t="n"/>
      <c r="C502" s="21" t="n"/>
      <c r="D502" s="21" t="n"/>
      <c r="E502" s="22" t="n"/>
      <c r="F502" s="22" t="n"/>
      <c r="G502" s="23" t="n"/>
      <c r="H502" s="24">
        <f>IF(ISNUMBER(F502),F502-IF(ISNUMBER(G502),G502,30),"")</f>
        <v/>
      </c>
      <c r="I502" s="25">
        <f>IF(F502="","",IF(ISNUMBER(F502),F502-TODAY(),"Check date"))</f>
        <v/>
      </c>
      <c r="J502" s="26">
        <f>IF(I502="","",IF(ISNUMBER(I502),IF(I502&lt;0,"Expired",IF(I502&lt;=30,"Due ≤30 days",IF(I502&lt;=90,"Due ≤90 days","OK"))),"Check date"))</f>
        <v/>
      </c>
      <c r="K502" s="21" t="n"/>
      <c r="L502" s="21" t="n"/>
      <c r="M502" s="21" t="n"/>
      <c r="N502" s="21" t="n"/>
      <c r="O502" s="21" t="n"/>
      <c r="P502" s="21" t="n"/>
    </row>
    <row r="503">
      <c r="A503" s="21" t="n"/>
      <c r="B503" s="21" t="n"/>
      <c r="C503" s="21" t="n"/>
      <c r="D503" s="21" t="n"/>
      <c r="E503" s="22" t="n"/>
      <c r="F503" s="22" t="n"/>
      <c r="G503" s="23" t="n"/>
      <c r="H503" s="24">
        <f>IF(ISNUMBER(F503),F503-IF(ISNUMBER(G503),G503,30),"")</f>
        <v/>
      </c>
      <c r="I503" s="25">
        <f>IF(F503="","",IF(ISNUMBER(F503),F503-TODAY(),"Check date"))</f>
        <v/>
      </c>
      <c r="J503" s="26">
        <f>IF(I503="","",IF(ISNUMBER(I503),IF(I503&lt;0,"Expired",IF(I503&lt;=30,"Due ≤30 days",IF(I503&lt;=90,"Due ≤90 days","OK"))),"Check date"))</f>
        <v/>
      </c>
      <c r="K503" s="21" t="n"/>
      <c r="L503" s="21" t="n"/>
      <c r="M503" s="21" t="n"/>
      <c r="N503" s="21" t="n"/>
      <c r="O503" s="21" t="n"/>
      <c r="P503" s="21" t="n"/>
    </row>
  </sheetData>
  <conditionalFormatting sqref="F4:F503 I4:I503 J4:J503">
    <cfRule type="expression" priority="1" dxfId="0" stopIfTrue="1">
      <formula>AND(ISNUMBER($I4),$I4&lt;0)</formula>
    </cfRule>
    <cfRule type="expression" priority="2" dxfId="1" stopIfTrue="1">
      <formula>AND(ISNUMBER($I4),$I4&lt;=30)</formula>
    </cfRule>
    <cfRule type="expression" priority="3" dxfId="2" stopIfTrue="1">
      <formula>AND(ISNUMBER($I4),$I4&lt;=90)</formula>
    </cfRule>
    <cfRule type="expression" priority="4" dxfId="3" stopIfTrue="1">
      <formula>ISNUMBER($I4)</formula>
    </cfRule>
  </conditionalFormatting>
  <conditionalFormatting sqref="A4:A503 B4:B503 C4:C503 D4:D503 E4:E503 F4:F503 G4:G503 K4:K503 L4:L503 M4:M503 N4:N503 O4:O503 P4:P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6">
    <dataValidation sqref="C4:C503" showDropDown="0" showInputMessage="0" showErrorMessage="1" allowBlank="1" errorTitle="Document" error="That is not on the list. Keep it anyway, or add it to the Lists sheet." type="list" errorStyle="warning">
      <formula1>=Lists!$A$2:$A$13</formula1>
    </dataValidation>
    <dataValidation sqref="E4:E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F4:F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G4:G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K4:K503" showDropDown="0" showInputMessage="0" showErrorMessage="1" allowBlank="1" errorTitle="On file?" error="Pick one of: Yes, No, Requested." type="list" errorStyle="stop">
      <formula1>"Yes,No,Requested"</formula1>
    </dataValidation>
    <dataValidation sqref="N4:N503" showDropDown="0" showInputMessage="0" showErrorMessage="1" allowBlank="1" errorTitle="Priority" error="Pick one of: Low, Medium, High." type="list" errorStyle="stop">
      <formula1>"Low,Medium,High"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7" t="inlineStr">
        <is>
          <t>Dashboard</t>
        </is>
      </c>
    </row>
    <row r="2">
      <c r="B2" s="3" t="inlineStr">
        <is>
          <t>As of</t>
        </is>
      </c>
      <c r="C2" s="28">
        <f>TODAY()</f>
        <v/>
      </c>
    </row>
    <row r="4">
      <c r="B4" s="29" t="inlineStr">
        <is>
          <t>Where things stand</t>
        </is>
      </c>
    </row>
    <row r="5">
      <c r="B5" s="30" t="n"/>
      <c r="C5" s="31" t="inlineStr">
        <is>
          <t>Status</t>
        </is>
      </c>
      <c r="D5" s="32" t="inlineStr">
        <is>
          <t>Documents</t>
        </is>
      </c>
    </row>
    <row r="6">
      <c r="C6" s="33" t="inlineStr">
        <is>
          <t>Expired</t>
        </is>
      </c>
      <c r="D6" s="34">
        <f>COUNTIF('Documents'!$J$4:$J$503,"Expired")</f>
        <v/>
      </c>
    </row>
    <row r="7">
      <c r="C7" s="35" t="inlineStr">
        <is>
          <t>Due ≤30 days</t>
        </is>
      </c>
      <c r="D7" s="34">
        <f>COUNTIF('Documents'!$J$4:$J$503,"Due ≤30 days")</f>
        <v/>
      </c>
    </row>
    <row r="8">
      <c r="C8" s="36" t="inlineStr">
        <is>
          <t>Due ≤90 days</t>
        </is>
      </c>
      <c r="D8" s="34">
        <f>COUNTIF('Documents'!$J$4:$J$503,"Due ≤90 days")</f>
        <v/>
      </c>
    </row>
    <row r="9">
      <c r="C9" s="37" t="inlineStr">
        <is>
          <t>OK</t>
        </is>
      </c>
      <c r="D9" s="34">
        <f>COUNTIF('Documents'!$J$4:$J$503,"OK")</f>
        <v/>
      </c>
    </row>
    <row r="10">
      <c r="C10" s="38" t="inlineStr">
        <is>
          <t>Date missing or not a date</t>
        </is>
      </c>
      <c r="D10" s="34">
        <f>SUMPRODUCT((LEN('Documents'!$A$4:$A$503)&gt;0)*(ISNUMBER('Documents'!$F$4:$F$503)=FALSE))</f>
        <v/>
      </c>
    </row>
    <row r="11">
      <c r="C11" s="38" t="inlineStr">
        <is>
          <t>Total rows</t>
        </is>
      </c>
      <c r="D11" s="34">
        <f>COUNTIF('Documents'!$A$4:$A$503,"?*")</f>
        <v/>
      </c>
    </row>
    <row r="12">
      <c r="C12" s="3" t="inlineStr">
        <is>
          <t>Status is calculated from the expiry date. Counts update every time the file recalculates.</t>
        </is>
      </c>
    </row>
    <row r="14">
      <c r="B14" s="29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Expiry date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39" t="n">
        <v>1</v>
      </c>
      <c r="C16" s="40">
        <f>IF(_calc!$D$4="","",INDEX('Documents'!$A$4:$A$503,_calc!$D$4)&amp;" – "&amp;INDEX('Documents'!$C$4:$C$503,_calc!$D$4))</f>
        <v/>
      </c>
      <c r="D16" s="41">
        <f>IF(_calc!$C$4="","",INT(_calc!$C$4))</f>
        <v/>
      </c>
      <c r="E16" s="42">
        <f>IF(_calc!$C$4="","",INT(_calc!$C$4)-TODAY())</f>
        <v/>
      </c>
      <c r="F16" s="38">
        <f>IF(E16="","",IF(E16&lt;0,"Expired",IF(E16&lt;=30,"Due ≤30 days",IF(E16&lt;=90,"Due ≤90 days","OK"))))</f>
        <v/>
      </c>
      <c r="G16" s="40">
        <f>IF(_calc!$D$4="","",IF(LEN(INDEX('Documents'!$M$4:$M$503,_calc!$D$4))=0,"",INDEX('Documents'!$M$4:$M$503,_calc!$D$4)))</f>
        <v/>
      </c>
    </row>
    <row r="17">
      <c r="B17" s="39" t="n">
        <v>2</v>
      </c>
      <c r="C17" s="40">
        <f>IF(_calc!$D$5="","",INDEX('Documents'!$A$4:$A$503,_calc!$D$5)&amp;" – "&amp;INDEX('Documents'!$C$4:$C$503,_calc!$D$5))</f>
        <v/>
      </c>
      <c r="D17" s="41">
        <f>IF(_calc!$C$5="","",INT(_calc!$C$5))</f>
        <v/>
      </c>
      <c r="E17" s="42">
        <f>IF(_calc!$C$5="","",INT(_calc!$C$5)-TODAY())</f>
        <v/>
      </c>
      <c r="F17" s="38">
        <f>IF(E17="","",IF(E17&lt;0,"Expired",IF(E17&lt;=30,"Due ≤30 days",IF(E17&lt;=90,"Due ≤90 days","OK"))))</f>
        <v/>
      </c>
      <c r="G17" s="40">
        <f>IF(_calc!$D$5="","",IF(LEN(INDEX('Documents'!$M$4:$M$503,_calc!$D$5))=0,"",INDEX('Documents'!$M$4:$M$503,_calc!$D$5)))</f>
        <v/>
      </c>
    </row>
    <row r="18">
      <c r="B18" s="39" t="n">
        <v>3</v>
      </c>
      <c r="C18" s="40">
        <f>IF(_calc!$D$6="","",INDEX('Documents'!$A$4:$A$503,_calc!$D$6)&amp;" – "&amp;INDEX('Documents'!$C$4:$C$503,_calc!$D$6))</f>
        <v/>
      </c>
      <c r="D18" s="41">
        <f>IF(_calc!$C$6="","",INT(_calc!$C$6))</f>
        <v/>
      </c>
      <c r="E18" s="42">
        <f>IF(_calc!$C$6="","",INT(_calc!$C$6)-TODAY())</f>
        <v/>
      </c>
      <c r="F18" s="38">
        <f>IF(E18="","",IF(E18&lt;0,"Expired",IF(E18&lt;=30,"Due ≤30 days",IF(E18&lt;=90,"Due ≤90 days","OK"))))</f>
        <v/>
      </c>
      <c r="G18" s="40">
        <f>IF(_calc!$D$6="","",IF(LEN(INDEX('Documents'!$M$4:$M$503,_calc!$D$6))=0,"",INDEX('Documents'!$M$4:$M$503,_calc!$D$6)))</f>
        <v/>
      </c>
    </row>
    <row r="19">
      <c r="B19" s="39" t="n">
        <v>4</v>
      </c>
      <c r="C19" s="40">
        <f>IF(_calc!$D$7="","",INDEX('Documents'!$A$4:$A$503,_calc!$D$7)&amp;" – "&amp;INDEX('Documents'!$C$4:$C$503,_calc!$D$7))</f>
        <v/>
      </c>
      <c r="D19" s="41">
        <f>IF(_calc!$C$7="","",INT(_calc!$C$7))</f>
        <v/>
      </c>
      <c r="E19" s="42">
        <f>IF(_calc!$C$7="","",INT(_calc!$C$7)-TODAY())</f>
        <v/>
      </c>
      <c r="F19" s="38">
        <f>IF(E19="","",IF(E19&lt;0,"Expired",IF(E19&lt;=30,"Due ≤30 days",IF(E19&lt;=90,"Due ≤90 days","OK"))))</f>
        <v/>
      </c>
      <c r="G19" s="40">
        <f>IF(_calc!$D$7="","",IF(LEN(INDEX('Documents'!$M$4:$M$503,_calc!$D$7))=0,"",INDEX('Documents'!$M$4:$M$503,_calc!$D$7)))</f>
        <v/>
      </c>
    </row>
    <row r="20">
      <c r="B20" s="39" t="n">
        <v>5</v>
      </c>
      <c r="C20" s="40">
        <f>IF(_calc!$D$8="","",INDEX('Documents'!$A$4:$A$503,_calc!$D$8)&amp;" – "&amp;INDEX('Documents'!$C$4:$C$503,_calc!$D$8))</f>
        <v/>
      </c>
      <c r="D20" s="41">
        <f>IF(_calc!$C$8="","",INT(_calc!$C$8))</f>
        <v/>
      </c>
      <c r="E20" s="42">
        <f>IF(_calc!$C$8="","",INT(_calc!$C$8)-TODAY())</f>
        <v/>
      </c>
      <c r="F20" s="38">
        <f>IF(E20="","",IF(E20&lt;0,"Expired",IF(E20&lt;=30,"Due ≤30 days",IF(E20&lt;=90,"Due ≤90 days","OK"))))</f>
        <v/>
      </c>
      <c r="G20" s="40">
        <f>IF(_calc!$D$8="","",IF(LEN(INDEX('Documents'!$M$4:$M$503,_calc!$D$8))=0,"",INDEX('Documents'!$M$4:$M$503,_calc!$D$8)))</f>
        <v/>
      </c>
    </row>
    <row r="21">
      <c r="B21" s="39" t="n">
        <v>6</v>
      </c>
      <c r="C21" s="40">
        <f>IF(_calc!$D$9="","",INDEX('Documents'!$A$4:$A$503,_calc!$D$9)&amp;" – "&amp;INDEX('Documents'!$C$4:$C$503,_calc!$D$9))</f>
        <v/>
      </c>
      <c r="D21" s="41">
        <f>IF(_calc!$C$9="","",INT(_calc!$C$9))</f>
        <v/>
      </c>
      <c r="E21" s="42">
        <f>IF(_calc!$C$9="","",INT(_calc!$C$9)-TODAY())</f>
        <v/>
      </c>
      <c r="F21" s="38">
        <f>IF(E21="","",IF(E21&lt;0,"Expired",IF(E21&lt;=30,"Due ≤30 days",IF(E21&lt;=90,"Due ≤90 days","OK"))))</f>
        <v/>
      </c>
      <c r="G21" s="40">
        <f>IF(_calc!$D$9="","",IF(LEN(INDEX('Documents'!$M$4:$M$503,_calc!$D$9))=0,"",INDEX('Documents'!$M$4:$M$503,_calc!$D$9)))</f>
        <v/>
      </c>
    </row>
    <row r="22">
      <c r="B22" s="39" t="n">
        <v>7</v>
      </c>
      <c r="C22" s="40">
        <f>IF(_calc!$D$10="","",INDEX('Documents'!$A$4:$A$503,_calc!$D$10)&amp;" – "&amp;INDEX('Documents'!$C$4:$C$503,_calc!$D$10))</f>
        <v/>
      </c>
      <c r="D22" s="41">
        <f>IF(_calc!$C$10="","",INT(_calc!$C$10))</f>
        <v/>
      </c>
      <c r="E22" s="42">
        <f>IF(_calc!$C$10="","",INT(_calc!$C$10)-TODAY())</f>
        <v/>
      </c>
      <c r="F22" s="38">
        <f>IF(E22="","",IF(E22&lt;0,"Expired",IF(E22&lt;=30,"Due ≤30 days",IF(E22&lt;=90,"Due ≤90 days","OK"))))</f>
        <v/>
      </c>
      <c r="G22" s="40">
        <f>IF(_calc!$D$10="","",IF(LEN(INDEX('Documents'!$M$4:$M$503,_calc!$D$10))=0,"",INDEX('Documents'!$M$4:$M$503,_calc!$D$10)))</f>
        <v/>
      </c>
    </row>
    <row r="23">
      <c r="B23" s="39" t="n">
        <v>8</v>
      </c>
      <c r="C23" s="40">
        <f>IF(_calc!$D$11="","",INDEX('Documents'!$A$4:$A$503,_calc!$D$11)&amp;" – "&amp;INDEX('Documents'!$C$4:$C$503,_calc!$D$11))</f>
        <v/>
      </c>
      <c r="D23" s="41">
        <f>IF(_calc!$C$11="","",INT(_calc!$C$11))</f>
        <v/>
      </c>
      <c r="E23" s="42">
        <f>IF(_calc!$C$11="","",INT(_calc!$C$11)-TODAY())</f>
        <v/>
      </c>
      <c r="F23" s="38">
        <f>IF(E23="","",IF(E23&lt;0,"Expired",IF(E23&lt;=30,"Due ≤30 days",IF(E23&lt;=90,"Due ≤90 days","OK"))))</f>
        <v/>
      </c>
      <c r="G23" s="40">
        <f>IF(_calc!$D$11="","",IF(LEN(INDEX('Documents'!$M$4:$M$503,_calc!$D$11))=0,"",INDEX('Documents'!$M$4:$M$503,_calc!$D$11)))</f>
        <v/>
      </c>
    </row>
    <row r="24">
      <c r="B24" s="39" t="n">
        <v>9</v>
      </c>
      <c r="C24" s="40">
        <f>IF(_calc!$D$12="","",INDEX('Documents'!$A$4:$A$503,_calc!$D$12)&amp;" – "&amp;INDEX('Documents'!$C$4:$C$503,_calc!$D$12))</f>
        <v/>
      </c>
      <c r="D24" s="41">
        <f>IF(_calc!$C$12="","",INT(_calc!$C$12))</f>
        <v/>
      </c>
      <c r="E24" s="42">
        <f>IF(_calc!$C$12="","",INT(_calc!$C$12)-TODAY())</f>
        <v/>
      </c>
      <c r="F24" s="38">
        <f>IF(E24="","",IF(E24&lt;0,"Expired",IF(E24&lt;=30,"Due ≤30 days",IF(E24&lt;=90,"Due ≤90 days","OK"))))</f>
        <v/>
      </c>
      <c r="G24" s="40">
        <f>IF(_calc!$D$12="","",IF(LEN(INDEX('Documents'!$M$4:$M$503,_calc!$D$12))=0,"",INDEX('Documents'!$M$4:$M$503,_calc!$D$12)))</f>
        <v/>
      </c>
    </row>
    <row r="25">
      <c r="B25" s="39" t="n">
        <v>10</v>
      </c>
      <c r="C25" s="40">
        <f>IF(_calc!$D$13="","",INDEX('Documents'!$A$4:$A$503,_calc!$D$13)&amp;" – "&amp;INDEX('Documents'!$C$4:$C$503,_calc!$D$13))</f>
        <v/>
      </c>
      <c r="D25" s="41">
        <f>IF(_calc!$C$13="","",INT(_calc!$C$13))</f>
        <v/>
      </c>
      <c r="E25" s="42">
        <f>IF(_calc!$C$13="","",INT(_calc!$C$13)-TODAY())</f>
        <v/>
      </c>
      <c r="F25" s="38">
        <f>IF(E25="","",IF(E25&lt;0,"Expired",IF(E25&lt;=30,"Due ≤30 days",IF(E25&lt;=90,"Due ≤90 days","OK"))))</f>
        <v/>
      </c>
      <c r="G25" s="40">
        <f>IF(_calc!$D$13="","",IF(LEN(INDEX('Documents'!$M$4:$M$503,_calc!$D$13))=0,"",INDEX('Documents'!$M$4:$M$503,_calc!$D$13)))</f>
        <v/>
      </c>
    </row>
    <row r="26">
      <c r="C26" s="3" t="inlineStr">
        <is>
          <t>Earliest dates first, including anything already expired.</t>
        </is>
      </c>
    </row>
    <row r="27">
      <c r="C2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3">
        <f>IF(_calc!$E$4="","",IF(LEN(INDEX('Documents'!$C$4:$C$503,_calc!$E$4))=0,"",INDEX('Documents'!$C$4:$C$503,_calc!$E$4))&amp;" – "&amp;IF(LEN(INDEX('Documents'!$A$4:$A$503,_calc!$E$4))=0,"",INDEX('Documents'!$A$4:$A$503,_calc!$E$4)))</f>
        <v/>
      </c>
      <c r="B2" s="43">
        <f>IF(_calc!$E$4="","",IF(ISNUMBER(INDEX('Documents'!$F$4:$F$503,_calc!$E$4)),TEXT(INDEX('Documents'!$F$4:$F$503,_calc!$E$4),"yyyy-mm-dd"),""))</f>
        <v/>
      </c>
      <c r="C2" s="43">
        <f>IF(_calc!$E$4="","","Contractor document")</f>
        <v/>
      </c>
      <c r="D2" s="43">
        <f>IF(_calc!$E$4="","",IF(ISNUMBER(INDEX('Documents'!$E$4:$E$503,_calc!$E$4)),TEXT(INDEX('Documents'!$E$4:$E$503,_calc!$E$4),"yyyy-mm-dd"),""))</f>
        <v/>
      </c>
      <c r="E2" s="43">
        <f>IF(_calc!$E$4="","",IF(LEN(INDEX('Documents'!$N$4:$N$503,_calc!$E$4))=0,"",INDEX('Documents'!$N$4:$N$503,_calc!$E$4)))</f>
        <v/>
      </c>
      <c r="F2" s="43">
        <f>IF(_calc!$E$4="","",TRIM(IF(LEN(IF(LEN(INDEX('Documents'!$B$4:$B$503,_calc!$E$4))=0,"",INDEX('Documents'!$B$4:$B$503,_calc!$E$4)))=0,"","Trade: "&amp;IF(LEN(INDEX('Documents'!$B$4:$B$503,_calc!$E$4))=0,"",INDEX('Documents'!$B$4:$B$503,_calc!$E$4))&amp;". ")&amp;IF(LEN(IF(LEN(INDEX('Documents'!$D$4:$D$503,_calc!$E$4))=0,"",INDEX('Documents'!$D$4:$D$503,_calc!$E$4)))=0,"","Ref: "&amp;IF(LEN(INDEX('Documents'!$D$4:$D$503,_calc!$E$4))=0,"",INDEX('Documents'!$D$4:$D$503,_calc!$E$4))&amp;". ")&amp;IF(LEN(IF(LEN(INDEX('Documents'!$K$4:$K$503,_calc!$E$4))=0,"",INDEX('Documents'!$K$4:$K$503,_calc!$E$4)))=0,"","On file: "&amp;IF(LEN(INDEX('Documents'!$K$4:$K$503,_calc!$E$4))=0,"",INDEX('Documents'!$K$4:$K$503,_calc!$E$4))&amp;". ")&amp;IF(LEN(IF(LEN(INDEX('Documents'!$L$4:$L$503,_calc!$E$4))=0,"",INDEX('Documents'!$L$4:$L$503,_calc!$E$4)))=0,"","Contractor email: "&amp;IF(LEN(INDEX('Documents'!$L$4:$L$503,_calc!$E$4))=0,"",INDEX('Documents'!$L$4:$L$503,_calc!$E$4))&amp;". ")&amp;IF(LEN(IF(LEN(INDEX('Documents'!$P$4:$P$503,_calc!$E$4))=0,"",INDEX('Documents'!$P$4:$P$503,_calc!$E$4)))=0,"",IF(LEN(INDEX('Documents'!$P$4:$P$503,_calc!$E$4))=0,"",INDEX('Documents'!$P$4:$P$503,_calc!$E$4)))))</f>
        <v/>
      </c>
      <c r="G2" s="43">
        <f>IF(_calc!$E$4="","",IF(LEN(INDEX('Documents'!$O$4:$O$503,_calc!$E$4))=0,"",INDEX('Documents'!$O$4:$O$503,_calc!$E$4)))</f>
        <v/>
      </c>
      <c r="K2" s="43">
        <f>IF(_calc!$E$4="","",IF(LEN(INDEX('Documents'!$M$4:$M$503,_calc!$E$4))=0,"",INDEX('Documents'!$M$4:$M$503,_calc!$E$4)))</f>
        <v/>
      </c>
    </row>
    <row r="3">
      <c r="A3" s="43">
        <f>IF(_calc!$E$5="","",IF(LEN(INDEX('Documents'!$C$4:$C$503,_calc!$E$5))=0,"",INDEX('Documents'!$C$4:$C$503,_calc!$E$5))&amp;" – "&amp;IF(LEN(INDEX('Documents'!$A$4:$A$503,_calc!$E$5))=0,"",INDEX('Documents'!$A$4:$A$503,_calc!$E$5)))</f>
        <v/>
      </c>
      <c r="B3" s="43">
        <f>IF(_calc!$E$5="","",IF(ISNUMBER(INDEX('Documents'!$F$4:$F$503,_calc!$E$5)),TEXT(INDEX('Documents'!$F$4:$F$503,_calc!$E$5),"yyyy-mm-dd"),""))</f>
        <v/>
      </c>
      <c r="C3" s="43">
        <f>IF(_calc!$E$5="","","Contractor document")</f>
        <v/>
      </c>
      <c r="D3" s="43">
        <f>IF(_calc!$E$5="","",IF(ISNUMBER(INDEX('Documents'!$E$4:$E$503,_calc!$E$5)),TEXT(INDEX('Documents'!$E$4:$E$503,_calc!$E$5),"yyyy-mm-dd"),""))</f>
        <v/>
      </c>
      <c r="E3" s="43">
        <f>IF(_calc!$E$5="","",IF(LEN(INDEX('Documents'!$N$4:$N$503,_calc!$E$5))=0,"",INDEX('Documents'!$N$4:$N$503,_calc!$E$5)))</f>
        <v/>
      </c>
      <c r="F3" s="43">
        <f>IF(_calc!$E$5="","",TRIM(IF(LEN(IF(LEN(INDEX('Documents'!$B$4:$B$503,_calc!$E$5))=0,"",INDEX('Documents'!$B$4:$B$503,_calc!$E$5)))=0,"","Trade: "&amp;IF(LEN(INDEX('Documents'!$B$4:$B$503,_calc!$E$5))=0,"",INDEX('Documents'!$B$4:$B$503,_calc!$E$5))&amp;". ")&amp;IF(LEN(IF(LEN(INDEX('Documents'!$D$4:$D$503,_calc!$E$5))=0,"",INDEX('Documents'!$D$4:$D$503,_calc!$E$5)))=0,"","Ref: "&amp;IF(LEN(INDEX('Documents'!$D$4:$D$503,_calc!$E$5))=0,"",INDEX('Documents'!$D$4:$D$503,_calc!$E$5))&amp;". ")&amp;IF(LEN(IF(LEN(INDEX('Documents'!$K$4:$K$503,_calc!$E$5))=0,"",INDEX('Documents'!$K$4:$K$503,_calc!$E$5)))=0,"","On file: "&amp;IF(LEN(INDEX('Documents'!$K$4:$K$503,_calc!$E$5))=0,"",INDEX('Documents'!$K$4:$K$503,_calc!$E$5))&amp;". ")&amp;IF(LEN(IF(LEN(INDEX('Documents'!$L$4:$L$503,_calc!$E$5))=0,"",INDEX('Documents'!$L$4:$L$503,_calc!$E$5)))=0,"","Contractor email: "&amp;IF(LEN(INDEX('Documents'!$L$4:$L$503,_calc!$E$5))=0,"",INDEX('Documents'!$L$4:$L$503,_calc!$E$5))&amp;". ")&amp;IF(LEN(IF(LEN(INDEX('Documents'!$P$4:$P$503,_calc!$E$5))=0,"",INDEX('Documents'!$P$4:$P$503,_calc!$E$5)))=0,"",IF(LEN(INDEX('Documents'!$P$4:$P$503,_calc!$E$5))=0,"",INDEX('Documents'!$P$4:$P$503,_calc!$E$5)))))</f>
        <v/>
      </c>
      <c r="G3" s="43">
        <f>IF(_calc!$E$5="","",IF(LEN(INDEX('Documents'!$O$4:$O$503,_calc!$E$5))=0,"",INDEX('Documents'!$O$4:$O$503,_calc!$E$5)))</f>
        <v/>
      </c>
      <c r="K3" s="43">
        <f>IF(_calc!$E$5="","",IF(LEN(INDEX('Documents'!$M$4:$M$503,_calc!$E$5))=0,"",INDEX('Documents'!$M$4:$M$503,_calc!$E$5)))</f>
        <v/>
      </c>
    </row>
    <row r="4">
      <c r="A4" s="43">
        <f>IF(_calc!$E$6="","",IF(LEN(INDEX('Documents'!$C$4:$C$503,_calc!$E$6))=0,"",INDEX('Documents'!$C$4:$C$503,_calc!$E$6))&amp;" – "&amp;IF(LEN(INDEX('Documents'!$A$4:$A$503,_calc!$E$6))=0,"",INDEX('Documents'!$A$4:$A$503,_calc!$E$6)))</f>
        <v/>
      </c>
      <c r="B4" s="43">
        <f>IF(_calc!$E$6="","",IF(ISNUMBER(INDEX('Documents'!$F$4:$F$503,_calc!$E$6)),TEXT(INDEX('Documents'!$F$4:$F$503,_calc!$E$6),"yyyy-mm-dd"),""))</f>
        <v/>
      </c>
      <c r="C4" s="43">
        <f>IF(_calc!$E$6="","","Contractor document")</f>
        <v/>
      </c>
      <c r="D4" s="43">
        <f>IF(_calc!$E$6="","",IF(ISNUMBER(INDEX('Documents'!$E$4:$E$503,_calc!$E$6)),TEXT(INDEX('Documents'!$E$4:$E$503,_calc!$E$6),"yyyy-mm-dd"),""))</f>
        <v/>
      </c>
      <c r="E4" s="43">
        <f>IF(_calc!$E$6="","",IF(LEN(INDEX('Documents'!$N$4:$N$503,_calc!$E$6))=0,"",INDEX('Documents'!$N$4:$N$503,_calc!$E$6)))</f>
        <v/>
      </c>
      <c r="F4" s="43">
        <f>IF(_calc!$E$6="","",TRIM(IF(LEN(IF(LEN(INDEX('Documents'!$B$4:$B$503,_calc!$E$6))=0,"",INDEX('Documents'!$B$4:$B$503,_calc!$E$6)))=0,"","Trade: "&amp;IF(LEN(INDEX('Documents'!$B$4:$B$503,_calc!$E$6))=0,"",INDEX('Documents'!$B$4:$B$503,_calc!$E$6))&amp;". ")&amp;IF(LEN(IF(LEN(INDEX('Documents'!$D$4:$D$503,_calc!$E$6))=0,"",INDEX('Documents'!$D$4:$D$503,_calc!$E$6)))=0,"","Ref: "&amp;IF(LEN(INDEX('Documents'!$D$4:$D$503,_calc!$E$6))=0,"",INDEX('Documents'!$D$4:$D$503,_calc!$E$6))&amp;". ")&amp;IF(LEN(IF(LEN(INDEX('Documents'!$K$4:$K$503,_calc!$E$6))=0,"",INDEX('Documents'!$K$4:$K$503,_calc!$E$6)))=0,"","On file: "&amp;IF(LEN(INDEX('Documents'!$K$4:$K$503,_calc!$E$6))=0,"",INDEX('Documents'!$K$4:$K$503,_calc!$E$6))&amp;". ")&amp;IF(LEN(IF(LEN(INDEX('Documents'!$L$4:$L$503,_calc!$E$6))=0,"",INDEX('Documents'!$L$4:$L$503,_calc!$E$6)))=0,"","Contractor email: "&amp;IF(LEN(INDEX('Documents'!$L$4:$L$503,_calc!$E$6))=0,"",INDEX('Documents'!$L$4:$L$503,_calc!$E$6))&amp;". ")&amp;IF(LEN(IF(LEN(INDEX('Documents'!$P$4:$P$503,_calc!$E$6))=0,"",INDEX('Documents'!$P$4:$P$503,_calc!$E$6)))=0,"",IF(LEN(INDEX('Documents'!$P$4:$P$503,_calc!$E$6))=0,"",INDEX('Documents'!$P$4:$P$503,_calc!$E$6)))))</f>
        <v/>
      </c>
      <c r="G4" s="43">
        <f>IF(_calc!$E$6="","",IF(LEN(INDEX('Documents'!$O$4:$O$503,_calc!$E$6))=0,"",INDEX('Documents'!$O$4:$O$503,_calc!$E$6)))</f>
        <v/>
      </c>
      <c r="K4" s="43">
        <f>IF(_calc!$E$6="","",IF(LEN(INDEX('Documents'!$M$4:$M$503,_calc!$E$6))=0,"",INDEX('Documents'!$M$4:$M$503,_calc!$E$6)))</f>
        <v/>
      </c>
    </row>
    <row r="5">
      <c r="A5" s="43">
        <f>IF(_calc!$E$7="","",IF(LEN(INDEX('Documents'!$C$4:$C$503,_calc!$E$7))=0,"",INDEX('Documents'!$C$4:$C$503,_calc!$E$7))&amp;" – "&amp;IF(LEN(INDEX('Documents'!$A$4:$A$503,_calc!$E$7))=0,"",INDEX('Documents'!$A$4:$A$503,_calc!$E$7)))</f>
        <v/>
      </c>
      <c r="B5" s="43">
        <f>IF(_calc!$E$7="","",IF(ISNUMBER(INDEX('Documents'!$F$4:$F$503,_calc!$E$7)),TEXT(INDEX('Documents'!$F$4:$F$503,_calc!$E$7),"yyyy-mm-dd"),""))</f>
        <v/>
      </c>
      <c r="C5" s="43">
        <f>IF(_calc!$E$7="","","Contractor document")</f>
        <v/>
      </c>
      <c r="D5" s="43">
        <f>IF(_calc!$E$7="","",IF(ISNUMBER(INDEX('Documents'!$E$4:$E$503,_calc!$E$7)),TEXT(INDEX('Documents'!$E$4:$E$503,_calc!$E$7),"yyyy-mm-dd"),""))</f>
        <v/>
      </c>
      <c r="E5" s="43">
        <f>IF(_calc!$E$7="","",IF(LEN(INDEX('Documents'!$N$4:$N$503,_calc!$E$7))=0,"",INDEX('Documents'!$N$4:$N$503,_calc!$E$7)))</f>
        <v/>
      </c>
      <c r="F5" s="43">
        <f>IF(_calc!$E$7="","",TRIM(IF(LEN(IF(LEN(INDEX('Documents'!$B$4:$B$503,_calc!$E$7))=0,"",INDEX('Documents'!$B$4:$B$503,_calc!$E$7)))=0,"","Trade: "&amp;IF(LEN(INDEX('Documents'!$B$4:$B$503,_calc!$E$7))=0,"",INDEX('Documents'!$B$4:$B$503,_calc!$E$7))&amp;". ")&amp;IF(LEN(IF(LEN(INDEX('Documents'!$D$4:$D$503,_calc!$E$7))=0,"",INDEX('Documents'!$D$4:$D$503,_calc!$E$7)))=0,"","Ref: "&amp;IF(LEN(INDEX('Documents'!$D$4:$D$503,_calc!$E$7))=0,"",INDEX('Documents'!$D$4:$D$503,_calc!$E$7))&amp;". ")&amp;IF(LEN(IF(LEN(INDEX('Documents'!$K$4:$K$503,_calc!$E$7))=0,"",INDEX('Documents'!$K$4:$K$503,_calc!$E$7)))=0,"","On file: "&amp;IF(LEN(INDEX('Documents'!$K$4:$K$503,_calc!$E$7))=0,"",INDEX('Documents'!$K$4:$K$503,_calc!$E$7))&amp;". ")&amp;IF(LEN(IF(LEN(INDEX('Documents'!$L$4:$L$503,_calc!$E$7))=0,"",INDEX('Documents'!$L$4:$L$503,_calc!$E$7)))=0,"","Contractor email: "&amp;IF(LEN(INDEX('Documents'!$L$4:$L$503,_calc!$E$7))=0,"",INDEX('Documents'!$L$4:$L$503,_calc!$E$7))&amp;". ")&amp;IF(LEN(IF(LEN(INDEX('Documents'!$P$4:$P$503,_calc!$E$7))=0,"",INDEX('Documents'!$P$4:$P$503,_calc!$E$7)))=0,"",IF(LEN(INDEX('Documents'!$P$4:$P$503,_calc!$E$7))=0,"",INDEX('Documents'!$P$4:$P$503,_calc!$E$7)))))</f>
        <v/>
      </c>
      <c r="G5" s="43">
        <f>IF(_calc!$E$7="","",IF(LEN(INDEX('Documents'!$O$4:$O$503,_calc!$E$7))=0,"",INDEX('Documents'!$O$4:$O$503,_calc!$E$7)))</f>
        <v/>
      </c>
      <c r="K5" s="43">
        <f>IF(_calc!$E$7="","",IF(LEN(INDEX('Documents'!$M$4:$M$503,_calc!$E$7))=0,"",INDEX('Documents'!$M$4:$M$503,_calc!$E$7)))</f>
        <v/>
      </c>
    </row>
    <row r="6">
      <c r="A6" s="43">
        <f>IF(_calc!$E$8="","",IF(LEN(INDEX('Documents'!$C$4:$C$503,_calc!$E$8))=0,"",INDEX('Documents'!$C$4:$C$503,_calc!$E$8))&amp;" – "&amp;IF(LEN(INDEX('Documents'!$A$4:$A$503,_calc!$E$8))=0,"",INDEX('Documents'!$A$4:$A$503,_calc!$E$8)))</f>
        <v/>
      </c>
      <c r="B6" s="43">
        <f>IF(_calc!$E$8="","",IF(ISNUMBER(INDEX('Documents'!$F$4:$F$503,_calc!$E$8)),TEXT(INDEX('Documents'!$F$4:$F$503,_calc!$E$8),"yyyy-mm-dd"),""))</f>
        <v/>
      </c>
      <c r="C6" s="43">
        <f>IF(_calc!$E$8="","","Contractor document")</f>
        <v/>
      </c>
      <c r="D6" s="43">
        <f>IF(_calc!$E$8="","",IF(ISNUMBER(INDEX('Documents'!$E$4:$E$503,_calc!$E$8)),TEXT(INDEX('Documents'!$E$4:$E$503,_calc!$E$8),"yyyy-mm-dd"),""))</f>
        <v/>
      </c>
      <c r="E6" s="43">
        <f>IF(_calc!$E$8="","",IF(LEN(INDEX('Documents'!$N$4:$N$503,_calc!$E$8))=0,"",INDEX('Documents'!$N$4:$N$503,_calc!$E$8)))</f>
        <v/>
      </c>
      <c r="F6" s="43">
        <f>IF(_calc!$E$8="","",TRIM(IF(LEN(IF(LEN(INDEX('Documents'!$B$4:$B$503,_calc!$E$8))=0,"",INDEX('Documents'!$B$4:$B$503,_calc!$E$8)))=0,"","Trade: "&amp;IF(LEN(INDEX('Documents'!$B$4:$B$503,_calc!$E$8))=0,"",INDEX('Documents'!$B$4:$B$503,_calc!$E$8))&amp;". ")&amp;IF(LEN(IF(LEN(INDEX('Documents'!$D$4:$D$503,_calc!$E$8))=0,"",INDEX('Documents'!$D$4:$D$503,_calc!$E$8)))=0,"","Ref: "&amp;IF(LEN(INDEX('Documents'!$D$4:$D$503,_calc!$E$8))=0,"",INDEX('Documents'!$D$4:$D$503,_calc!$E$8))&amp;". ")&amp;IF(LEN(IF(LEN(INDEX('Documents'!$K$4:$K$503,_calc!$E$8))=0,"",INDEX('Documents'!$K$4:$K$503,_calc!$E$8)))=0,"","On file: "&amp;IF(LEN(INDEX('Documents'!$K$4:$K$503,_calc!$E$8))=0,"",INDEX('Documents'!$K$4:$K$503,_calc!$E$8))&amp;". ")&amp;IF(LEN(IF(LEN(INDEX('Documents'!$L$4:$L$503,_calc!$E$8))=0,"",INDEX('Documents'!$L$4:$L$503,_calc!$E$8)))=0,"","Contractor email: "&amp;IF(LEN(INDEX('Documents'!$L$4:$L$503,_calc!$E$8))=0,"",INDEX('Documents'!$L$4:$L$503,_calc!$E$8))&amp;". ")&amp;IF(LEN(IF(LEN(INDEX('Documents'!$P$4:$P$503,_calc!$E$8))=0,"",INDEX('Documents'!$P$4:$P$503,_calc!$E$8)))=0,"",IF(LEN(INDEX('Documents'!$P$4:$P$503,_calc!$E$8))=0,"",INDEX('Documents'!$P$4:$P$503,_calc!$E$8)))))</f>
        <v/>
      </c>
      <c r="G6" s="43">
        <f>IF(_calc!$E$8="","",IF(LEN(INDEX('Documents'!$O$4:$O$503,_calc!$E$8))=0,"",INDEX('Documents'!$O$4:$O$503,_calc!$E$8)))</f>
        <v/>
      </c>
      <c r="K6" s="43">
        <f>IF(_calc!$E$8="","",IF(LEN(INDEX('Documents'!$M$4:$M$503,_calc!$E$8))=0,"",INDEX('Documents'!$M$4:$M$503,_calc!$E$8)))</f>
        <v/>
      </c>
    </row>
    <row r="7">
      <c r="A7" s="43">
        <f>IF(_calc!$E$9="","",IF(LEN(INDEX('Documents'!$C$4:$C$503,_calc!$E$9))=0,"",INDEX('Documents'!$C$4:$C$503,_calc!$E$9))&amp;" – "&amp;IF(LEN(INDEX('Documents'!$A$4:$A$503,_calc!$E$9))=0,"",INDEX('Documents'!$A$4:$A$503,_calc!$E$9)))</f>
        <v/>
      </c>
      <c r="B7" s="43">
        <f>IF(_calc!$E$9="","",IF(ISNUMBER(INDEX('Documents'!$F$4:$F$503,_calc!$E$9)),TEXT(INDEX('Documents'!$F$4:$F$503,_calc!$E$9),"yyyy-mm-dd"),""))</f>
        <v/>
      </c>
      <c r="C7" s="43">
        <f>IF(_calc!$E$9="","","Contractor document")</f>
        <v/>
      </c>
      <c r="D7" s="43">
        <f>IF(_calc!$E$9="","",IF(ISNUMBER(INDEX('Documents'!$E$4:$E$503,_calc!$E$9)),TEXT(INDEX('Documents'!$E$4:$E$503,_calc!$E$9),"yyyy-mm-dd"),""))</f>
        <v/>
      </c>
      <c r="E7" s="43">
        <f>IF(_calc!$E$9="","",IF(LEN(INDEX('Documents'!$N$4:$N$503,_calc!$E$9))=0,"",INDEX('Documents'!$N$4:$N$503,_calc!$E$9)))</f>
        <v/>
      </c>
      <c r="F7" s="43">
        <f>IF(_calc!$E$9="","",TRIM(IF(LEN(IF(LEN(INDEX('Documents'!$B$4:$B$503,_calc!$E$9))=0,"",INDEX('Documents'!$B$4:$B$503,_calc!$E$9)))=0,"","Trade: "&amp;IF(LEN(INDEX('Documents'!$B$4:$B$503,_calc!$E$9))=0,"",INDEX('Documents'!$B$4:$B$503,_calc!$E$9))&amp;". ")&amp;IF(LEN(IF(LEN(INDEX('Documents'!$D$4:$D$503,_calc!$E$9))=0,"",INDEX('Documents'!$D$4:$D$503,_calc!$E$9)))=0,"","Ref: "&amp;IF(LEN(INDEX('Documents'!$D$4:$D$503,_calc!$E$9))=0,"",INDEX('Documents'!$D$4:$D$503,_calc!$E$9))&amp;". ")&amp;IF(LEN(IF(LEN(INDEX('Documents'!$K$4:$K$503,_calc!$E$9))=0,"",INDEX('Documents'!$K$4:$K$503,_calc!$E$9)))=0,"","On file: "&amp;IF(LEN(INDEX('Documents'!$K$4:$K$503,_calc!$E$9))=0,"",INDEX('Documents'!$K$4:$K$503,_calc!$E$9))&amp;". ")&amp;IF(LEN(IF(LEN(INDEX('Documents'!$L$4:$L$503,_calc!$E$9))=0,"",INDEX('Documents'!$L$4:$L$503,_calc!$E$9)))=0,"","Contractor email: "&amp;IF(LEN(INDEX('Documents'!$L$4:$L$503,_calc!$E$9))=0,"",INDEX('Documents'!$L$4:$L$503,_calc!$E$9))&amp;". ")&amp;IF(LEN(IF(LEN(INDEX('Documents'!$P$4:$P$503,_calc!$E$9))=0,"",INDEX('Documents'!$P$4:$P$503,_calc!$E$9)))=0,"",IF(LEN(INDEX('Documents'!$P$4:$P$503,_calc!$E$9))=0,"",INDEX('Documents'!$P$4:$P$503,_calc!$E$9)))))</f>
        <v/>
      </c>
      <c r="G7" s="43">
        <f>IF(_calc!$E$9="","",IF(LEN(INDEX('Documents'!$O$4:$O$503,_calc!$E$9))=0,"",INDEX('Documents'!$O$4:$O$503,_calc!$E$9)))</f>
        <v/>
      </c>
      <c r="K7" s="43">
        <f>IF(_calc!$E$9="","",IF(LEN(INDEX('Documents'!$M$4:$M$503,_calc!$E$9))=0,"",INDEX('Documents'!$M$4:$M$503,_calc!$E$9)))</f>
        <v/>
      </c>
    </row>
    <row r="8">
      <c r="A8" s="43">
        <f>IF(_calc!$E$10="","",IF(LEN(INDEX('Documents'!$C$4:$C$503,_calc!$E$10))=0,"",INDEX('Documents'!$C$4:$C$503,_calc!$E$10))&amp;" – "&amp;IF(LEN(INDEX('Documents'!$A$4:$A$503,_calc!$E$10))=0,"",INDEX('Documents'!$A$4:$A$503,_calc!$E$10)))</f>
        <v/>
      </c>
      <c r="B8" s="43">
        <f>IF(_calc!$E$10="","",IF(ISNUMBER(INDEX('Documents'!$F$4:$F$503,_calc!$E$10)),TEXT(INDEX('Documents'!$F$4:$F$503,_calc!$E$10),"yyyy-mm-dd"),""))</f>
        <v/>
      </c>
      <c r="C8" s="43">
        <f>IF(_calc!$E$10="","","Contractor document")</f>
        <v/>
      </c>
      <c r="D8" s="43">
        <f>IF(_calc!$E$10="","",IF(ISNUMBER(INDEX('Documents'!$E$4:$E$503,_calc!$E$10)),TEXT(INDEX('Documents'!$E$4:$E$503,_calc!$E$10),"yyyy-mm-dd"),""))</f>
        <v/>
      </c>
      <c r="E8" s="43">
        <f>IF(_calc!$E$10="","",IF(LEN(INDEX('Documents'!$N$4:$N$503,_calc!$E$10))=0,"",INDEX('Documents'!$N$4:$N$503,_calc!$E$10)))</f>
        <v/>
      </c>
      <c r="F8" s="43">
        <f>IF(_calc!$E$10="","",TRIM(IF(LEN(IF(LEN(INDEX('Documents'!$B$4:$B$503,_calc!$E$10))=0,"",INDEX('Documents'!$B$4:$B$503,_calc!$E$10)))=0,"","Trade: "&amp;IF(LEN(INDEX('Documents'!$B$4:$B$503,_calc!$E$10))=0,"",INDEX('Documents'!$B$4:$B$503,_calc!$E$10))&amp;". ")&amp;IF(LEN(IF(LEN(INDEX('Documents'!$D$4:$D$503,_calc!$E$10))=0,"",INDEX('Documents'!$D$4:$D$503,_calc!$E$10)))=0,"","Ref: "&amp;IF(LEN(INDEX('Documents'!$D$4:$D$503,_calc!$E$10))=0,"",INDEX('Documents'!$D$4:$D$503,_calc!$E$10))&amp;". ")&amp;IF(LEN(IF(LEN(INDEX('Documents'!$K$4:$K$503,_calc!$E$10))=0,"",INDEX('Documents'!$K$4:$K$503,_calc!$E$10)))=0,"","On file: "&amp;IF(LEN(INDEX('Documents'!$K$4:$K$503,_calc!$E$10))=0,"",INDEX('Documents'!$K$4:$K$503,_calc!$E$10))&amp;". ")&amp;IF(LEN(IF(LEN(INDEX('Documents'!$L$4:$L$503,_calc!$E$10))=0,"",INDEX('Documents'!$L$4:$L$503,_calc!$E$10)))=0,"","Contractor email: "&amp;IF(LEN(INDEX('Documents'!$L$4:$L$503,_calc!$E$10))=0,"",INDEX('Documents'!$L$4:$L$503,_calc!$E$10))&amp;". ")&amp;IF(LEN(IF(LEN(INDEX('Documents'!$P$4:$P$503,_calc!$E$10))=0,"",INDEX('Documents'!$P$4:$P$503,_calc!$E$10)))=0,"",IF(LEN(INDEX('Documents'!$P$4:$P$503,_calc!$E$10))=0,"",INDEX('Documents'!$P$4:$P$503,_calc!$E$10)))))</f>
        <v/>
      </c>
      <c r="G8" s="43">
        <f>IF(_calc!$E$10="","",IF(LEN(INDEX('Documents'!$O$4:$O$503,_calc!$E$10))=0,"",INDEX('Documents'!$O$4:$O$503,_calc!$E$10)))</f>
        <v/>
      </c>
      <c r="K8" s="43">
        <f>IF(_calc!$E$10="","",IF(LEN(INDEX('Documents'!$M$4:$M$503,_calc!$E$10))=0,"",INDEX('Documents'!$M$4:$M$503,_calc!$E$10)))</f>
        <v/>
      </c>
    </row>
    <row r="9">
      <c r="A9" s="43">
        <f>IF(_calc!$E$11="","",IF(LEN(INDEX('Documents'!$C$4:$C$503,_calc!$E$11))=0,"",INDEX('Documents'!$C$4:$C$503,_calc!$E$11))&amp;" – "&amp;IF(LEN(INDEX('Documents'!$A$4:$A$503,_calc!$E$11))=0,"",INDEX('Documents'!$A$4:$A$503,_calc!$E$11)))</f>
        <v/>
      </c>
      <c r="B9" s="43">
        <f>IF(_calc!$E$11="","",IF(ISNUMBER(INDEX('Documents'!$F$4:$F$503,_calc!$E$11)),TEXT(INDEX('Documents'!$F$4:$F$503,_calc!$E$11),"yyyy-mm-dd"),""))</f>
        <v/>
      </c>
      <c r="C9" s="43">
        <f>IF(_calc!$E$11="","","Contractor document")</f>
        <v/>
      </c>
      <c r="D9" s="43">
        <f>IF(_calc!$E$11="","",IF(ISNUMBER(INDEX('Documents'!$E$4:$E$503,_calc!$E$11)),TEXT(INDEX('Documents'!$E$4:$E$503,_calc!$E$11),"yyyy-mm-dd"),""))</f>
        <v/>
      </c>
      <c r="E9" s="43">
        <f>IF(_calc!$E$11="","",IF(LEN(INDEX('Documents'!$N$4:$N$503,_calc!$E$11))=0,"",INDEX('Documents'!$N$4:$N$503,_calc!$E$11)))</f>
        <v/>
      </c>
      <c r="F9" s="43">
        <f>IF(_calc!$E$11="","",TRIM(IF(LEN(IF(LEN(INDEX('Documents'!$B$4:$B$503,_calc!$E$11))=0,"",INDEX('Documents'!$B$4:$B$503,_calc!$E$11)))=0,"","Trade: "&amp;IF(LEN(INDEX('Documents'!$B$4:$B$503,_calc!$E$11))=0,"",INDEX('Documents'!$B$4:$B$503,_calc!$E$11))&amp;". ")&amp;IF(LEN(IF(LEN(INDEX('Documents'!$D$4:$D$503,_calc!$E$11))=0,"",INDEX('Documents'!$D$4:$D$503,_calc!$E$11)))=0,"","Ref: "&amp;IF(LEN(INDEX('Documents'!$D$4:$D$503,_calc!$E$11))=0,"",INDEX('Documents'!$D$4:$D$503,_calc!$E$11))&amp;". ")&amp;IF(LEN(IF(LEN(INDEX('Documents'!$K$4:$K$503,_calc!$E$11))=0,"",INDEX('Documents'!$K$4:$K$503,_calc!$E$11)))=0,"","On file: "&amp;IF(LEN(INDEX('Documents'!$K$4:$K$503,_calc!$E$11))=0,"",INDEX('Documents'!$K$4:$K$503,_calc!$E$11))&amp;". ")&amp;IF(LEN(IF(LEN(INDEX('Documents'!$L$4:$L$503,_calc!$E$11))=0,"",INDEX('Documents'!$L$4:$L$503,_calc!$E$11)))=0,"","Contractor email: "&amp;IF(LEN(INDEX('Documents'!$L$4:$L$503,_calc!$E$11))=0,"",INDEX('Documents'!$L$4:$L$503,_calc!$E$11))&amp;". ")&amp;IF(LEN(IF(LEN(INDEX('Documents'!$P$4:$P$503,_calc!$E$11))=0,"",INDEX('Documents'!$P$4:$P$503,_calc!$E$11)))=0,"",IF(LEN(INDEX('Documents'!$P$4:$P$503,_calc!$E$11))=0,"",INDEX('Documents'!$P$4:$P$503,_calc!$E$11)))))</f>
        <v/>
      </c>
      <c r="G9" s="43">
        <f>IF(_calc!$E$11="","",IF(LEN(INDEX('Documents'!$O$4:$O$503,_calc!$E$11))=0,"",INDEX('Documents'!$O$4:$O$503,_calc!$E$11)))</f>
        <v/>
      </c>
      <c r="K9" s="43">
        <f>IF(_calc!$E$11="","",IF(LEN(INDEX('Documents'!$M$4:$M$503,_calc!$E$11))=0,"",INDEX('Documents'!$M$4:$M$503,_calc!$E$11)))</f>
        <v/>
      </c>
    </row>
    <row r="10">
      <c r="A10" s="43">
        <f>IF(_calc!$E$12="","",IF(LEN(INDEX('Documents'!$C$4:$C$503,_calc!$E$12))=0,"",INDEX('Documents'!$C$4:$C$503,_calc!$E$12))&amp;" – "&amp;IF(LEN(INDEX('Documents'!$A$4:$A$503,_calc!$E$12))=0,"",INDEX('Documents'!$A$4:$A$503,_calc!$E$12)))</f>
        <v/>
      </c>
      <c r="B10" s="43">
        <f>IF(_calc!$E$12="","",IF(ISNUMBER(INDEX('Documents'!$F$4:$F$503,_calc!$E$12)),TEXT(INDEX('Documents'!$F$4:$F$503,_calc!$E$12),"yyyy-mm-dd"),""))</f>
        <v/>
      </c>
      <c r="C10" s="43">
        <f>IF(_calc!$E$12="","","Contractor document")</f>
        <v/>
      </c>
      <c r="D10" s="43">
        <f>IF(_calc!$E$12="","",IF(ISNUMBER(INDEX('Documents'!$E$4:$E$503,_calc!$E$12)),TEXT(INDEX('Documents'!$E$4:$E$503,_calc!$E$12),"yyyy-mm-dd"),""))</f>
        <v/>
      </c>
      <c r="E10" s="43">
        <f>IF(_calc!$E$12="","",IF(LEN(INDEX('Documents'!$N$4:$N$503,_calc!$E$12))=0,"",INDEX('Documents'!$N$4:$N$503,_calc!$E$12)))</f>
        <v/>
      </c>
      <c r="F10" s="43">
        <f>IF(_calc!$E$12="","",TRIM(IF(LEN(IF(LEN(INDEX('Documents'!$B$4:$B$503,_calc!$E$12))=0,"",INDEX('Documents'!$B$4:$B$503,_calc!$E$12)))=0,"","Trade: "&amp;IF(LEN(INDEX('Documents'!$B$4:$B$503,_calc!$E$12))=0,"",INDEX('Documents'!$B$4:$B$503,_calc!$E$12))&amp;". ")&amp;IF(LEN(IF(LEN(INDEX('Documents'!$D$4:$D$503,_calc!$E$12))=0,"",INDEX('Documents'!$D$4:$D$503,_calc!$E$12)))=0,"","Ref: "&amp;IF(LEN(INDEX('Documents'!$D$4:$D$503,_calc!$E$12))=0,"",INDEX('Documents'!$D$4:$D$503,_calc!$E$12))&amp;". ")&amp;IF(LEN(IF(LEN(INDEX('Documents'!$K$4:$K$503,_calc!$E$12))=0,"",INDEX('Documents'!$K$4:$K$503,_calc!$E$12)))=0,"","On file: "&amp;IF(LEN(INDEX('Documents'!$K$4:$K$503,_calc!$E$12))=0,"",INDEX('Documents'!$K$4:$K$503,_calc!$E$12))&amp;". ")&amp;IF(LEN(IF(LEN(INDEX('Documents'!$L$4:$L$503,_calc!$E$12))=0,"",INDEX('Documents'!$L$4:$L$503,_calc!$E$12)))=0,"","Contractor email: "&amp;IF(LEN(INDEX('Documents'!$L$4:$L$503,_calc!$E$12))=0,"",INDEX('Documents'!$L$4:$L$503,_calc!$E$12))&amp;". ")&amp;IF(LEN(IF(LEN(INDEX('Documents'!$P$4:$P$503,_calc!$E$12))=0,"",INDEX('Documents'!$P$4:$P$503,_calc!$E$12)))=0,"",IF(LEN(INDEX('Documents'!$P$4:$P$503,_calc!$E$12))=0,"",INDEX('Documents'!$P$4:$P$503,_calc!$E$12)))))</f>
        <v/>
      </c>
      <c r="G10" s="43">
        <f>IF(_calc!$E$12="","",IF(LEN(INDEX('Documents'!$O$4:$O$503,_calc!$E$12))=0,"",INDEX('Documents'!$O$4:$O$503,_calc!$E$12)))</f>
        <v/>
      </c>
      <c r="K10" s="43">
        <f>IF(_calc!$E$12="","",IF(LEN(INDEX('Documents'!$M$4:$M$503,_calc!$E$12))=0,"",INDEX('Documents'!$M$4:$M$503,_calc!$E$12)))</f>
        <v/>
      </c>
    </row>
    <row r="11">
      <c r="A11" s="43">
        <f>IF(_calc!$E$13="","",IF(LEN(INDEX('Documents'!$C$4:$C$503,_calc!$E$13))=0,"",INDEX('Documents'!$C$4:$C$503,_calc!$E$13))&amp;" – "&amp;IF(LEN(INDEX('Documents'!$A$4:$A$503,_calc!$E$13))=0,"",INDEX('Documents'!$A$4:$A$503,_calc!$E$13)))</f>
        <v/>
      </c>
      <c r="B11" s="43">
        <f>IF(_calc!$E$13="","",IF(ISNUMBER(INDEX('Documents'!$F$4:$F$503,_calc!$E$13)),TEXT(INDEX('Documents'!$F$4:$F$503,_calc!$E$13),"yyyy-mm-dd"),""))</f>
        <v/>
      </c>
      <c r="C11" s="43">
        <f>IF(_calc!$E$13="","","Contractor document")</f>
        <v/>
      </c>
      <c r="D11" s="43">
        <f>IF(_calc!$E$13="","",IF(ISNUMBER(INDEX('Documents'!$E$4:$E$503,_calc!$E$13)),TEXT(INDEX('Documents'!$E$4:$E$503,_calc!$E$13),"yyyy-mm-dd"),""))</f>
        <v/>
      </c>
      <c r="E11" s="43">
        <f>IF(_calc!$E$13="","",IF(LEN(INDEX('Documents'!$N$4:$N$503,_calc!$E$13))=0,"",INDEX('Documents'!$N$4:$N$503,_calc!$E$13)))</f>
        <v/>
      </c>
      <c r="F11" s="43">
        <f>IF(_calc!$E$13="","",TRIM(IF(LEN(IF(LEN(INDEX('Documents'!$B$4:$B$503,_calc!$E$13))=0,"",INDEX('Documents'!$B$4:$B$503,_calc!$E$13)))=0,"","Trade: "&amp;IF(LEN(INDEX('Documents'!$B$4:$B$503,_calc!$E$13))=0,"",INDEX('Documents'!$B$4:$B$503,_calc!$E$13))&amp;". ")&amp;IF(LEN(IF(LEN(INDEX('Documents'!$D$4:$D$503,_calc!$E$13))=0,"",INDEX('Documents'!$D$4:$D$503,_calc!$E$13)))=0,"","Ref: "&amp;IF(LEN(INDEX('Documents'!$D$4:$D$503,_calc!$E$13))=0,"",INDEX('Documents'!$D$4:$D$503,_calc!$E$13))&amp;". ")&amp;IF(LEN(IF(LEN(INDEX('Documents'!$K$4:$K$503,_calc!$E$13))=0,"",INDEX('Documents'!$K$4:$K$503,_calc!$E$13)))=0,"","On file: "&amp;IF(LEN(INDEX('Documents'!$K$4:$K$503,_calc!$E$13))=0,"",INDEX('Documents'!$K$4:$K$503,_calc!$E$13))&amp;". ")&amp;IF(LEN(IF(LEN(INDEX('Documents'!$L$4:$L$503,_calc!$E$13))=0,"",INDEX('Documents'!$L$4:$L$503,_calc!$E$13)))=0,"","Contractor email: "&amp;IF(LEN(INDEX('Documents'!$L$4:$L$503,_calc!$E$13))=0,"",INDEX('Documents'!$L$4:$L$503,_calc!$E$13))&amp;". ")&amp;IF(LEN(IF(LEN(INDEX('Documents'!$P$4:$P$503,_calc!$E$13))=0,"",INDEX('Documents'!$P$4:$P$503,_calc!$E$13)))=0,"",IF(LEN(INDEX('Documents'!$P$4:$P$503,_calc!$E$13))=0,"",INDEX('Documents'!$P$4:$P$503,_calc!$E$13)))))</f>
        <v/>
      </c>
      <c r="G11" s="43">
        <f>IF(_calc!$E$13="","",IF(LEN(INDEX('Documents'!$O$4:$O$503,_calc!$E$13))=0,"",INDEX('Documents'!$O$4:$O$503,_calc!$E$13)))</f>
        <v/>
      </c>
      <c r="K11" s="43">
        <f>IF(_calc!$E$13="","",IF(LEN(INDEX('Documents'!$M$4:$M$503,_calc!$E$13))=0,"",INDEX('Documents'!$M$4:$M$503,_calc!$E$13)))</f>
        <v/>
      </c>
    </row>
    <row r="12">
      <c r="A12" s="43">
        <f>IF(_calc!$E$14="","",IF(LEN(INDEX('Documents'!$C$4:$C$503,_calc!$E$14))=0,"",INDEX('Documents'!$C$4:$C$503,_calc!$E$14))&amp;" – "&amp;IF(LEN(INDEX('Documents'!$A$4:$A$503,_calc!$E$14))=0,"",INDEX('Documents'!$A$4:$A$503,_calc!$E$14)))</f>
        <v/>
      </c>
      <c r="B12" s="43">
        <f>IF(_calc!$E$14="","",IF(ISNUMBER(INDEX('Documents'!$F$4:$F$503,_calc!$E$14)),TEXT(INDEX('Documents'!$F$4:$F$503,_calc!$E$14),"yyyy-mm-dd"),""))</f>
        <v/>
      </c>
      <c r="C12" s="43">
        <f>IF(_calc!$E$14="","","Contractor document")</f>
        <v/>
      </c>
      <c r="D12" s="43">
        <f>IF(_calc!$E$14="","",IF(ISNUMBER(INDEX('Documents'!$E$4:$E$503,_calc!$E$14)),TEXT(INDEX('Documents'!$E$4:$E$503,_calc!$E$14),"yyyy-mm-dd"),""))</f>
        <v/>
      </c>
      <c r="E12" s="43">
        <f>IF(_calc!$E$14="","",IF(LEN(INDEX('Documents'!$N$4:$N$503,_calc!$E$14))=0,"",INDEX('Documents'!$N$4:$N$503,_calc!$E$14)))</f>
        <v/>
      </c>
      <c r="F12" s="43">
        <f>IF(_calc!$E$14="","",TRIM(IF(LEN(IF(LEN(INDEX('Documents'!$B$4:$B$503,_calc!$E$14))=0,"",INDEX('Documents'!$B$4:$B$503,_calc!$E$14)))=0,"","Trade: "&amp;IF(LEN(INDEX('Documents'!$B$4:$B$503,_calc!$E$14))=0,"",INDEX('Documents'!$B$4:$B$503,_calc!$E$14))&amp;". ")&amp;IF(LEN(IF(LEN(INDEX('Documents'!$D$4:$D$503,_calc!$E$14))=0,"",INDEX('Documents'!$D$4:$D$503,_calc!$E$14)))=0,"","Ref: "&amp;IF(LEN(INDEX('Documents'!$D$4:$D$503,_calc!$E$14))=0,"",INDEX('Documents'!$D$4:$D$503,_calc!$E$14))&amp;". ")&amp;IF(LEN(IF(LEN(INDEX('Documents'!$K$4:$K$503,_calc!$E$14))=0,"",INDEX('Documents'!$K$4:$K$503,_calc!$E$14)))=0,"","On file: "&amp;IF(LEN(INDEX('Documents'!$K$4:$K$503,_calc!$E$14))=0,"",INDEX('Documents'!$K$4:$K$503,_calc!$E$14))&amp;". ")&amp;IF(LEN(IF(LEN(INDEX('Documents'!$L$4:$L$503,_calc!$E$14))=0,"",INDEX('Documents'!$L$4:$L$503,_calc!$E$14)))=0,"","Contractor email: "&amp;IF(LEN(INDEX('Documents'!$L$4:$L$503,_calc!$E$14))=0,"",INDEX('Documents'!$L$4:$L$503,_calc!$E$14))&amp;". ")&amp;IF(LEN(IF(LEN(INDEX('Documents'!$P$4:$P$503,_calc!$E$14))=0,"",INDEX('Documents'!$P$4:$P$503,_calc!$E$14)))=0,"",IF(LEN(INDEX('Documents'!$P$4:$P$503,_calc!$E$14))=0,"",INDEX('Documents'!$P$4:$P$503,_calc!$E$14)))))</f>
        <v/>
      </c>
      <c r="G12" s="43">
        <f>IF(_calc!$E$14="","",IF(LEN(INDEX('Documents'!$O$4:$O$503,_calc!$E$14))=0,"",INDEX('Documents'!$O$4:$O$503,_calc!$E$14)))</f>
        <v/>
      </c>
      <c r="K12" s="43">
        <f>IF(_calc!$E$14="","",IF(LEN(INDEX('Documents'!$M$4:$M$503,_calc!$E$14))=0,"",INDEX('Documents'!$M$4:$M$503,_calc!$E$14)))</f>
        <v/>
      </c>
    </row>
    <row r="13">
      <c r="A13" s="43">
        <f>IF(_calc!$E$15="","",IF(LEN(INDEX('Documents'!$C$4:$C$503,_calc!$E$15))=0,"",INDEX('Documents'!$C$4:$C$503,_calc!$E$15))&amp;" – "&amp;IF(LEN(INDEX('Documents'!$A$4:$A$503,_calc!$E$15))=0,"",INDEX('Documents'!$A$4:$A$503,_calc!$E$15)))</f>
        <v/>
      </c>
      <c r="B13" s="43">
        <f>IF(_calc!$E$15="","",IF(ISNUMBER(INDEX('Documents'!$F$4:$F$503,_calc!$E$15)),TEXT(INDEX('Documents'!$F$4:$F$503,_calc!$E$15),"yyyy-mm-dd"),""))</f>
        <v/>
      </c>
      <c r="C13" s="43">
        <f>IF(_calc!$E$15="","","Contractor document")</f>
        <v/>
      </c>
      <c r="D13" s="43">
        <f>IF(_calc!$E$15="","",IF(ISNUMBER(INDEX('Documents'!$E$4:$E$503,_calc!$E$15)),TEXT(INDEX('Documents'!$E$4:$E$503,_calc!$E$15),"yyyy-mm-dd"),""))</f>
        <v/>
      </c>
      <c r="E13" s="43">
        <f>IF(_calc!$E$15="","",IF(LEN(INDEX('Documents'!$N$4:$N$503,_calc!$E$15))=0,"",INDEX('Documents'!$N$4:$N$503,_calc!$E$15)))</f>
        <v/>
      </c>
      <c r="F13" s="43">
        <f>IF(_calc!$E$15="","",TRIM(IF(LEN(IF(LEN(INDEX('Documents'!$B$4:$B$503,_calc!$E$15))=0,"",INDEX('Documents'!$B$4:$B$503,_calc!$E$15)))=0,"","Trade: "&amp;IF(LEN(INDEX('Documents'!$B$4:$B$503,_calc!$E$15))=0,"",INDEX('Documents'!$B$4:$B$503,_calc!$E$15))&amp;". ")&amp;IF(LEN(IF(LEN(INDEX('Documents'!$D$4:$D$503,_calc!$E$15))=0,"",INDEX('Documents'!$D$4:$D$503,_calc!$E$15)))=0,"","Ref: "&amp;IF(LEN(INDEX('Documents'!$D$4:$D$503,_calc!$E$15))=0,"",INDEX('Documents'!$D$4:$D$503,_calc!$E$15))&amp;". ")&amp;IF(LEN(IF(LEN(INDEX('Documents'!$K$4:$K$503,_calc!$E$15))=0,"",INDEX('Documents'!$K$4:$K$503,_calc!$E$15)))=0,"","On file: "&amp;IF(LEN(INDEX('Documents'!$K$4:$K$503,_calc!$E$15))=0,"",INDEX('Documents'!$K$4:$K$503,_calc!$E$15))&amp;". ")&amp;IF(LEN(IF(LEN(INDEX('Documents'!$L$4:$L$503,_calc!$E$15))=0,"",INDEX('Documents'!$L$4:$L$503,_calc!$E$15)))=0,"","Contractor email: "&amp;IF(LEN(INDEX('Documents'!$L$4:$L$503,_calc!$E$15))=0,"",INDEX('Documents'!$L$4:$L$503,_calc!$E$15))&amp;". ")&amp;IF(LEN(IF(LEN(INDEX('Documents'!$P$4:$P$503,_calc!$E$15))=0,"",INDEX('Documents'!$P$4:$P$503,_calc!$E$15)))=0,"",IF(LEN(INDEX('Documents'!$P$4:$P$503,_calc!$E$15))=0,"",INDEX('Documents'!$P$4:$P$503,_calc!$E$15)))))</f>
        <v/>
      </c>
      <c r="G13" s="43">
        <f>IF(_calc!$E$15="","",IF(LEN(INDEX('Documents'!$O$4:$O$503,_calc!$E$15))=0,"",INDEX('Documents'!$O$4:$O$503,_calc!$E$15)))</f>
        <v/>
      </c>
      <c r="K13" s="43">
        <f>IF(_calc!$E$15="","",IF(LEN(INDEX('Documents'!$M$4:$M$503,_calc!$E$15))=0,"",INDEX('Documents'!$M$4:$M$503,_calc!$E$15)))</f>
        <v/>
      </c>
    </row>
    <row r="14">
      <c r="A14" s="43">
        <f>IF(_calc!$E$16="","",IF(LEN(INDEX('Documents'!$C$4:$C$503,_calc!$E$16))=0,"",INDEX('Documents'!$C$4:$C$503,_calc!$E$16))&amp;" – "&amp;IF(LEN(INDEX('Documents'!$A$4:$A$503,_calc!$E$16))=0,"",INDEX('Documents'!$A$4:$A$503,_calc!$E$16)))</f>
        <v/>
      </c>
      <c r="B14" s="43">
        <f>IF(_calc!$E$16="","",IF(ISNUMBER(INDEX('Documents'!$F$4:$F$503,_calc!$E$16)),TEXT(INDEX('Documents'!$F$4:$F$503,_calc!$E$16),"yyyy-mm-dd"),""))</f>
        <v/>
      </c>
      <c r="C14" s="43">
        <f>IF(_calc!$E$16="","","Contractor document")</f>
        <v/>
      </c>
      <c r="D14" s="43">
        <f>IF(_calc!$E$16="","",IF(ISNUMBER(INDEX('Documents'!$E$4:$E$503,_calc!$E$16)),TEXT(INDEX('Documents'!$E$4:$E$503,_calc!$E$16),"yyyy-mm-dd"),""))</f>
        <v/>
      </c>
      <c r="E14" s="43">
        <f>IF(_calc!$E$16="","",IF(LEN(INDEX('Documents'!$N$4:$N$503,_calc!$E$16))=0,"",INDEX('Documents'!$N$4:$N$503,_calc!$E$16)))</f>
        <v/>
      </c>
      <c r="F14" s="43">
        <f>IF(_calc!$E$16="","",TRIM(IF(LEN(IF(LEN(INDEX('Documents'!$B$4:$B$503,_calc!$E$16))=0,"",INDEX('Documents'!$B$4:$B$503,_calc!$E$16)))=0,"","Trade: "&amp;IF(LEN(INDEX('Documents'!$B$4:$B$503,_calc!$E$16))=0,"",INDEX('Documents'!$B$4:$B$503,_calc!$E$16))&amp;". ")&amp;IF(LEN(IF(LEN(INDEX('Documents'!$D$4:$D$503,_calc!$E$16))=0,"",INDEX('Documents'!$D$4:$D$503,_calc!$E$16)))=0,"","Ref: "&amp;IF(LEN(INDEX('Documents'!$D$4:$D$503,_calc!$E$16))=0,"",INDEX('Documents'!$D$4:$D$503,_calc!$E$16))&amp;". ")&amp;IF(LEN(IF(LEN(INDEX('Documents'!$K$4:$K$503,_calc!$E$16))=0,"",INDEX('Documents'!$K$4:$K$503,_calc!$E$16)))=0,"","On file: "&amp;IF(LEN(INDEX('Documents'!$K$4:$K$503,_calc!$E$16))=0,"",INDEX('Documents'!$K$4:$K$503,_calc!$E$16))&amp;". ")&amp;IF(LEN(IF(LEN(INDEX('Documents'!$L$4:$L$503,_calc!$E$16))=0,"",INDEX('Documents'!$L$4:$L$503,_calc!$E$16)))=0,"","Contractor email: "&amp;IF(LEN(INDEX('Documents'!$L$4:$L$503,_calc!$E$16))=0,"",INDEX('Documents'!$L$4:$L$503,_calc!$E$16))&amp;". ")&amp;IF(LEN(IF(LEN(INDEX('Documents'!$P$4:$P$503,_calc!$E$16))=0,"",INDEX('Documents'!$P$4:$P$503,_calc!$E$16)))=0,"",IF(LEN(INDEX('Documents'!$P$4:$P$503,_calc!$E$16))=0,"",INDEX('Documents'!$P$4:$P$503,_calc!$E$16)))))</f>
        <v/>
      </c>
      <c r="G14" s="43">
        <f>IF(_calc!$E$16="","",IF(LEN(INDEX('Documents'!$O$4:$O$503,_calc!$E$16))=0,"",INDEX('Documents'!$O$4:$O$503,_calc!$E$16)))</f>
        <v/>
      </c>
      <c r="K14" s="43">
        <f>IF(_calc!$E$16="","",IF(LEN(INDEX('Documents'!$M$4:$M$503,_calc!$E$16))=0,"",INDEX('Documents'!$M$4:$M$503,_calc!$E$16)))</f>
        <v/>
      </c>
    </row>
    <row r="15">
      <c r="A15" s="43">
        <f>IF(_calc!$E$17="","",IF(LEN(INDEX('Documents'!$C$4:$C$503,_calc!$E$17))=0,"",INDEX('Documents'!$C$4:$C$503,_calc!$E$17))&amp;" – "&amp;IF(LEN(INDEX('Documents'!$A$4:$A$503,_calc!$E$17))=0,"",INDEX('Documents'!$A$4:$A$503,_calc!$E$17)))</f>
        <v/>
      </c>
      <c r="B15" s="43">
        <f>IF(_calc!$E$17="","",IF(ISNUMBER(INDEX('Documents'!$F$4:$F$503,_calc!$E$17)),TEXT(INDEX('Documents'!$F$4:$F$503,_calc!$E$17),"yyyy-mm-dd"),""))</f>
        <v/>
      </c>
      <c r="C15" s="43">
        <f>IF(_calc!$E$17="","","Contractor document")</f>
        <v/>
      </c>
      <c r="D15" s="43">
        <f>IF(_calc!$E$17="","",IF(ISNUMBER(INDEX('Documents'!$E$4:$E$503,_calc!$E$17)),TEXT(INDEX('Documents'!$E$4:$E$503,_calc!$E$17),"yyyy-mm-dd"),""))</f>
        <v/>
      </c>
      <c r="E15" s="43">
        <f>IF(_calc!$E$17="","",IF(LEN(INDEX('Documents'!$N$4:$N$503,_calc!$E$17))=0,"",INDEX('Documents'!$N$4:$N$503,_calc!$E$17)))</f>
        <v/>
      </c>
      <c r="F15" s="43">
        <f>IF(_calc!$E$17="","",TRIM(IF(LEN(IF(LEN(INDEX('Documents'!$B$4:$B$503,_calc!$E$17))=0,"",INDEX('Documents'!$B$4:$B$503,_calc!$E$17)))=0,"","Trade: "&amp;IF(LEN(INDEX('Documents'!$B$4:$B$503,_calc!$E$17))=0,"",INDEX('Documents'!$B$4:$B$503,_calc!$E$17))&amp;". ")&amp;IF(LEN(IF(LEN(INDEX('Documents'!$D$4:$D$503,_calc!$E$17))=0,"",INDEX('Documents'!$D$4:$D$503,_calc!$E$17)))=0,"","Ref: "&amp;IF(LEN(INDEX('Documents'!$D$4:$D$503,_calc!$E$17))=0,"",INDEX('Documents'!$D$4:$D$503,_calc!$E$17))&amp;". ")&amp;IF(LEN(IF(LEN(INDEX('Documents'!$K$4:$K$503,_calc!$E$17))=0,"",INDEX('Documents'!$K$4:$K$503,_calc!$E$17)))=0,"","On file: "&amp;IF(LEN(INDEX('Documents'!$K$4:$K$503,_calc!$E$17))=0,"",INDEX('Documents'!$K$4:$K$503,_calc!$E$17))&amp;". ")&amp;IF(LEN(IF(LEN(INDEX('Documents'!$L$4:$L$503,_calc!$E$17))=0,"",INDEX('Documents'!$L$4:$L$503,_calc!$E$17)))=0,"","Contractor email: "&amp;IF(LEN(INDEX('Documents'!$L$4:$L$503,_calc!$E$17))=0,"",INDEX('Documents'!$L$4:$L$503,_calc!$E$17))&amp;". ")&amp;IF(LEN(IF(LEN(INDEX('Documents'!$P$4:$P$503,_calc!$E$17))=0,"",INDEX('Documents'!$P$4:$P$503,_calc!$E$17)))=0,"",IF(LEN(INDEX('Documents'!$P$4:$P$503,_calc!$E$17))=0,"",INDEX('Documents'!$P$4:$P$503,_calc!$E$17)))))</f>
        <v/>
      </c>
      <c r="G15" s="43">
        <f>IF(_calc!$E$17="","",IF(LEN(INDEX('Documents'!$O$4:$O$503,_calc!$E$17))=0,"",INDEX('Documents'!$O$4:$O$503,_calc!$E$17)))</f>
        <v/>
      </c>
      <c r="K15" s="43">
        <f>IF(_calc!$E$17="","",IF(LEN(INDEX('Documents'!$M$4:$M$503,_calc!$E$17))=0,"",INDEX('Documents'!$M$4:$M$503,_calc!$E$17)))</f>
        <v/>
      </c>
    </row>
    <row r="16">
      <c r="A16" s="43">
        <f>IF(_calc!$E$18="","",IF(LEN(INDEX('Documents'!$C$4:$C$503,_calc!$E$18))=0,"",INDEX('Documents'!$C$4:$C$503,_calc!$E$18))&amp;" – "&amp;IF(LEN(INDEX('Documents'!$A$4:$A$503,_calc!$E$18))=0,"",INDEX('Documents'!$A$4:$A$503,_calc!$E$18)))</f>
        <v/>
      </c>
      <c r="B16" s="43">
        <f>IF(_calc!$E$18="","",IF(ISNUMBER(INDEX('Documents'!$F$4:$F$503,_calc!$E$18)),TEXT(INDEX('Documents'!$F$4:$F$503,_calc!$E$18),"yyyy-mm-dd"),""))</f>
        <v/>
      </c>
      <c r="C16" s="43">
        <f>IF(_calc!$E$18="","","Contractor document")</f>
        <v/>
      </c>
      <c r="D16" s="43">
        <f>IF(_calc!$E$18="","",IF(ISNUMBER(INDEX('Documents'!$E$4:$E$503,_calc!$E$18)),TEXT(INDEX('Documents'!$E$4:$E$503,_calc!$E$18),"yyyy-mm-dd"),""))</f>
        <v/>
      </c>
      <c r="E16" s="43">
        <f>IF(_calc!$E$18="","",IF(LEN(INDEX('Documents'!$N$4:$N$503,_calc!$E$18))=0,"",INDEX('Documents'!$N$4:$N$503,_calc!$E$18)))</f>
        <v/>
      </c>
      <c r="F16" s="43">
        <f>IF(_calc!$E$18="","",TRIM(IF(LEN(IF(LEN(INDEX('Documents'!$B$4:$B$503,_calc!$E$18))=0,"",INDEX('Documents'!$B$4:$B$503,_calc!$E$18)))=0,"","Trade: "&amp;IF(LEN(INDEX('Documents'!$B$4:$B$503,_calc!$E$18))=0,"",INDEX('Documents'!$B$4:$B$503,_calc!$E$18))&amp;". ")&amp;IF(LEN(IF(LEN(INDEX('Documents'!$D$4:$D$503,_calc!$E$18))=0,"",INDEX('Documents'!$D$4:$D$503,_calc!$E$18)))=0,"","Ref: "&amp;IF(LEN(INDEX('Documents'!$D$4:$D$503,_calc!$E$18))=0,"",INDEX('Documents'!$D$4:$D$503,_calc!$E$18))&amp;". ")&amp;IF(LEN(IF(LEN(INDEX('Documents'!$K$4:$K$503,_calc!$E$18))=0,"",INDEX('Documents'!$K$4:$K$503,_calc!$E$18)))=0,"","On file: "&amp;IF(LEN(INDEX('Documents'!$K$4:$K$503,_calc!$E$18))=0,"",INDEX('Documents'!$K$4:$K$503,_calc!$E$18))&amp;". ")&amp;IF(LEN(IF(LEN(INDEX('Documents'!$L$4:$L$503,_calc!$E$18))=0,"",INDEX('Documents'!$L$4:$L$503,_calc!$E$18)))=0,"","Contractor email: "&amp;IF(LEN(INDEX('Documents'!$L$4:$L$503,_calc!$E$18))=0,"",INDEX('Documents'!$L$4:$L$503,_calc!$E$18))&amp;". ")&amp;IF(LEN(IF(LEN(INDEX('Documents'!$P$4:$P$503,_calc!$E$18))=0,"",INDEX('Documents'!$P$4:$P$503,_calc!$E$18)))=0,"",IF(LEN(INDEX('Documents'!$P$4:$P$503,_calc!$E$18))=0,"",INDEX('Documents'!$P$4:$P$503,_calc!$E$18)))))</f>
        <v/>
      </c>
      <c r="G16" s="43">
        <f>IF(_calc!$E$18="","",IF(LEN(INDEX('Documents'!$O$4:$O$503,_calc!$E$18))=0,"",INDEX('Documents'!$O$4:$O$503,_calc!$E$18)))</f>
        <v/>
      </c>
      <c r="K16" s="43">
        <f>IF(_calc!$E$18="","",IF(LEN(INDEX('Documents'!$M$4:$M$503,_calc!$E$18))=0,"",INDEX('Documents'!$M$4:$M$503,_calc!$E$18)))</f>
        <v/>
      </c>
    </row>
    <row r="17">
      <c r="A17" s="43">
        <f>IF(_calc!$E$19="","",IF(LEN(INDEX('Documents'!$C$4:$C$503,_calc!$E$19))=0,"",INDEX('Documents'!$C$4:$C$503,_calc!$E$19))&amp;" – "&amp;IF(LEN(INDEX('Documents'!$A$4:$A$503,_calc!$E$19))=0,"",INDEX('Documents'!$A$4:$A$503,_calc!$E$19)))</f>
        <v/>
      </c>
      <c r="B17" s="43">
        <f>IF(_calc!$E$19="","",IF(ISNUMBER(INDEX('Documents'!$F$4:$F$503,_calc!$E$19)),TEXT(INDEX('Documents'!$F$4:$F$503,_calc!$E$19),"yyyy-mm-dd"),""))</f>
        <v/>
      </c>
      <c r="C17" s="43">
        <f>IF(_calc!$E$19="","","Contractor document")</f>
        <v/>
      </c>
      <c r="D17" s="43">
        <f>IF(_calc!$E$19="","",IF(ISNUMBER(INDEX('Documents'!$E$4:$E$503,_calc!$E$19)),TEXT(INDEX('Documents'!$E$4:$E$503,_calc!$E$19),"yyyy-mm-dd"),""))</f>
        <v/>
      </c>
      <c r="E17" s="43">
        <f>IF(_calc!$E$19="","",IF(LEN(INDEX('Documents'!$N$4:$N$503,_calc!$E$19))=0,"",INDEX('Documents'!$N$4:$N$503,_calc!$E$19)))</f>
        <v/>
      </c>
      <c r="F17" s="43">
        <f>IF(_calc!$E$19="","",TRIM(IF(LEN(IF(LEN(INDEX('Documents'!$B$4:$B$503,_calc!$E$19))=0,"",INDEX('Documents'!$B$4:$B$503,_calc!$E$19)))=0,"","Trade: "&amp;IF(LEN(INDEX('Documents'!$B$4:$B$503,_calc!$E$19))=0,"",INDEX('Documents'!$B$4:$B$503,_calc!$E$19))&amp;". ")&amp;IF(LEN(IF(LEN(INDEX('Documents'!$D$4:$D$503,_calc!$E$19))=0,"",INDEX('Documents'!$D$4:$D$503,_calc!$E$19)))=0,"","Ref: "&amp;IF(LEN(INDEX('Documents'!$D$4:$D$503,_calc!$E$19))=0,"",INDEX('Documents'!$D$4:$D$503,_calc!$E$19))&amp;". ")&amp;IF(LEN(IF(LEN(INDEX('Documents'!$K$4:$K$503,_calc!$E$19))=0,"",INDEX('Documents'!$K$4:$K$503,_calc!$E$19)))=0,"","On file: "&amp;IF(LEN(INDEX('Documents'!$K$4:$K$503,_calc!$E$19))=0,"",INDEX('Documents'!$K$4:$K$503,_calc!$E$19))&amp;". ")&amp;IF(LEN(IF(LEN(INDEX('Documents'!$L$4:$L$503,_calc!$E$19))=0,"",INDEX('Documents'!$L$4:$L$503,_calc!$E$19)))=0,"","Contractor email: "&amp;IF(LEN(INDEX('Documents'!$L$4:$L$503,_calc!$E$19))=0,"",INDEX('Documents'!$L$4:$L$503,_calc!$E$19))&amp;". ")&amp;IF(LEN(IF(LEN(INDEX('Documents'!$P$4:$P$503,_calc!$E$19))=0,"",INDEX('Documents'!$P$4:$P$503,_calc!$E$19)))=0,"",IF(LEN(INDEX('Documents'!$P$4:$P$503,_calc!$E$19))=0,"",INDEX('Documents'!$P$4:$P$503,_calc!$E$19)))))</f>
        <v/>
      </c>
      <c r="G17" s="43">
        <f>IF(_calc!$E$19="","",IF(LEN(INDEX('Documents'!$O$4:$O$503,_calc!$E$19))=0,"",INDEX('Documents'!$O$4:$O$503,_calc!$E$19)))</f>
        <v/>
      </c>
      <c r="K17" s="43">
        <f>IF(_calc!$E$19="","",IF(LEN(INDEX('Documents'!$M$4:$M$503,_calc!$E$19))=0,"",INDEX('Documents'!$M$4:$M$503,_calc!$E$19)))</f>
        <v/>
      </c>
    </row>
    <row r="18">
      <c r="A18" s="43">
        <f>IF(_calc!$E$20="","",IF(LEN(INDEX('Documents'!$C$4:$C$503,_calc!$E$20))=0,"",INDEX('Documents'!$C$4:$C$503,_calc!$E$20))&amp;" – "&amp;IF(LEN(INDEX('Documents'!$A$4:$A$503,_calc!$E$20))=0,"",INDEX('Documents'!$A$4:$A$503,_calc!$E$20)))</f>
        <v/>
      </c>
      <c r="B18" s="43">
        <f>IF(_calc!$E$20="","",IF(ISNUMBER(INDEX('Documents'!$F$4:$F$503,_calc!$E$20)),TEXT(INDEX('Documents'!$F$4:$F$503,_calc!$E$20),"yyyy-mm-dd"),""))</f>
        <v/>
      </c>
      <c r="C18" s="43">
        <f>IF(_calc!$E$20="","","Contractor document")</f>
        <v/>
      </c>
      <c r="D18" s="43">
        <f>IF(_calc!$E$20="","",IF(ISNUMBER(INDEX('Documents'!$E$4:$E$503,_calc!$E$20)),TEXT(INDEX('Documents'!$E$4:$E$503,_calc!$E$20),"yyyy-mm-dd"),""))</f>
        <v/>
      </c>
      <c r="E18" s="43">
        <f>IF(_calc!$E$20="","",IF(LEN(INDEX('Documents'!$N$4:$N$503,_calc!$E$20))=0,"",INDEX('Documents'!$N$4:$N$503,_calc!$E$20)))</f>
        <v/>
      </c>
      <c r="F18" s="43">
        <f>IF(_calc!$E$20="","",TRIM(IF(LEN(IF(LEN(INDEX('Documents'!$B$4:$B$503,_calc!$E$20))=0,"",INDEX('Documents'!$B$4:$B$503,_calc!$E$20)))=0,"","Trade: "&amp;IF(LEN(INDEX('Documents'!$B$4:$B$503,_calc!$E$20))=0,"",INDEX('Documents'!$B$4:$B$503,_calc!$E$20))&amp;". ")&amp;IF(LEN(IF(LEN(INDEX('Documents'!$D$4:$D$503,_calc!$E$20))=0,"",INDEX('Documents'!$D$4:$D$503,_calc!$E$20)))=0,"","Ref: "&amp;IF(LEN(INDEX('Documents'!$D$4:$D$503,_calc!$E$20))=0,"",INDEX('Documents'!$D$4:$D$503,_calc!$E$20))&amp;". ")&amp;IF(LEN(IF(LEN(INDEX('Documents'!$K$4:$K$503,_calc!$E$20))=0,"",INDEX('Documents'!$K$4:$K$503,_calc!$E$20)))=0,"","On file: "&amp;IF(LEN(INDEX('Documents'!$K$4:$K$503,_calc!$E$20))=0,"",INDEX('Documents'!$K$4:$K$503,_calc!$E$20))&amp;". ")&amp;IF(LEN(IF(LEN(INDEX('Documents'!$L$4:$L$503,_calc!$E$20))=0,"",INDEX('Documents'!$L$4:$L$503,_calc!$E$20)))=0,"","Contractor email: "&amp;IF(LEN(INDEX('Documents'!$L$4:$L$503,_calc!$E$20))=0,"",INDEX('Documents'!$L$4:$L$503,_calc!$E$20))&amp;". ")&amp;IF(LEN(IF(LEN(INDEX('Documents'!$P$4:$P$503,_calc!$E$20))=0,"",INDEX('Documents'!$P$4:$P$503,_calc!$E$20)))=0,"",IF(LEN(INDEX('Documents'!$P$4:$P$503,_calc!$E$20))=0,"",INDEX('Documents'!$P$4:$P$503,_calc!$E$20)))))</f>
        <v/>
      </c>
      <c r="G18" s="43">
        <f>IF(_calc!$E$20="","",IF(LEN(INDEX('Documents'!$O$4:$O$503,_calc!$E$20))=0,"",INDEX('Documents'!$O$4:$O$503,_calc!$E$20)))</f>
        <v/>
      </c>
      <c r="K18" s="43">
        <f>IF(_calc!$E$20="","",IF(LEN(INDEX('Documents'!$M$4:$M$503,_calc!$E$20))=0,"",INDEX('Documents'!$M$4:$M$503,_calc!$E$20)))</f>
        <v/>
      </c>
    </row>
    <row r="19">
      <c r="A19" s="43">
        <f>IF(_calc!$E$21="","",IF(LEN(INDEX('Documents'!$C$4:$C$503,_calc!$E$21))=0,"",INDEX('Documents'!$C$4:$C$503,_calc!$E$21))&amp;" – "&amp;IF(LEN(INDEX('Documents'!$A$4:$A$503,_calc!$E$21))=0,"",INDEX('Documents'!$A$4:$A$503,_calc!$E$21)))</f>
        <v/>
      </c>
      <c r="B19" s="43">
        <f>IF(_calc!$E$21="","",IF(ISNUMBER(INDEX('Documents'!$F$4:$F$503,_calc!$E$21)),TEXT(INDEX('Documents'!$F$4:$F$503,_calc!$E$21),"yyyy-mm-dd"),""))</f>
        <v/>
      </c>
      <c r="C19" s="43">
        <f>IF(_calc!$E$21="","","Contractor document")</f>
        <v/>
      </c>
      <c r="D19" s="43">
        <f>IF(_calc!$E$21="","",IF(ISNUMBER(INDEX('Documents'!$E$4:$E$503,_calc!$E$21)),TEXT(INDEX('Documents'!$E$4:$E$503,_calc!$E$21),"yyyy-mm-dd"),""))</f>
        <v/>
      </c>
      <c r="E19" s="43">
        <f>IF(_calc!$E$21="","",IF(LEN(INDEX('Documents'!$N$4:$N$503,_calc!$E$21))=0,"",INDEX('Documents'!$N$4:$N$503,_calc!$E$21)))</f>
        <v/>
      </c>
      <c r="F19" s="43">
        <f>IF(_calc!$E$21="","",TRIM(IF(LEN(IF(LEN(INDEX('Documents'!$B$4:$B$503,_calc!$E$21))=0,"",INDEX('Documents'!$B$4:$B$503,_calc!$E$21)))=0,"","Trade: "&amp;IF(LEN(INDEX('Documents'!$B$4:$B$503,_calc!$E$21))=0,"",INDEX('Documents'!$B$4:$B$503,_calc!$E$21))&amp;". ")&amp;IF(LEN(IF(LEN(INDEX('Documents'!$D$4:$D$503,_calc!$E$21))=0,"",INDEX('Documents'!$D$4:$D$503,_calc!$E$21)))=0,"","Ref: "&amp;IF(LEN(INDEX('Documents'!$D$4:$D$503,_calc!$E$21))=0,"",INDEX('Documents'!$D$4:$D$503,_calc!$E$21))&amp;". ")&amp;IF(LEN(IF(LEN(INDEX('Documents'!$K$4:$K$503,_calc!$E$21))=0,"",INDEX('Documents'!$K$4:$K$503,_calc!$E$21)))=0,"","On file: "&amp;IF(LEN(INDEX('Documents'!$K$4:$K$503,_calc!$E$21))=0,"",INDEX('Documents'!$K$4:$K$503,_calc!$E$21))&amp;". ")&amp;IF(LEN(IF(LEN(INDEX('Documents'!$L$4:$L$503,_calc!$E$21))=0,"",INDEX('Documents'!$L$4:$L$503,_calc!$E$21)))=0,"","Contractor email: "&amp;IF(LEN(INDEX('Documents'!$L$4:$L$503,_calc!$E$21))=0,"",INDEX('Documents'!$L$4:$L$503,_calc!$E$21))&amp;". ")&amp;IF(LEN(IF(LEN(INDEX('Documents'!$P$4:$P$503,_calc!$E$21))=0,"",INDEX('Documents'!$P$4:$P$503,_calc!$E$21)))=0,"",IF(LEN(INDEX('Documents'!$P$4:$P$503,_calc!$E$21))=0,"",INDEX('Documents'!$P$4:$P$503,_calc!$E$21)))))</f>
        <v/>
      </c>
      <c r="G19" s="43">
        <f>IF(_calc!$E$21="","",IF(LEN(INDEX('Documents'!$O$4:$O$503,_calc!$E$21))=0,"",INDEX('Documents'!$O$4:$O$503,_calc!$E$21)))</f>
        <v/>
      </c>
      <c r="K19" s="43">
        <f>IF(_calc!$E$21="","",IF(LEN(INDEX('Documents'!$M$4:$M$503,_calc!$E$21))=0,"",INDEX('Documents'!$M$4:$M$503,_calc!$E$21)))</f>
        <v/>
      </c>
    </row>
    <row r="20">
      <c r="A20" s="43">
        <f>IF(_calc!$E$22="","",IF(LEN(INDEX('Documents'!$C$4:$C$503,_calc!$E$22))=0,"",INDEX('Documents'!$C$4:$C$503,_calc!$E$22))&amp;" – "&amp;IF(LEN(INDEX('Documents'!$A$4:$A$503,_calc!$E$22))=0,"",INDEX('Documents'!$A$4:$A$503,_calc!$E$22)))</f>
        <v/>
      </c>
      <c r="B20" s="43">
        <f>IF(_calc!$E$22="","",IF(ISNUMBER(INDEX('Documents'!$F$4:$F$503,_calc!$E$22)),TEXT(INDEX('Documents'!$F$4:$F$503,_calc!$E$22),"yyyy-mm-dd"),""))</f>
        <v/>
      </c>
      <c r="C20" s="43">
        <f>IF(_calc!$E$22="","","Contractor document")</f>
        <v/>
      </c>
      <c r="D20" s="43">
        <f>IF(_calc!$E$22="","",IF(ISNUMBER(INDEX('Documents'!$E$4:$E$503,_calc!$E$22)),TEXT(INDEX('Documents'!$E$4:$E$503,_calc!$E$22),"yyyy-mm-dd"),""))</f>
        <v/>
      </c>
      <c r="E20" s="43">
        <f>IF(_calc!$E$22="","",IF(LEN(INDEX('Documents'!$N$4:$N$503,_calc!$E$22))=0,"",INDEX('Documents'!$N$4:$N$503,_calc!$E$22)))</f>
        <v/>
      </c>
      <c r="F20" s="43">
        <f>IF(_calc!$E$22="","",TRIM(IF(LEN(IF(LEN(INDEX('Documents'!$B$4:$B$503,_calc!$E$22))=0,"",INDEX('Documents'!$B$4:$B$503,_calc!$E$22)))=0,"","Trade: "&amp;IF(LEN(INDEX('Documents'!$B$4:$B$503,_calc!$E$22))=0,"",INDEX('Documents'!$B$4:$B$503,_calc!$E$22))&amp;". ")&amp;IF(LEN(IF(LEN(INDEX('Documents'!$D$4:$D$503,_calc!$E$22))=0,"",INDEX('Documents'!$D$4:$D$503,_calc!$E$22)))=0,"","Ref: "&amp;IF(LEN(INDEX('Documents'!$D$4:$D$503,_calc!$E$22))=0,"",INDEX('Documents'!$D$4:$D$503,_calc!$E$22))&amp;". ")&amp;IF(LEN(IF(LEN(INDEX('Documents'!$K$4:$K$503,_calc!$E$22))=0,"",INDEX('Documents'!$K$4:$K$503,_calc!$E$22)))=0,"","On file: "&amp;IF(LEN(INDEX('Documents'!$K$4:$K$503,_calc!$E$22))=0,"",INDEX('Documents'!$K$4:$K$503,_calc!$E$22))&amp;". ")&amp;IF(LEN(IF(LEN(INDEX('Documents'!$L$4:$L$503,_calc!$E$22))=0,"",INDEX('Documents'!$L$4:$L$503,_calc!$E$22)))=0,"","Contractor email: "&amp;IF(LEN(INDEX('Documents'!$L$4:$L$503,_calc!$E$22))=0,"",INDEX('Documents'!$L$4:$L$503,_calc!$E$22))&amp;". ")&amp;IF(LEN(IF(LEN(INDEX('Documents'!$P$4:$P$503,_calc!$E$22))=0,"",INDEX('Documents'!$P$4:$P$503,_calc!$E$22)))=0,"",IF(LEN(INDEX('Documents'!$P$4:$P$503,_calc!$E$22))=0,"",INDEX('Documents'!$P$4:$P$503,_calc!$E$22)))))</f>
        <v/>
      </c>
      <c r="G20" s="43">
        <f>IF(_calc!$E$22="","",IF(LEN(INDEX('Documents'!$O$4:$O$503,_calc!$E$22))=0,"",INDEX('Documents'!$O$4:$O$503,_calc!$E$22)))</f>
        <v/>
      </c>
      <c r="K20" s="43">
        <f>IF(_calc!$E$22="","",IF(LEN(INDEX('Documents'!$M$4:$M$503,_calc!$E$22))=0,"",INDEX('Documents'!$M$4:$M$503,_calc!$E$22)))</f>
        <v/>
      </c>
    </row>
    <row r="21">
      <c r="A21" s="43">
        <f>IF(_calc!$E$23="","",IF(LEN(INDEX('Documents'!$C$4:$C$503,_calc!$E$23))=0,"",INDEX('Documents'!$C$4:$C$503,_calc!$E$23))&amp;" – "&amp;IF(LEN(INDEX('Documents'!$A$4:$A$503,_calc!$E$23))=0,"",INDEX('Documents'!$A$4:$A$503,_calc!$E$23)))</f>
        <v/>
      </c>
      <c r="B21" s="43">
        <f>IF(_calc!$E$23="","",IF(ISNUMBER(INDEX('Documents'!$F$4:$F$503,_calc!$E$23)),TEXT(INDEX('Documents'!$F$4:$F$503,_calc!$E$23),"yyyy-mm-dd"),""))</f>
        <v/>
      </c>
      <c r="C21" s="43">
        <f>IF(_calc!$E$23="","","Contractor document")</f>
        <v/>
      </c>
      <c r="D21" s="43">
        <f>IF(_calc!$E$23="","",IF(ISNUMBER(INDEX('Documents'!$E$4:$E$503,_calc!$E$23)),TEXT(INDEX('Documents'!$E$4:$E$503,_calc!$E$23),"yyyy-mm-dd"),""))</f>
        <v/>
      </c>
      <c r="E21" s="43">
        <f>IF(_calc!$E$23="","",IF(LEN(INDEX('Documents'!$N$4:$N$503,_calc!$E$23))=0,"",INDEX('Documents'!$N$4:$N$503,_calc!$E$23)))</f>
        <v/>
      </c>
      <c r="F21" s="43">
        <f>IF(_calc!$E$23="","",TRIM(IF(LEN(IF(LEN(INDEX('Documents'!$B$4:$B$503,_calc!$E$23))=0,"",INDEX('Documents'!$B$4:$B$503,_calc!$E$23)))=0,"","Trade: "&amp;IF(LEN(INDEX('Documents'!$B$4:$B$503,_calc!$E$23))=0,"",INDEX('Documents'!$B$4:$B$503,_calc!$E$23))&amp;". ")&amp;IF(LEN(IF(LEN(INDEX('Documents'!$D$4:$D$503,_calc!$E$23))=0,"",INDEX('Documents'!$D$4:$D$503,_calc!$E$23)))=0,"","Ref: "&amp;IF(LEN(INDEX('Documents'!$D$4:$D$503,_calc!$E$23))=0,"",INDEX('Documents'!$D$4:$D$503,_calc!$E$23))&amp;". ")&amp;IF(LEN(IF(LEN(INDEX('Documents'!$K$4:$K$503,_calc!$E$23))=0,"",INDEX('Documents'!$K$4:$K$503,_calc!$E$23)))=0,"","On file: "&amp;IF(LEN(INDEX('Documents'!$K$4:$K$503,_calc!$E$23))=0,"",INDEX('Documents'!$K$4:$K$503,_calc!$E$23))&amp;". ")&amp;IF(LEN(IF(LEN(INDEX('Documents'!$L$4:$L$503,_calc!$E$23))=0,"",INDEX('Documents'!$L$4:$L$503,_calc!$E$23)))=0,"","Contractor email: "&amp;IF(LEN(INDEX('Documents'!$L$4:$L$503,_calc!$E$23))=0,"",INDEX('Documents'!$L$4:$L$503,_calc!$E$23))&amp;". ")&amp;IF(LEN(IF(LEN(INDEX('Documents'!$P$4:$P$503,_calc!$E$23))=0,"",INDEX('Documents'!$P$4:$P$503,_calc!$E$23)))=0,"",IF(LEN(INDEX('Documents'!$P$4:$P$503,_calc!$E$23))=0,"",INDEX('Documents'!$P$4:$P$503,_calc!$E$23)))))</f>
        <v/>
      </c>
      <c r="G21" s="43">
        <f>IF(_calc!$E$23="","",IF(LEN(INDEX('Documents'!$O$4:$O$503,_calc!$E$23))=0,"",INDEX('Documents'!$O$4:$O$503,_calc!$E$23)))</f>
        <v/>
      </c>
      <c r="K21" s="43">
        <f>IF(_calc!$E$23="","",IF(LEN(INDEX('Documents'!$M$4:$M$503,_calc!$E$23))=0,"",INDEX('Documents'!$M$4:$M$503,_calc!$E$23)))</f>
        <v/>
      </c>
    </row>
    <row r="22">
      <c r="A22" s="43">
        <f>IF(_calc!$E$24="","",IF(LEN(INDEX('Documents'!$C$4:$C$503,_calc!$E$24))=0,"",INDEX('Documents'!$C$4:$C$503,_calc!$E$24))&amp;" – "&amp;IF(LEN(INDEX('Documents'!$A$4:$A$503,_calc!$E$24))=0,"",INDEX('Documents'!$A$4:$A$503,_calc!$E$24)))</f>
        <v/>
      </c>
      <c r="B22" s="43">
        <f>IF(_calc!$E$24="","",IF(ISNUMBER(INDEX('Documents'!$F$4:$F$503,_calc!$E$24)),TEXT(INDEX('Documents'!$F$4:$F$503,_calc!$E$24),"yyyy-mm-dd"),""))</f>
        <v/>
      </c>
      <c r="C22" s="43">
        <f>IF(_calc!$E$24="","","Contractor document")</f>
        <v/>
      </c>
      <c r="D22" s="43">
        <f>IF(_calc!$E$24="","",IF(ISNUMBER(INDEX('Documents'!$E$4:$E$503,_calc!$E$24)),TEXT(INDEX('Documents'!$E$4:$E$503,_calc!$E$24),"yyyy-mm-dd"),""))</f>
        <v/>
      </c>
      <c r="E22" s="43">
        <f>IF(_calc!$E$24="","",IF(LEN(INDEX('Documents'!$N$4:$N$503,_calc!$E$24))=0,"",INDEX('Documents'!$N$4:$N$503,_calc!$E$24)))</f>
        <v/>
      </c>
      <c r="F22" s="43">
        <f>IF(_calc!$E$24="","",TRIM(IF(LEN(IF(LEN(INDEX('Documents'!$B$4:$B$503,_calc!$E$24))=0,"",INDEX('Documents'!$B$4:$B$503,_calc!$E$24)))=0,"","Trade: "&amp;IF(LEN(INDEX('Documents'!$B$4:$B$503,_calc!$E$24))=0,"",INDEX('Documents'!$B$4:$B$503,_calc!$E$24))&amp;". ")&amp;IF(LEN(IF(LEN(INDEX('Documents'!$D$4:$D$503,_calc!$E$24))=0,"",INDEX('Documents'!$D$4:$D$503,_calc!$E$24)))=0,"","Ref: "&amp;IF(LEN(INDEX('Documents'!$D$4:$D$503,_calc!$E$24))=0,"",INDEX('Documents'!$D$4:$D$503,_calc!$E$24))&amp;". ")&amp;IF(LEN(IF(LEN(INDEX('Documents'!$K$4:$K$503,_calc!$E$24))=0,"",INDEX('Documents'!$K$4:$K$503,_calc!$E$24)))=0,"","On file: "&amp;IF(LEN(INDEX('Documents'!$K$4:$K$503,_calc!$E$24))=0,"",INDEX('Documents'!$K$4:$K$503,_calc!$E$24))&amp;". ")&amp;IF(LEN(IF(LEN(INDEX('Documents'!$L$4:$L$503,_calc!$E$24))=0,"",INDEX('Documents'!$L$4:$L$503,_calc!$E$24)))=0,"","Contractor email: "&amp;IF(LEN(INDEX('Documents'!$L$4:$L$503,_calc!$E$24))=0,"",INDEX('Documents'!$L$4:$L$503,_calc!$E$24))&amp;". ")&amp;IF(LEN(IF(LEN(INDEX('Documents'!$P$4:$P$503,_calc!$E$24))=0,"",INDEX('Documents'!$P$4:$P$503,_calc!$E$24)))=0,"",IF(LEN(INDEX('Documents'!$P$4:$P$503,_calc!$E$24))=0,"",INDEX('Documents'!$P$4:$P$503,_calc!$E$24)))))</f>
        <v/>
      </c>
      <c r="G22" s="43">
        <f>IF(_calc!$E$24="","",IF(LEN(INDEX('Documents'!$O$4:$O$503,_calc!$E$24))=0,"",INDEX('Documents'!$O$4:$O$503,_calc!$E$24)))</f>
        <v/>
      </c>
      <c r="K22" s="43">
        <f>IF(_calc!$E$24="","",IF(LEN(INDEX('Documents'!$M$4:$M$503,_calc!$E$24))=0,"",INDEX('Documents'!$M$4:$M$503,_calc!$E$24)))</f>
        <v/>
      </c>
    </row>
    <row r="23">
      <c r="A23" s="43">
        <f>IF(_calc!$E$25="","",IF(LEN(INDEX('Documents'!$C$4:$C$503,_calc!$E$25))=0,"",INDEX('Documents'!$C$4:$C$503,_calc!$E$25))&amp;" – "&amp;IF(LEN(INDEX('Documents'!$A$4:$A$503,_calc!$E$25))=0,"",INDEX('Documents'!$A$4:$A$503,_calc!$E$25)))</f>
        <v/>
      </c>
      <c r="B23" s="43">
        <f>IF(_calc!$E$25="","",IF(ISNUMBER(INDEX('Documents'!$F$4:$F$503,_calc!$E$25)),TEXT(INDEX('Documents'!$F$4:$F$503,_calc!$E$25),"yyyy-mm-dd"),""))</f>
        <v/>
      </c>
      <c r="C23" s="43">
        <f>IF(_calc!$E$25="","","Contractor document")</f>
        <v/>
      </c>
      <c r="D23" s="43">
        <f>IF(_calc!$E$25="","",IF(ISNUMBER(INDEX('Documents'!$E$4:$E$503,_calc!$E$25)),TEXT(INDEX('Documents'!$E$4:$E$503,_calc!$E$25),"yyyy-mm-dd"),""))</f>
        <v/>
      </c>
      <c r="E23" s="43">
        <f>IF(_calc!$E$25="","",IF(LEN(INDEX('Documents'!$N$4:$N$503,_calc!$E$25))=0,"",INDEX('Documents'!$N$4:$N$503,_calc!$E$25)))</f>
        <v/>
      </c>
      <c r="F23" s="43">
        <f>IF(_calc!$E$25="","",TRIM(IF(LEN(IF(LEN(INDEX('Documents'!$B$4:$B$503,_calc!$E$25))=0,"",INDEX('Documents'!$B$4:$B$503,_calc!$E$25)))=0,"","Trade: "&amp;IF(LEN(INDEX('Documents'!$B$4:$B$503,_calc!$E$25))=0,"",INDEX('Documents'!$B$4:$B$503,_calc!$E$25))&amp;". ")&amp;IF(LEN(IF(LEN(INDEX('Documents'!$D$4:$D$503,_calc!$E$25))=0,"",INDEX('Documents'!$D$4:$D$503,_calc!$E$25)))=0,"","Ref: "&amp;IF(LEN(INDEX('Documents'!$D$4:$D$503,_calc!$E$25))=0,"",INDEX('Documents'!$D$4:$D$503,_calc!$E$25))&amp;". ")&amp;IF(LEN(IF(LEN(INDEX('Documents'!$K$4:$K$503,_calc!$E$25))=0,"",INDEX('Documents'!$K$4:$K$503,_calc!$E$25)))=0,"","On file: "&amp;IF(LEN(INDEX('Documents'!$K$4:$K$503,_calc!$E$25))=0,"",INDEX('Documents'!$K$4:$K$503,_calc!$E$25))&amp;". ")&amp;IF(LEN(IF(LEN(INDEX('Documents'!$L$4:$L$503,_calc!$E$25))=0,"",INDEX('Documents'!$L$4:$L$503,_calc!$E$25)))=0,"","Contractor email: "&amp;IF(LEN(INDEX('Documents'!$L$4:$L$503,_calc!$E$25))=0,"",INDEX('Documents'!$L$4:$L$503,_calc!$E$25))&amp;". ")&amp;IF(LEN(IF(LEN(INDEX('Documents'!$P$4:$P$503,_calc!$E$25))=0,"",INDEX('Documents'!$P$4:$P$503,_calc!$E$25)))=0,"",IF(LEN(INDEX('Documents'!$P$4:$P$503,_calc!$E$25))=0,"",INDEX('Documents'!$P$4:$P$503,_calc!$E$25)))))</f>
        <v/>
      </c>
      <c r="G23" s="43">
        <f>IF(_calc!$E$25="","",IF(LEN(INDEX('Documents'!$O$4:$O$503,_calc!$E$25))=0,"",INDEX('Documents'!$O$4:$O$503,_calc!$E$25)))</f>
        <v/>
      </c>
      <c r="K23" s="43">
        <f>IF(_calc!$E$25="","",IF(LEN(INDEX('Documents'!$M$4:$M$503,_calc!$E$25))=0,"",INDEX('Documents'!$M$4:$M$503,_calc!$E$25)))</f>
        <v/>
      </c>
    </row>
    <row r="24">
      <c r="A24" s="43">
        <f>IF(_calc!$E$26="","",IF(LEN(INDEX('Documents'!$C$4:$C$503,_calc!$E$26))=0,"",INDEX('Documents'!$C$4:$C$503,_calc!$E$26))&amp;" – "&amp;IF(LEN(INDEX('Documents'!$A$4:$A$503,_calc!$E$26))=0,"",INDEX('Documents'!$A$4:$A$503,_calc!$E$26)))</f>
        <v/>
      </c>
      <c r="B24" s="43">
        <f>IF(_calc!$E$26="","",IF(ISNUMBER(INDEX('Documents'!$F$4:$F$503,_calc!$E$26)),TEXT(INDEX('Documents'!$F$4:$F$503,_calc!$E$26),"yyyy-mm-dd"),""))</f>
        <v/>
      </c>
      <c r="C24" s="43">
        <f>IF(_calc!$E$26="","","Contractor document")</f>
        <v/>
      </c>
      <c r="D24" s="43">
        <f>IF(_calc!$E$26="","",IF(ISNUMBER(INDEX('Documents'!$E$4:$E$503,_calc!$E$26)),TEXT(INDEX('Documents'!$E$4:$E$503,_calc!$E$26),"yyyy-mm-dd"),""))</f>
        <v/>
      </c>
      <c r="E24" s="43">
        <f>IF(_calc!$E$26="","",IF(LEN(INDEX('Documents'!$N$4:$N$503,_calc!$E$26))=0,"",INDEX('Documents'!$N$4:$N$503,_calc!$E$26)))</f>
        <v/>
      </c>
      <c r="F24" s="43">
        <f>IF(_calc!$E$26="","",TRIM(IF(LEN(IF(LEN(INDEX('Documents'!$B$4:$B$503,_calc!$E$26))=0,"",INDEX('Documents'!$B$4:$B$503,_calc!$E$26)))=0,"","Trade: "&amp;IF(LEN(INDEX('Documents'!$B$4:$B$503,_calc!$E$26))=0,"",INDEX('Documents'!$B$4:$B$503,_calc!$E$26))&amp;". ")&amp;IF(LEN(IF(LEN(INDEX('Documents'!$D$4:$D$503,_calc!$E$26))=0,"",INDEX('Documents'!$D$4:$D$503,_calc!$E$26)))=0,"","Ref: "&amp;IF(LEN(INDEX('Documents'!$D$4:$D$503,_calc!$E$26))=0,"",INDEX('Documents'!$D$4:$D$503,_calc!$E$26))&amp;". ")&amp;IF(LEN(IF(LEN(INDEX('Documents'!$K$4:$K$503,_calc!$E$26))=0,"",INDEX('Documents'!$K$4:$K$503,_calc!$E$26)))=0,"","On file: "&amp;IF(LEN(INDEX('Documents'!$K$4:$K$503,_calc!$E$26))=0,"",INDEX('Documents'!$K$4:$K$503,_calc!$E$26))&amp;". ")&amp;IF(LEN(IF(LEN(INDEX('Documents'!$L$4:$L$503,_calc!$E$26))=0,"",INDEX('Documents'!$L$4:$L$503,_calc!$E$26)))=0,"","Contractor email: "&amp;IF(LEN(INDEX('Documents'!$L$4:$L$503,_calc!$E$26))=0,"",INDEX('Documents'!$L$4:$L$503,_calc!$E$26))&amp;". ")&amp;IF(LEN(IF(LEN(INDEX('Documents'!$P$4:$P$503,_calc!$E$26))=0,"",INDEX('Documents'!$P$4:$P$503,_calc!$E$26)))=0,"",IF(LEN(INDEX('Documents'!$P$4:$P$503,_calc!$E$26))=0,"",INDEX('Documents'!$P$4:$P$503,_calc!$E$26)))))</f>
        <v/>
      </c>
      <c r="G24" s="43">
        <f>IF(_calc!$E$26="","",IF(LEN(INDEX('Documents'!$O$4:$O$503,_calc!$E$26))=0,"",INDEX('Documents'!$O$4:$O$503,_calc!$E$26)))</f>
        <v/>
      </c>
      <c r="K24" s="43">
        <f>IF(_calc!$E$26="","",IF(LEN(INDEX('Documents'!$M$4:$M$503,_calc!$E$26))=0,"",INDEX('Documents'!$M$4:$M$503,_calc!$E$26)))</f>
        <v/>
      </c>
    </row>
    <row r="25">
      <c r="A25" s="43">
        <f>IF(_calc!$E$27="","",IF(LEN(INDEX('Documents'!$C$4:$C$503,_calc!$E$27))=0,"",INDEX('Documents'!$C$4:$C$503,_calc!$E$27))&amp;" – "&amp;IF(LEN(INDEX('Documents'!$A$4:$A$503,_calc!$E$27))=0,"",INDEX('Documents'!$A$4:$A$503,_calc!$E$27)))</f>
        <v/>
      </c>
      <c r="B25" s="43">
        <f>IF(_calc!$E$27="","",IF(ISNUMBER(INDEX('Documents'!$F$4:$F$503,_calc!$E$27)),TEXT(INDEX('Documents'!$F$4:$F$503,_calc!$E$27),"yyyy-mm-dd"),""))</f>
        <v/>
      </c>
      <c r="C25" s="43">
        <f>IF(_calc!$E$27="","","Contractor document")</f>
        <v/>
      </c>
      <c r="D25" s="43">
        <f>IF(_calc!$E$27="","",IF(ISNUMBER(INDEX('Documents'!$E$4:$E$503,_calc!$E$27)),TEXT(INDEX('Documents'!$E$4:$E$503,_calc!$E$27),"yyyy-mm-dd"),""))</f>
        <v/>
      </c>
      <c r="E25" s="43">
        <f>IF(_calc!$E$27="","",IF(LEN(INDEX('Documents'!$N$4:$N$503,_calc!$E$27))=0,"",INDEX('Documents'!$N$4:$N$503,_calc!$E$27)))</f>
        <v/>
      </c>
      <c r="F25" s="43">
        <f>IF(_calc!$E$27="","",TRIM(IF(LEN(IF(LEN(INDEX('Documents'!$B$4:$B$503,_calc!$E$27))=0,"",INDEX('Documents'!$B$4:$B$503,_calc!$E$27)))=0,"","Trade: "&amp;IF(LEN(INDEX('Documents'!$B$4:$B$503,_calc!$E$27))=0,"",INDEX('Documents'!$B$4:$B$503,_calc!$E$27))&amp;". ")&amp;IF(LEN(IF(LEN(INDEX('Documents'!$D$4:$D$503,_calc!$E$27))=0,"",INDEX('Documents'!$D$4:$D$503,_calc!$E$27)))=0,"","Ref: "&amp;IF(LEN(INDEX('Documents'!$D$4:$D$503,_calc!$E$27))=0,"",INDEX('Documents'!$D$4:$D$503,_calc!$E$27))&amp;". ")&amp;IF(LEN(IF(LEN(INDEX('Documents'!$K$4:$K$503,_calc!$E$27))=0,"",INDEX('Documents'!$K$4:$K$503,_calc!$E$27)))=0,"","On file: "&amp;IF(LEN(INDEX('Documents'!$K$4:$K$503,_calc!$E$27))=0,"",INDEX('Documents'!$K$4:$K$503,_calc!$E$27))&amp;". ")&amp;IF(LEN(IF(LEN(INDEX('Documents'!$L$4:$L$503,_calc!$E$27))=0,"",INDEX('Documents'!$L$4:$L$503,_calc!$E$27)))=0,"","Contractor email: "&amp;IF(LEN(INDEX('Documents'!$L$4:$L$503,_calc!$E$27))=0,"",INDEX('Documents'!$L$4:$L$503,_calc!$E$27))&amp;". ")&amp;IF(LEN(IF(LEN(INDEX('Documents'!$P$4:$P$503,_calc!$E$27))=0,"",INDEX('Documents'!$P$4:$P$503,_calc!$E$27)))=0,"",IF(LEN(INDEX('Documents'!$P$4:$P$503,_calc!$E$27))=0,"",INDEX('Documents'!$P$4:$P$503,_calc!$E$27)))))</f>
        <v/>
      </c>
      <c r="G25" s="43">
        <f>IF(_calc!$E$27="","",IF(LEN(INDEX('Documents'!$O$4:$O$503,_calc!$E$27))=0,"",INDEX('Documents'!$O$4:$O$503,_calc!$E$27)))</f>
        <v/>
      </c>
      <c r="K25" s="43">
        <f>IF(_calc!$E$27="","",IF(LEN(INDEX('Documents'!$M$4:$M$503,_calc!$E$27))=0,"",INDEX('Documents'!$M$4:$M$503,_calc!$E$27)))</f>
        <v/>
      </c>
    </row>
    <row r="26">
      <c r="A26" s="43">
        <f>IF(_calc!$E$28="","",IF(LEN(INDEX('Documents'!$C$4:$C$503,_calc!$E$28))=0,"",INDEX('Documents'!$C$4:$C$503,_calc!$E$28))&amp;" – "&amp;IF(LEN(INDEX('Documents'!$A$4:$A$503,_calc!$E$28))=0,"",INDEX('Documents'!$A$4:$A$503,_calc!$E$28)))</f>
        <v/>
      </c>
      <c r="B26" s="43">
        <f>IF(_calc!$E$28="","",IF(ISNUMBER(INDEX('Documents'!$F$4:$F$503,_calc!$E$28)),TEXT(INDEX('Documents'!$F$4:$F$503,_calc!$E$28),"yyyy-mm-dd"),""))</f>
        <v/>
      </c>
      <c r="C26" s="43">
        <f>IF(_calc!$E$28="","","Contractor document")</f>
        <v/>
      </c>
      <c r="D26" s="43">
        <f>IF(_calc!$E$28="","",IF(ISNUMBER(INDEX('Documents'!$E$4:$E$503,_calc!$E$28)),TEXT(INDEX('Documents'!$E$4:$E$503,_calc!$E$28),"yyyy-mm-dd"),""))</f>
        <v/>
      </c>
      <c r="E26" s="43">
        <f>IF(_calc!$E$28="","",IF(LEN(INDEX('Documents'!$N$4:$N$503,_calc!$E$28))=0,"",INDEX('Documents'!$N$4:$N$503,_calc!$E$28)))</f>
        <v/>
      </c>
      <c r="F26" s="43">
        <f>IF(_calc!$E$28="","",TRIM(IF(LEN(IF(LEN(INDEX('Documents'!$B$4:$B$503,_calc!$E$28))=0,"",INDEX('Documents'!$B$4:$B$503,_calc!$E$28)))=0,"","Trade: "&amp;IF(LEN(INDEX('Documents'!$B$4:$B$503,_calc!$E$28))=0,"",INDEX('Documents'!$B$4:$B$503,_calc!$E$28))&amp;". ")&amp;IF(LEN(IF(LEN(INDEX('Documents'!$D$4:$D$503,_calc!$E$28))=0,"",INDEX('Documents'!$D$4:$D$503,_calc!$E$28)))=0,"","Ref: "&amp;IF(LEN(INDEX('Documents'!$D$4:$D$503,_calc!$E$28))=0,"",INDEX('Documents'!$D$4:$D$503,_calc!$E$28))&amp;". ")&amp;IF(LEN(IF(LEN(INDEX('Documents'!$K$4:$K$503,_calc!$E$28))=0,"",INDEX('Documents'!$K$4:$K$503,_calc!$E$28)))=0,"","On file: "&amp;IF(LEN(INDEX('Documents'!$K$4:$K$503,_calc!$E$28))=0,"",INDEX('Documents'!$K$4:$K$503,_calc!$E$28))&amp;". ")&amp;IF(LEN(IF(LEN(INDEX('Documents'!$L$4:$L$503,_calc!$E$28))=0,"",INDEX('Documents'!$L$4:$L$503,_calc!$E$28)))=0,"","Contractor email: "&amp;IF(LEN(INDEX('Documents'!$L$4:$L$503,_calc!$E$28))=0,"",INDEX('Documents'!$L$4:$L$503,_calc!$E$28))&amp;". ")&amp;IF(LEN(IF(LEN(INDEX('Documents'!$P$4:$P$503,_calc!$E$28))=0,"",INDEX('Documents'!$P$4:$P$503,_calc!$E$28)))=0,"",IF(LEN(INDEX('Documents'!$P$4:$P$503,_calc!$E$28))=0,"",INDEX('Documents'!$P$4:$P$503,_calc!$E$28)))))</f>
        <v/>
      </c>
      <c r="G26" s="43">
        <f>IF(_calc!$E$28="","",IF(LEN(INDEX('Documents'!$O$4:$O$503,_calc!$E$28))=0,"",INDEX('Documents'!$O$4:$O$503,_calc!$E$28)))</f>
        <v/>
      </c>
      <c r="K26" s="43">
        <f>IF(_calc!$E$28="","",IF(LEN(INDEX('Documents'!$M$4:$M$503,_calc!$E$28))=0,"",INDEX('Documents'!$M$4:$M$503,_calc!$E$28)))</f>
        <v/>
      </c>
    </row>
    <row r="27">
      <c r="A27" s="43">
        <f>IF(_calc!$E$29="","",IF(LEN(INDEX('Documents'!$C$4:$C$503,_calc!$E$29))=0,"",INDEX('Documents'!$C$4:$C$503,_calc!$E$29))&amp;" – "&amp;IF(LEN(INDEX('Documents'!$A$4:$A$503,_calc!$E$29))=0,"",INDEX('Documents'!$A$4:$A$503,_calc!$E$29)))</f>
        <v/>
      </c>
      <c r="B27" s="43">
        <f>IF(_calc!$E$29="","",IF(ISNUMBER(INDEX('Documents'!$F$4:$F$503,_calc!$E$29)),TEXT(INDEX('Documents'!$F$4:$F$503,_calc!$E$29),"yyyy-mm-dd"),""))</f>
        <v/>
      </c>
      <c r="C27" s="43">
        <f>IF(_calc!$E$29="","","Contractor document")</f>
        <v/>
      </c>
      <c r="D27" s="43">
        <f>IF(_calc!$E$29="","",IF(ISNUMBER(INDEX('Documents'!$E$4:$E$503,_calc!$E$29)),TEXT(INDEX('Documents'!$E$4:$E$503,_calc!$E$29),"yyyy-mm-dd"),""))</f>
        <v/>
      </c>
      <c r="E27" s="43">
        <f>IF(_calc!$E$29="","",IF(LEN(INDEX('Documents'!$N$4:$N$503,_calc!$E$29))=0,"",INDEX('Documents'!$N$4:$N$503,_calc!$E$29)))</f>
        <v/>
      </c>
      <c r="F27" s="43">
        <f>IF(_calc!$E$29="","",TRIM(IF(LEN(IF(LEN(INDEX('Documents'!$B$4:$B$503,_calc!$E$29))=0,"",INDEX('Documents'!$B$4:$B$503,_calc!$E$29)))=0,"","Trade: "&amp;IF(LEN(INDEX('Documents'!$B$4:$B$503,_calc!$E$29))=0,"",INDEX('Documents'!$B$4:$B$503,_calc!$E$29))&amp;". ")&amp;IF(LEN(IF(LEN(INDEX('Documents'!$D$4:$D$503,_calc!$E$29))=0,"",INDEX('Documents'!$D$4:$D$503,_calc!$E$29)))=0,"","Ref: "&amp;IF(LEN(INDEX('Documents'!$D$4:$D$503,_calc!$E$29))=0,"",INDEX('Documents'!$D$4:$D$503,_calc!$E$29))&amp;". ")&amp;IF(LEN(IF(LEN(INDEX('Documents'!$K$4:$K$503,_calc!$E$29))=0,"",INDEX('Documents'!$K$4:$K$503,_calc!$E$29)))=0,"","On file: "&amp;IF(LEN(INDEX('Documents'!$K$4:$K$503,_calc!$E$29))=0,"",INDEX('Documents'!$K$4:$K$503,_calc!$E$29))&amp;". ")&amp;IF(LEN(IF(LEN(INDEX('Documents'!$L$4:$L$503,_calc!$E$29))=0,"",INDEX('Documents'!$L$4:$L$503,_calc!$E$29)))=0,"","Contractor email: "&amp;IF(LEN(INDEX('Documents'!$L$4:$L$503,_calc!$E$29))=0,"",INDEX('Documents'!$L$4:$L$503,_calc!$E$29))&amp;". ")&amp;IF(LEN(IF(LEN(INDEX('Documents'!$P$4:$P$503,_calc!$E$29))=0,"",INDEX('Documents'!$P$4:$P$503,_calc!$E$29)))=0,"",IF(LEN(INDEX('Documents'!$P$4:$P$503,_calc!$E$29))=0,"",INDEX('Documents'!$P$4:$P$503,_calc!$E$29)))))</f>
        <v/>
      </c>
      <c r="G27" s="43">
        <f>IF(_calc!$E$29="","",IF(LEN(INDEX('Documents'!$O$4:$O$503,_calc!$E$29))=0,"",INDEX('Documents'!$O$4:$O$503,_calc!$E$29)))</f>
        <v/>
      </c>
      <c r="K27" s="43">
        <f>IF(_calc!$E$29="","",IF(LEN(INDEX('Documents'!$M$4:$M$503,_calc!$E$29))=0,"",INDEX('Documents'!$M$4:$M$503,_calc!$E$29)))</f>
        <v/>
      </c>
    </row>
    <row r="28">
      <c r="A28" s="43">
        <f>IF(_calc!$E$30="","",IF(LEN(INDEX('Documents'!$C$4:$C$503,_calc!$E$30))=0,"",INDEX('Documents'!$C$4:$C$503,_calc!$E$30))&amp;" – "&amp;IF(LEN(INDEX('Documents'!$A$4:$A$503,_calc!$E$30))=0,"",INDEX('Documents'!$A$4:$A$503,_calc!$E$30)))</f>
        <v/>
      </c>
      <c r="B28" s="43">
        <f>IF(_calc!$E$30="","",IF(ISNUMBER(INDEX('Documents'!$F$4:$F$503,_calc!$E$30)),TEXT(INDEX('Documents'!$F$4:$F$503,_calc!$E$30),"yyyy-mm-dd"),""))</f>
        <v/>
      </c>
      <c r="C28" s="43">
        <f>IF(_calc!$E$30="","","Contractor document")</f>
        <v/>
      </c>
      <c r="D28" s="43">
        <f>IF(_calc!$E$30="","",IF(ISNUMBER(INDEX('Documents'!$E$4:$E$503,_calc!$E$30)),TEXT(INDEX('Documents'!$E$4:$E$503,_calc!$E$30),"yyyy-mm-dd"),""))</f>
        <v/>
      </c>
      <c r="E28" s="43">
        <f>IF(_calc!$E$30="","",IF(LEN(INDEX('Documents'!$N$4:$N$503,_calc!$E$30))=0,"",INDEX('Documents'!$N$4:$N$503,_calc!$E$30)))</f>
        <v/>
      </c>
      <c r="F28" s="43">
        <f>IF(_calc!$E$30="","",TRIM(IF(LEN(IF(LEN(INDEX('Documents'!$B$4:$B$503,_calc!$E$30))=0,"",INDEX('Documents'!$B$4:$B$503,_calc!$E$30)))=0,"","Trade: "&amp;IF(LEN(INDEX('Documents'!$B$4:$B$503,_calc!$E$30))=0,"",INDEX('Documents'!$B$4:$B$503,_calc!$E$30))&amp;". ")&amp;IF(LEN(IF(LEN(INDEX('Documents'!$D$4:$D$503,_calc!$E$30))=0,"",INDEX('Documents'!$D$4:$D$503,_calc!$E$30)))=0,"","Ref: "&amp;IF(LEN(INDEX('Documents'!$D$4:$D$503,_calc!$E$30))=0,"",INDEX('Documents'!$D$4:$D$503,_calc!$E$30))&amp;". ")&amp;IF(LEN(IF(LEN(INDEX('Documents'!$K$4:$K$503,_calc!$E$30))=0,"",INDEX('Documents'!$K$4:$K$503,_calc!$E$30)))=0,"","On file: "&amp;IF(LEN(INDEX('Documents'!$K$4:$K$503,_calc!$E$30))=0,"",INDEX('Documents'!$K$4:$K$503,_calc!$E$30))&amp;". ")&amp;IF(LEN(IF(LEN(INDEX('Documents'!$L$4:$L$503,_calc!$E$30))=0,"",INDEX('Documents'!$L$4:$L$503,_calc!$E$30)))=0,"","Contractor email: "&amp;IF(LEN(INDEX('Documents'!$L$4:$L$503,_calc!$E$30))=0,"",INDEX('Documents'!$L$4:$L$503,_calc!$E$30))&amp;". ")&amp;IF(LEN(IF(LEN(INDEX('Documents'!$P$4:$P$503,_calc!$E$30))=0,"",INDEX('Documents'!$P$4:$P$503,_calc!$E$30)))=0,"",IF(LEN(INDEX('Documents'!$P$4:$P$503,_calc!$E$30))=0,"",INDEX('Documents'!$P$4:$P$503,_calc!$E$30)))))</f>
        <v/>
      </c>
      <c r="G28" s="43">
        <f>IF(_calc!$E$30="","",IF(LEN(INDEX('Documents'!$O$4:$O$503,_calc!$E$30))=0,"",INDEX('Documents'!$O$4:$O$503,_calc!$E$30)))</f>
        <v/>
      </c>
      <c r="K28" s="43">
        <f>IF(_calc!$E$30="","",IF(LEN(INDEX('Documents'!$M$4:$M$503,_calc!$E$30))=0,"",INDEX('Documents'!$M$4:$M$503,_calc!$E$30)))</f>
        <v/>
      </c>
    </row>
    <row r="29">
      <c r="A29" s="43">
        <f>IF(_calc!$E$31="","",IF(LEN(INDEX('Documents'!$C$4:$C$503,_calc!$E$31))=0,"",INDEX('Documents'!$C$4:$C$503,_calc!$E$31))&amp;" – "&amp;IF(LEN(INDEX('Documents'!$A$4:$A$503,_calc!$E$31))=0,"",INDEX('Documents'!$A$4:$A$503,_calc!$E$31)))</f>
        <v/>
      </c>
      <c r="B29" s="43">
        <f>IF(_calc!$E$31="","",IF(ISNUMBER(INDEX('Documents'!$F$4:$F$503,_calc!$E$31)),TEXT(INDEX('Documents'!$F$4:$F$503,_calc!$E$31),"yyyy-mm-dd"),""))</f>
        <v/>
      </c>
      <c r="C29" s="43">
        <f>IF(_calc!$E$31="","","Contractor document")</f>
        <v/>
      </c>
      <c r="D29" s="43">
        <f>IF(_calc!$E$31="","",IF(ISNUMBER(INDEX('Documents'!$E$4:$E$503,_calc!$E$31)),TEXT(INDEX('Documents'!$E$4:$E$503,_calc!$E$31),"yyyy-mm-dd"),""))</f>
        <v/>
      </c>
      <c r="E29" s="43">
        <f>IF(_calc!$E$31="","",IF(LEN(INDEX('Documents'!$N$4:$N$503,_calc!$E$31))=0,"",INDEX('Documents'!$N$4:$N$503,_calc!$E$31)))</f>
        <v/>
      </c>
      <c r="F29" s="43">
        <f>IF(_calc!$E$31="","",TRIM(IF(LEN(IF(LEN(INDEX('Documents'!$B$4:$B$503,_calc!$E$31))=0,"",INDEX('Documents'!$B$4:$B$503,_calc!$E$31)))=0,"","Trade: "&amp;IF(LEN(INDEX('Documents'!$B$4:$B$503,_calc!$E$31))=0,"",INDEX('Documents'!$B$4:$B$503,_calc!$E$31))&amp;". ")&amp;IF(LEN(IF(LEN(INDEX('Documents'!$D$4:$D$503,_calc!$E$31))=0,"",INDEX('Documents'!$D$4:$D$503,_calc!$E$31)))=0,"","Ref: "&amp;IF(LEN(INDEX('Documents'!$D$4:$D$503,_calc!$E$31))=0,"",INDEX('Documents'!$D$4:$D$503,_calc!$E$31))&amp;". ")&amp;IF(LEN(IF(LEN(INDEX('Documents'!$K$4:$K$503,_calc!$E$31))=0,"",INDEX('Documents'!$K$4:$K$503,_calc!$E$31)))=0,"","On file: "&amp;IF(LEN(INDEX('Documents'!$K$4:$K$503,_calc!$E$31))=0,"",INDEX('Documents'!$K$4:$K$503,_calc!$E$31))&amp;". ")&amp;IF(LEN(IF(LEN(INDEX('Documents'!$L$4:$L$503,_calc!$E$31))=0,"",INDEX('Documents'!$L$4:$L$503,_calc!$E$31)))=0,"","Contractor email: "&amp;IF(LEN(INDEX('Documents'!$L$4:$L$503,_calc!$E$31))=0,"",INDEX('Documents'!$L$4:$L$503,_calc!$E$31))&amp;". ")&amp;IF(LEN(IF(LEN(INDEX('Documents'!$P$4:$P$503,_calc!$E$31))=0,"",INDEX('Documents'!$P$4:$P$503,_calc!$E$31)))=0,"",IF(LEN(INDEX('Documents'!$P$4:$P$503,_calc!$E$31))=0,"",INDEX('Documents'!$P$4:$P$503,_calc!$E$31)))))</f>
        <v/>
      </c>
      <c r="G29" s="43">
        <f>IF(_calc!$E$31="","",IF(LEN(INDEX('Documents'!$O$4:$O$503,_calc!$E$31))=0,"",INDEX('Documents'!$O$4:$O$503,_calc!$E$31)))</f>
        <v/>
      </c>
      <c r="K29" s="43">
        <f>IF(_calc!$E$31="","",IF(LEN(INDEX('Documents'!$M$4:$M$503,_calc!$E$31))=0,"",INDEX('Documents'!$M$4:$M$503,_calc!$E$31)))</f>
        <v/>
      </c>
    </row>
    <row r="30">
      <c r="A30" s="43">
        <f>IF(_calc!$E$32="","",IF(LEN(INDEX('Documents'!$C$4:$C$503,_calc!$E$32))=0,"",INDEX('Documents'!$C$4:$C$503,_calc!$E$32))&amp;" – "&amp;IF(LEN(INDEX('Documents'!$A$4:$A$503,_calc!$E$32))=0,"",INDEX('Documents'!$A$4:$A$503,_calc!$E$32)))</f>
        <v/>
      </c>
      <c r="B30" s="43">
        <f>IF(_calc!$E$32="","",IF(ISNUMBER(INDEX('Documents'!$F$4:$F$503,_calc!$E$32)),TEXT(INDEX('Documents'!$F$4:$F$503,_calc!$E$32),"yyyy-mm-dd"),""))</f>
        <v/>
      </c>
      <c r="C30" s="43">
        <f>IF(_calc!$E$32="","","Contractor document")</f>
        <v/>
      </c>
      <c r="D30" s="43">
        <f>IF(_calc!$E$32="","",IF(ISNUMBER(INDEX('Documents'!$E$4:$E$503,_calc!$E$32)),TEXT(INDEX('Documents'!$E$4:$E$503,_calc!$E$32),"yyyy-mm-dd"),""))</f>
        <v/>
      </c>
      <c r="E30" s="43">
        <f>IF(_calc!$E$32="","",IF(LEN(INDEX('Documents'!$N$4:$N$503,_calc!$E$32))=0,"",INDEX('Documents'!$N$4:$N$503,_calc!$E$32)))</f>
        <v/>
      </c>
      <c r="F30" s="43">
        <f>IF(_calc!$E$32="","",TRIM(IF(LEN(IF(LEN(INDEX('Documents'!$B$4:$B$503,_calc!$E$32))=0,"",INDEX('Documents'!$B$4:$B$503,_calc!$E$32)))=0,"","Trade: "&amp;IF(LEN(INDEX('Documents'!$B$4:$B$503,_calc!$E$32))=0,"",INDEX('Documents'!$B$4:$B$503,_calc!$E$32))&amp;". ")&amp;IF(LEN(IF(LEN(INDEX('Documents'!$D$4:$D$503,_calc!$E$32))=0,"",INDEX('Documents'!$D$4:$D$503,_calc!$E$32)))=0,"","Ref: "&amp;IF(LEN(INDEX('Documents'!$D$4:$D$503,_calc!$E$32))=0,"",INDEX('Documents'!$D$4:$D$503,_calc!$E$32))&amp;". ")&amp;IF(LEN(IF(LEN(INDEX('Documents'!$K$4:$K$503,_calc!$E$32))=0,"",INDEX('Documents'!$K$4:$K$503,_calc!$E$32)))=0,"","On file: "&amp;IF(LEN(INDEX('Documents'!$K$4:$K$503,_calc!$E$32))=0,"",INDEX('Documents'!$K$4:$K$503,_calc!$E$32))&amp;". ")&amp;IF(LEN(IF(LEN(INDEX('Documents'!$L$4:$L$503,_calc!$E$32))=0,"",INDEX('Documents'!$L$4:$L$503,_calc!$E$32)))=0,"","Contractor email: "&amp;IF(LEN(INDEX('Documents'!$L$4:$L$503,_calc!$E$32))=0,"",INDEX('Documents'!$L$4:$L$503,_calc!$E$32))&amp;". ")&amp;IF(LEN(IF(LEN(INDEX('Documents'!$P$4:$P$503,_calc!$E$32))=0,"",INDEX('Documents'!$P$4:$P$503,_calc!$E$32)))=0,"",IF(LEN(INDEX('Documents'!$P$4:$P$503,_calc!$E$32))=0,"",INDEX('Documents'!$P$4:$P$503,_calc!$E$32)))))</f>
        <v/>
      </c>
      <c r="G30" s="43">
        <f>IF(_calc!$E$32="","",IF(LEN(INDEX('Documents'!$O$4:$O$503,_calc!$E$32))=0,"",INDEX('Documents'!$O$4:$O$503,_calc!$E$32)))</f>
        <v/>
      </c>
      <c r="K30" s="43">
        <f>IF(_calc!$E$32="","",IF(LEN(INDEX('Documents'!$M$4:$M$503,_calc!$E$32))=0,"",INDEX('Documents'!$M$4:$M$503,_calc!$E$32)))</f>
        <v/>
      </c>
    </row>
    <row r="31">
      <c r="A31" s="43">
        <f>IF(_calc!$E$33="","",IF(LEN(INDEX('Documents'!$C$4:$C$503,_calc!$E$33))=0,"",INDEX('Documents'!$C$4:$C$503,_calc!$E$33))&amp;" – "&amp;IF(LEN(INDEX('Documents'!$A$4:$A$503,_calc!$E$33))=0,"",INDEX('Documents'!$A$4:$A$503,_calc!$E$33)))</f>
        <v/>
      </c>
      <c r="B31" s="43">
        <f>IF(_calc!$E$33="","",IF(ISNUMBER(INDEX('Documents'!$F$4:$F$503,_calc!$E$33)),TEXT(INDEX('Documents'!$F$4:$F$503,_calc!$E$33),"yyyy-mm-dd"),""))</f>
        <v/>
      </c>
      <c r="C31" s="43">
        <f>IF(_calc!$E$33="","","Contractor document")</f>
        <v/>
      </c>
      <c r="D31" s="43">
        <f>IF(_calc!$E$33="","",IF(ISNUMBER(INDEX('Documents'!$E$4:$E$503,_calc!$E$33)),TEXT(INDEX('Documents'!$E$4:$E$503,_calc!$E$33),"yyyy-mm-dd"),""))</f>
        <v/>
      </c>
      <c r="E31" s="43">
        <f>IF(_calc!$E$33="","",IF(LEN(INDEX('Documents'!$N$4:$N$503,_calc!$E$33))=0,"",INDEX('Documents'!$N$4:$N$503,_calc!$E$33)))</f>
        <v/>
      </c>
      <c r="F31" s="43">
        <f>IF(_calc!$E$33="","",TRIM(IF(LEN(IF(LEN(INDEX('Documents'!$B$4:$B$503,_calc!$E$33))=0,"",INDEX('Documents'!$B$4:$B$503,_calc!$E$33)))=0,"","Trade: "&amp;IF(LEN(INDEX('Documents'!$B$4:$B$503,_calc!$E$33))=0,"",INDEX('Documents'!$B$4:$B$503,_calc!$E$33))&amp;". ")&amp;IF(LEN(IF(LEN(INDEX('Documents'!$D$4:$D$503,_calc!$E$33))=0,"",INDEX('Documents'!$D$4:$D$503,_calc!$E$33)))=0,"","Ref: "&amp;IF(LEN(INDEX('Documents'!$D$4:$D$503,_calc!$E$33))=0,"",INDEX('Documents'!$D$4:$D$503,_calc!$E$33))&amp;". ")&amp;IF(LEN(IF(LEN(INDEX('Documents'!$K$4:$K$503,_calc!$E$33))=0,"",INDEX('Documents'!$K$4:$K$503,_calc!$E$33)))=0,"","On file: "&amp;IF(LEN(INDEX('Documents'!$K$4:$K$503,_calc!$E$33))=0,"",INDEX('Documents'!$K$4:$K$503,_calc!$E$33))&amp;". ")&amp;IF(LEN(IF(LEN(INDEX('Documents'!$L$4:$L$503,_calc!$E$33))=0,"",INDEX('Documents'!$L$4:$L$503,_calc!$E$33)))=0,"","Contractor email: "&amp;IF(LEN(INDEX('Documents'!$L$4:$L$503,_calc!$E$33))=0,"",INDEX('Documents'!$L$4:$L$503,_calc!$E$33))&amp;". ")&amp;IF(LEN(IF(LEN(INDEX('Documents'!$P$4:$P$503,_calc!$E$33))=0,"",INDEX('Documents'!$P$4:$P$503,_calc!$E$33)))=0,"",IF(LEN(INDEX('Documents'!$P$4:$P$503,_calc!$E$33))=0,"",INDEX('Documents'!$P$4:$P$503,_calc!$E$33)))))</f>
        <v/>
      </c>
      <c r="G31" s="43">
        <f>IF(_calc!$E$33="","",IF(LEN(INDEX('Documents'!$O$4:$O$503,_calc!$E$33))=0,"",INDEX('Documents'!$O$4:$O$503,_calc!$E$33)))</f>
        <v/>
      </c>
      <c r="K31" s="43">
        <f>IF(_calc!$E$33="","",IF(LEN(INDEX('Documents'!$M$4:$M$503,_calc!$E$33))=0,"",INDEX('Documents'!$M$4:$M$503,_calc!$E$33)))</f>
        <v/>
      </c>
    </row>
    <row r="32">
      <c r="A32" s="43">
        <f>IF(_calc!$E$34="","",IF(LEN(INDEX('Documents'!$C$4:$C$503,_calc!$E$34))=0,"",INDEX('Documents'!$C$4:$C$503,_calc!$E$34))&amp;" – "&amp;IF(LEN(INDEX('Documents'!$A$4:$A$503,_calc!$E$34))=0,"",INDEX('Documents'!$A$4:$A$503,_calc!$E$34)))</f>
        <v/>
      </c>
      <c r="B32" s="43">
        <f>IF(_calc!$E$34="","",IF(ISNUMBER(INDEX('Documents'!$F$4:$F$503,_calc!$E$34)),TEXT(INDEX('Documents'!$F$4:$F$503,_calc!$E$34),"yyyy-mm-dd"),""))</f>
        <v/>
      </c>
      <c r="C32" s="43">
        <f>IF(_calc!$E$34="","","Contractor document")</f>
        <v/>
      </c>
      <c r="D32" s="43">
        <f>IF(_calc!$E$34="","",IF(ISNUMBER(INDEX('Documents'!$E$4:$E$503,_calc!$E$34)),TEXT(INDEX('Documents'!$E$4:$E$503,_calc!$E$34),"yyyy-mm-dd"),""))</f>
        <v/>
      </c>
      <c r="E32" s="43">
        <f>IF(_calc!$E$34="","",IF(LEN(INDEX('Documents'!$N$4:$N$503,_calc!$E$34))=0,"",INDEX('Documents'!$N$4:$N$503,_calc!$E$34)))</f>
        <v/>
      </c>
      <c r="F32" s="43">
        <f>IF(_calc!$E$34="","",TRIM(IF(LEN(IF(LEN(INDEX('Documents'!$B$4:$B$503,_calc!$E$34))=0,"",INDEX('Documents'!$B$4:$B$503,_calc!$E$34)))=0,"","Trade: "&amp;IF(LEN(INDEX('Documents'!$B$4:$B$503,_calc!$E$34))=0,"",INDEX('Documents'!$B$4:$B$503,_calc!$E$34))&amp;". ")&amp;IF(LEN(IF(LEN(INDEX('Documents'!$D$4:$D$503,_calc!$E$34))=0,"",INDEX('Documents'!$D$4:$D$503,_calc!$E$34)))=0,"","Ref: "&amp;IF(LEN(INDEX('Documents'!$D$4:$D$503,_calc!$E$34))=0,"",INDEX('Documents'!$D$4:$D$503,_calc!$E$34))&amp;". ")&amp;IF(LEN(IF(LEN(INDEX('Documents'!$K$4:$K$503,_calc!$E$34))=0,"",INDEX('Documents'!$K$4:$K$503,_calc!$E$34)))=0,"","On file: "&amp;IF(LEN(INDEX('Documents'!$K$4:$K$503,_calc!$E$34))=0,"",INDEX('Documents'!$K$4:$K$503,_calc!$E$34))&amp;". ")&amp;IF(LEN(IF(LEN(INDEX('Documents'!$L$4:$L$503,_calc!$E$34))=0,"",INDEX('Documents'!$L$4:$L$503,_calc!$E$34)))=0,"","Contractor email: "&amp;IF(LEN(INDEX('Documents'!$L$4:$L$503,_calc!$E$34))=0,"",INDEX('Documents'!$L$4:$L$503,_calc!$E$34))&amp;". ")&amp;IF(LEN(IF(LEN(INDEX('Documents'!$P$4:$P$503,_calc!$E$34))=0,"",INDEX('Documents'!$P$4:$P$503,_calc!$E$34)))=0,"",IF(LEN(INDEX('Documents'!$P$4:$P$503,_calc!$E$34))=0,"",INDEX('Documents'!$P$4:$P$503,_calc!$E$34)))))</f>
        <v/>
      </c>
      <c r="G32" s="43">
        <f>IF(_calc!$E$34="","",IF(LEN(INDEX('Documents'!$O$4:$O$503,_calc!$E$34))=0,"",INDEX('Documents'!$O$4:$O$503,_calc!$E$34)))</f>
        <v/>
      </c>
      <c r="K32" s="43">
        <f>IF(_calc!$E$34="","",IF(LEN(INDEX('Documents'!$M$4:$M$503,_calc!$E$34))=0,"",INDEX('Documents'!$M$4:$M$503,_calc!$E$34)))</f>
        <v/>
      </c>
    </row>
    <row r="33">
      <c r="A33" s="43">
        <f>IF(_calc!$E$35="","",IF(LEN(INDEX('Documents'!$C$4:$C$503,_calc!$E$35))=0,"",INDEX('Documents'!$C$4:$C$503,_calc!$E$35))&amp;" – "&amp;IF(LEN(INDEX('Documents'!$A$4:$A$503,_calc!$E$35))=0,"",INDEX('Documents'!$A$4:$A$503,_calc!$E$35)))</f>
        <v/>
      </c>
      <c r="B33" s="43">
        <f>IF(_calc!$E$35="","",IF(ISNUMBER(INDEX('Documents'!$F$4:$F$503,_calc!$E$35)),TEXT(INDEX('Documents'!$F$4:$F$503,_calc!$E$35),"yyyy-mm-dd"),""))</f>
        <v/>
      </c>
      <c r="C33" s="43">
        <f>IF(_calc!$E$35="","","Contractor document")</f>
        <v/>
      </c>
      <c r="D33" s="43">
        <f>IF(_calc!$E$35="","",IF(ISNUMBER(INDEX('Documents'!$E$4:$E$503,_calc!$E$35)),TEXT(INDEX('Documents'!$E$4:$E$503,_calc!$E$35),"yyyy-mm-dd"),""))</f>
        <v/>
      </c>
      <c r="E33" s="43">
        <f>IF(_calc!$E$35="","",IF(LEN(INDEX('Documents'!$N$4:$N$503,_calc!$E$35))=0,"",INDEX('Documents'!$N$4:$N$503,_calc!$E$35)))</f>
        <v/>
      </c>
      <c r="F33" s="43">
        <f>IF(_calc!$E$35="","",TRIM(IF(LEN(IF(LEN(INDEX('Documents'!$B$4:$B$503,_calc!$E$35))=0,"",INDEX('Documents'!$B$4:$B$503,_calc!$E$35)))=0,"","Trade: "&amp;IF(LEN(INDEX('Documents'!$B$4:$B$503,_calc!$E$35))=0,"",INDEX('Documents'!$B$4:$B$503,_calc!$E$35))&amp;". ")&amp;IF(LEN(IF(LEN(INDEX('Documents'!$D$4:$D$503,_calc!$E$35))=0,"",INDEX('Documents'!$D$4:$D$503,_calc!$E$35)))=0,"","Ref: "&amp;IF(LEN(INDEX('Documents'!$D$4:$D$503,_calc!$E$35))=0,"",INDEX('Documents'!$D$4:$D$503,_calc!$E$35))&amp;". ")&amp;IF(LEN(IF(LEN(INDEX('Documents'!$K$4:$K$503,_calc!$E$35))=0,"",INDEX('Documents'!$K$4:$K$503,_calc!$E$35)))=0,"","On file: "&amp;IF(LEN(INDEX('Documents'!$K$4:$K$503,_calc!$E$35))=0,"",INDEX('Documents'!$K$4:$K$503,_calc!$E$35))&amp;". ")&amp;IF(LEN(IF(LEN(INDEX('Documents'!$L$4:$L$503,_calc!$E$35))=0,"",INDEX('Documents'!$L$4:$L$503,_calc!$E$35)))=0,"","Contractor email: "&amp;IF(LEN(INDEX('Documents'!$L$4:$L$503,_calc!$E$35))=0,"",INDEX('Documents'!$L$4:$L$503,_calc!$E$35))&amp;". ")&amp;IF(LEN(IF(LEN(INDEX('Documents'!$P$4:$P$503,_calc!$E$35))=0,"",INDEX('Documents'!$P$4:$P$503,_calc!$E$35)))=0,"",IF(LEN(INDEX('Documents'!$P$4:$P$503,_calc!$E$35))=0,"",INDEX('Documents'!$P$4:$P$503,_calc!$E$35)))))</f>
        <v/>
      </c>
      <c r="G33" s="43">
        <f>IF(_calc!$E$35="","",IF(LEN(INDEX('Documents'!$O$4:$O$503,_calc!$E$35))=0,"",INDEX('Documents'!$O$4:$O$503,_calc!$E$35)))</f>
        <v/>
      </c>
      <c r="K33" s="43">
        <f>IF(_calc!$E$35="","",IF(LEN(INDEX('Documents'!$M$4:$M$503,_calc!$E$35))=0,"",INDEX('Documents'!$M$4:$M$503,_calc!$E$35)))</f>
        <v/>
      </c>
    </row>
    <row r="34">
      <c r="A34" s="43">
        <f>IF(_calc!$E$36="","",IF(LEN(INDEX('Documents'!$C$4:$C$503,_calc!$E$36))=0,"",INDEX('Documents'!$C$4:$C$503,_calc!$E$36))&amp;" – "&amp;IF(LEN(INDEX('Documents'!$A$4:$A$503,_calc!$E$36))=0,"",INDEX('Documents'!$A$4:$A$503,_calc!$E$36)))</f>
        <v/>
      </c>
      <c r="B34" s="43">
        <f>IF(_calc!$E$36="","",IF(ISNUMBER(INDEX('Documents'!$F$4:$F$503,_calc!$E$36)),TEXT(INDEX('Documents'!$F$4:$F$503,_calc!$E$36),"yyyy-mm-dd"),""))</f>
        <v/>
      </c>
      <c r="C34" s="43">
        <f>IF(_calc!$E$36="","","Contractor document")</f>
        <v/>
      </c>
      <c r="D34" s="43">
        <f>IF(_calc!$E$36="","",IF(ISNUMBER(INDEX('Documents'!$E$4:$E$503,_calc!$E$36)),TEXT(INDEX('Documents'!$E$4:$E$503,_calc!$E$36),"yyyy-mm-dd"),""))</f>
        <v/>
      </c>
      <c r="E34" s="43">
        <f>IF(_calc!$E$36="","",IF(LEN(INDEX('Documents'!$N$4:$N$503,_calc!$E$36))=0,"",INDEX('Documents'!$N$4:$N$503,_calc!$E$36)))</f>
        <v/>
      </c>
      <c r="F34" s="43">
        <f>IF(_calc!$E$36="","",TRIM(IF(LEN(IF(LEN(INDEX('Documents'!$B$4:$B$503,_calc!$E$36))=0,"",INDEX('Documents'!$B$4:$B$503,_calc!$E$36)))=0,"","Trade: "&amp;IF(LEN(INDEX('Documents'!$B$4:$B$503,_calc!$E$36))=0,"",INDEX('Documents'!$B$4:$B$503,_calc!$E$36))&amp;". ")&amp;IF(LEN(IF(LEN(INDEX('Documents'!$D$4:$D$503,_calc!$E$36))=0,"",INDEX('Documents'!$D$4:$D$503,_calc!$E$36)))=0,"","Ref: "&amp;IF(LEN(INDEX('Documents'!$D$4:$D$503,_calc!$E$36))=0,"",INDEX('Documents'!$D$4:$D$503,_calc!$E$36))&amp;". ")&amp;IF(LEN(IF(LEN(INDEX('Documents'!$K$4:$K$503,_calc!$E$36))=0,"",INDEX('Documents'!$K$4:$K$503,_calc!$E$36)))=0,"","On file: "&amp;IF(LEN(INDEX('Documents'!$K$4:$K$503,_calc!$E$36))=0,"",INDEX('Documents'!$K$4:$K$503,_calc!$E$36))&amp;". ")&amp;IF(LEN(IF(LEN(INDEX('Documents'!$L$4:$L$503,_calc!$E$36))=0,"",INDEX('Documents'!$L$4:$L$503,_calc!$E$36)))=0,"","Contractor email: "&amp;IF(LEN(INDEX('Documents'!$L$4:$L$503,_calc!$E$36))=0,"",INDEX('Documents'!$L$4:$L$503,_calc!$E$36))&amp;". ")&amp;IF(LEN(IF(LEN(INDEX('Documents'!$P$4:$P$503,_calc!$E$36))=0,"",INDEX('Documents'!$P$4:$P$503,_calc!$E$36)))=0,"",IF(LEN(INDEX('Documents'!$P$4:$P$503,_calc!$E$36))=0,"",INDEX('Documents'!$P$4:$P$503,_calc!$E$36)))))</f>
        <v/>
      </c>
      <c r="G34" s="43">
        <f>IF(_calc!$E$36="","",IF(LEN(INDEX('Documents'!$O$4:$O$503,_calc!$E$36))=0,"",INDEX('Documents'!$O$4:$O$503,_calc!$E$36)))</f>
        <v/>
      </c>
      <c r="K34" s="43">
        <f>IF(_calc!$E$36="","",IF(LEN(INDEX('Documents'!$M$4:$M$503,_calc!$E$36))=0,"",INDEX('Documents'!$M$4:$M$503,_calc!$E$36)))</f>
        <v/>
      </c>
    </row>
    <row r="35">
      <c r="A35" s="43">
        <f>IF(_calc!$E$37="","",IF(LEN(INDEX('Documents'!$C$4:$C$503,_calc!$E$37))=0,"",INDEX('Documents'!$C$4:$C$503,_calc!$E$37))&amp;" – "&amp;IF(LEN(INDEX('Documents'!$A$4:$A$503,_calc!$E$37))=0,"",INDEX('Documents'!$A$4:$A$503,_calc!$E$37)))</f>
        <v/>
      </c>
      <c r="B35" s="43">
        <f>IF(_calc!$E$37="","",IF(ISNUMBER(INDEX('Documents'!$F$4:$F$503,_calc!$E$37)),TEXT(INDEX('Documents'!$F$4:$F$503,_calc!$E$37),"yyyy-mm-dd"),""))</f>
        <v/>
      </c>
      <c r="C35" s="43">
        <f>IF(_calc!$E$37="","","Contractor document")</f>
        <v/>
      </c>
      <c r="D35" s="43">
        <f>IF(_calc!$E$37="","",IF(ISNUMBER(INDEX('Documents'!$E$4:$E$503,_calc!$E$37)),TEXT(INDEX('Documents'!$E$4:$E$503,_calc!$E$37),"yyyy-mm-dd"),""))</f>
        <v/>
      </c>
      <c r="E35" s="43">
        <f>IF(_calc!$E$37="","",IF(LEN(INDEX('Documents'!$N$4:$N$503,_calc!$E$37))=0,"",INDEX('Documents'!$N$4:$N$503,_calc!$E$37)))</f>
        <v/>
      </c>
      <c r="F35" s="43">
        <f>IF(_calc!$E$37="","",TRIM(IF(LEN(IF(LEN(INDEX('Documents'!$B$4:$B$503,_calc!$E$37))=0,"",INDEX('Documents'!$B$4:$B$503,_calc!$E$37)))=0,"","Trade: "&amp;IF(LEN(INDEX('Documents'!$B$4:$B$503,_calc!$E$37))=0,"",INDEX('Documents'!$B$4:$B$503,_calc!$E$37))&amp;". ")&amp;IF(LEN(IF(LEN(INDEX('Documents'!$D$4:$D$503,_calc!$E$37))=0,"",INDEX('Documents'!$D$4:$D$503,_calc!$E$37)))=0,"","Ref: "&amp;IF(LEN(INDEX('Documents'!$D$4:$D$503,_calc!$E$37))=0,"",INDEX('Documents'!$D$4:$D$503,_calc!$E$37))&amp;". ")&amp;IF(LEN(IF(LEN(INDEX('Documents'!$K$4:$K$503,_calc!$E$37))=0,"",INDEX('Documents'!$K$4:$K$503,_calc!$E$37)))=0,"","On file: "&amp;IF(LEN(INDEX('Documents'!$K$4:$K$503,_calc!$E$37))=0,"",INDEX('Documents'!$K$4:$K$503,_calc!$E$37))&amp;". ")&amp;IF(LEN(IF(LEN(INDEX('Documents'!$L$4:$L$503,_calc!$E$37))=0,"",INDEX('Documents'!$L$4:$L$503,_calc!$E$37)))=0,"","Contractor email: "&amp;IF(LEN(INDEX('Documents'!$L$4:$L$503,_calc!$E$37))=0,"",INDEX('Documents'!$L$4:$L$503,_calc!$E$37))&amp;". ")&amp;IF(LEN(IF(LEN(INDEX('Documents'!$P$4:$P$503,_calc!$E$37))=0,"",INDEX('Documents'!$P$4:$P$503,_calc!$E$37)))=0,"",IF(LEN(INDEX('Documents'!$P$4:$P$503,_calc!$E$37))=0,"",INDEX('Documents'!$P$4:$P$503,_calc!$E$37)))))</f>
        <v/>
      </c>
      <c r="G35" s="43">
        <f>IF(_calc!$E$37="","",IF(LEN(INDEX('Documents'!$O$4:$O$503,_calc!$E$37))=0,"",INDEX('Documents'!$O$4:$O$503,_calc!$E$37)))</f>
        <v/>
      </c>
      <c r="K35" s="43">
        <f>IF(_calc!$E$37="","",IF(LEN(INDEX('Documents'!$M$4:$M$503,_calc!$E$37))=0,"",INDEX('Documents'!$M$4:$M$503,_calc!$E$37)))</f>
        <v/>
      </c>
    </row>
    <row r="36">
      <c r="A36" s="43">
        <f>IF(_calc!$E$38="","",IF(LEN(INDEX('Documents'!$C$4:$C$503,_calc!$E$38))=0,"",INDEX('Documents'!$C$4:$C$503,_calc!$E$38))&amp;" – "&amp;IF(LEN(INDEX('Documents'!$A$4:$A$503,_calc!$E$38))=0,"",INDEX('Documents'!$A$4:$A$503,_calc!$E$38)))</f>
        <v/>
      </c>
      <c r="B36" s="43">
        <f>IF(_calc!$E$38="","",IF(ISNUMBER(INDEX('Documents'!$F$4:$F$503,_calc!$E$38)),TEXT(INDEX('Documents'!$F$4:$F$503,_calc!$E$38),"yyyy-mm-dd"),""))</f>
        <v/>
      </c>
      <c r="C36" s="43">
        <f>IF(_calc!$E$38="","","Contractor document")</f>
        <v/>
      </c>
      <c r="D36" s="43">
        <f>IF(_calc!$E$38="","",IF(ISNUMBER(INDEX('Documents'!$E$4:$E$503,_calc!$E$38)),TEXT(INDEX('Documents'!$E$4:$E$503,_calc!$E$38),"yyyy-mm-dd"),""))</f>
        <v/>
      </c>
      <c r="E36" s="43">
        <f>IF(_calc!$E$38="","",IF(LEN(INDEX('Documents'!$N$4:$N$503,_calc!$E$38))=0,"",INDEX('Documents'!$N$4:$N$503,_calc!$E$38)))</f>
        <v/>
      </c>
      <c r="F36" s="43">
        <f>IF(_calc!$E$38="","",TRIM(IF(LEN(IF(LEN(INDEX('Documents'!$B$4:$B$503,_calc!$E$38))=0,"",INDEX('Documents'!$B$4:$B$503,_calc!$E$38)))=0,"","Trade: "&amp;IF(LEN(INDEX('Documents'!$B$4:$B$503,_calc!$E$38))=0,"",INDEX('Documents'!$B$4:$B$503,_calc!$E$38))&amp;". ")&amp;IF(LEN(IF(LEN(INDEX('Documents'!$D$4:$D$503,_calc!$E$38))=0,"",INDEX('Documents'!$D$4:$D$503,_calc!$E$38)))=0,"","Ref: "&amp;IF(LEN(INDEX('Documents'!$D$4:$D$503,_calc!$E$38))=0,"",INDEX('Documents'!$D$4:$D$503,_calc!$E$38))&amp;". ")&amp;IF(LEN(IF(LEN(INDEX('Documents'!$K$4:$K$503,_calc!$E$38))=0,"",INDEX('Documents'!$K$4:$K$503,_calc!$E$38)))=0,"","On file: "&amp;IF(LEN(INDEX('Documents'!$K$4:$K$503,_calc!$E$38))=0,"",INDEX('Documents'!$K$4:$K$503,_calc!$E$38))&amp;". ")&amp;IF(LEN(IF(LEN(INDEX('Documents'!$L$4:$L$503,_calc!$E$38))=0,"",INDEX('Documents'!$L$4:$L$503,_calc!$E$38)))=0,"","Contractor email: "&amp;IF(LEN(INDEX('Documents'!$L$4:$L$503,_calc!$E$38))=0,"",INDEX('Documents'!$L$4:$L$503,_calc!$E$38))&amp;". ")&amp;IF(LEN(IF(LEN(INDEX('Documents'!$P$4:$P$503,_calc!$E$38))=0,"",INDEX('Documents'!$P$4:$P$503,_calc!$E$38)))=0,"",IF(LEN(INDEX('Documents'!$P$4:$P$503,_calc!$E$38))=0,"",INDEX('Documents'!$P$4:$P$503,_calc!$E$38)))))</f>
        <v/>
      </c>
      <c r="G36" s="43">
        <f>IF(_calc!$E$38="","",IF(LEN(INDEX('Documents'!$O$4:$O$503,_calc!$E$38))=0,"",INDEX('Documents'!$O$4:$O$503,_calc!$E$38)))</f>
        <v/>
      </c>
      <c r="K36" s="43">
        <f>IF(_calc!$E$38="","",IF(LEN(INDEX('Documents'!$M$4:$M$503,_calc!$E$38))=0,"",INDEX('Documents'!$M$4:$M$503,_calc!$E$38)))</f>
        <v/>
      </c>
    </row>
    <row r="37">
      <c r="A37" s="43">
        <f>IF(_calc!$E$39="","",IF(LEN(INDEX('Documents'!$C$4:$C$503,_calc!$E$39))=0,"",INDEX('Documents'!$C$4:$C$503,_calc!$E$39))&amp;" – "&amp;IF(LEN(INDEX('Documents'!$A$4:$A$503,_calc!$E$39))=0,"",INDEX('Documents'!$A$4:$A$503,_calc!$E$39)))</f>
        <v/>
      </c>
      <c r="B37" s="43">
        <f>IF(_calc!$E$39="","",IF(ISNUMBER(INDEX('Documents'!$F$4:$F$503,_calc!$E$39)),TEXT(INDEX('Documents'!$F$4:$F$503,_calc!$E$39),"yyyy-mm-dd"),""))</f>
        <v/>
      </c>
      <c r="C37" s="43">
        <f>IF(_calc!$E$39="","","Contractor document")</f>
        <v/>
      </c>
      <c r="D37" s="43">
        <f>IF(_calc!$E$39="","",IF(ISNUMBER(INDEX('Documents'!$E$4:$E$503,_calc!$E$39)),TEXT(INDEX('Documents'!$E$4:$E$503,_calc!$E$39),"yyyy-mm-dd"),""))</f>
        <v/>
      </c>
      <c r="E37" s="43">
        <f>IF(_calc!$E$39="","",IF(LEN(INDEX('Documents'!$N$4:$N$503,_calc!$E$39))=0,"",INDEX('Documents'!$N$4:$N$503,_calc!$E$39)))</f>
        <v/>
      </c>
      <c r="F37" s="43">
        <f>IF(_calc!$E$39="","",TRIM(IF(LEN(IF(LEN(INDEX('Documents'!$B$4:$B$503,_calc!$E$39))=0,"",INDEX('Documents'!$B$4:$B$503,_calc!$E$39)))=0,"","Trade: "&amp;IF(LEN(INDEX('Documents'!$B$4:$B$503,_calc!$E$39))=0,"",INDEX('Documents'!$B$4:$B$503,_calc!$E$39))&amp;". ")&amp;IF(LEN(IF(LEN(INDEX('Documents'!$D$4:$D$503,_calc!$E$39))=0,"",INDEX('Documents'!$D$4:$D$503,_calc!$E$39)))=0,"","Ref: "&amp;IF(LEN(INDEX('Documents'!$D$4:$D$503,_calc!$E$39))=0,"",INDEX('Documents'!$D$4:$D$503,_calc!$E$39))&amp;". ")&amp;IF(LEN(IF(LEN(INDEX('Documents'!$K$4:$K$503,_calc!$E$39))=0,"",INDEX('Documents'!$K$4:$K$503,_calc!$E$39)))=0,"","On file: "&amp;IF(LEN(INDEX('Documents'!$K$4:$K$503,_calc!$E$39))=0,"",INDEX('Documents'!$K$4:$K$503,_calc!$E$39))&amp;". ")&amp;IF(LEN(IF(LEN(INDEX('Documents'!$L$4:$L$503,_calc!$E$39))=0,"",INDEX('Documents'!$L$4:$L$503,_calc!$E$39)))=0,"","Contractor email: "&amp;IF(LEN(INDEX('Documents'!$L$4:$L$503,_calc!$E$39))=0,"",INDEX('Documents'!$L$4:$L$503,_calc!$E$39))&amp;". ")&amp;IF(LEN(IF(LEN(INDEX('Documents'!$P$4:$P$503,_calc!$E$39))=0,"",INDEX('Documents'!$P$4:$P$503,_calc!$E$39)))=0,"",IF(LEN(INDEX('Documents'!$P$4:$P$503,_calc!$E$39))=0,"",INDEX('Documents'!$P$4:$P$503,_calc!$E$39)))))</f>
        <v/>
      </c>
      <c r="G37" s="43">
        <f>IF(_calc!$E$39="","",IF(LEN(INDEX('Documents'!$O$4:$O$503,_calc!$E$39))=0,"",INDEX('Documents'!$O$4:$O$503,_calc!$E$39)))</f>
        <v/>
      </c>
      <c r="K37" s="43">
        <f>IF(_calc!$E$39="","",IF(LEN(INDEX('Documents'!$M$4:$M$503,_calc!$E$39))=0,"",INDEX('Documents'!$M$4:$M$503,_calc!$E$39)))</f>
        <v/>
      </c>
    </row>
    <row r="38">
      <c r="A38" s="43">
        <f>IF(_calc!$E$40="","",IF(LEN(INDEX('Documents'!$C$4:$C$503,_calc!$E$40))=0,"",INDEX('Documents'!$C$4:$C$503,_calc!$E$40))&amp;" – "&amp;IF(LEN(INDEX('Documents'!$A$4:$A$503,_calc!$E$40))=0,"",INDEX('Documents'!$A$4:$A$503,_calc!$E$40)))</f>
        <v/>
      </c>
      <c r="B38" s="43">
        <f>IF(_calc!$E$40="","",IF(ISNUMBER(INDEX('Documents'!$F$4:$F$503,_calc!$E$40)),TEXT(INDEX('Documents'!$F$4:$F$503,_calc!$E$40),"yyyy-mm-dd"),""))</f>
        <v/>
      </c>
      <c r="C38" s="43">
        <f>IF(_calc!$E$40="","","Contractor document")</f>
        <v/>
      </c>
      <c r="D38" s="43">
        <f>IF(_calc!$E$40="","",IF(ISNUMBER(INDEX('Documents'!$E$4:$E$503,_calc!$E$40)),TEXT(INDEX('Documents'!$E$4:$E$503,_calc!$E$40),"yyyy-mm-dd"),""))</f>
        <v/>
      </c>
      <c r="E38" s="43">
        <f>IF(_calc!$E$40="","",IF(LEN(INDEX('Documents'!$N$4:$N$503,_calc!$E$40))=0,"",INDEX('Documents'!$N$4:$N$503,_calc!$E$40)))</f>
        <v/>
      </c>
      <c r="F38" s="43">
        <f>IF(_calc!$E$40="","",TRIM(IF(LEN(IF(LEN(INDEX('Documents'!$B$4:$B$503,_calc!$E$40))=0,"",INDEX('Documents'!$B$4:$B$503,_calc!$E$40)))=0,"","Trade: "&amp;IF(LEN(INDEX('Documents'!$B$4:$B$503,_calc!$E$40))=0,"",INDEX('Documents'!$B$4:$B$503,_calc!$E$40))&amp;". ")&amp;IF(LEN(IF(LEN(INDEX('Documents'!$D$4:$D$503,_calc!$E$40))=0,"",INDEX('Documents'!$D$4:$D$503,_calc!$E$40)))=0,"","Ref: "&amp;IF(LEN(INDEX('Documents'!$D$4:$D$503,_calc!$E$40))=0,"",INDEX('Documents'!$D$4:$D$503,_calc!$E$40))&amp;". ")&amp;IF(LEN(IF(LEN(INDEX('Documents'!$K$4:$K$503,_calc!$E$40))=0,"",INDEX('Documents'!$K$4:$K$503,_calc!$E$40)))=0,"","On file: "&amp;IF(LEN(INDEX('Documents'!$K$4:$K$503,_calc!$E$40))=0,"",INDEX('Documents'!$K$4:$K$503,_calc!$E$40))&amp;". ")&amp;IF(LEN(IF(LEN(INDEX('Documents'!$L$4:$L$503,_calc!$E$40))=0,"",INDEX('Documents'!$L$4:$L$503,_calc!$E$40)))=0,"","Contractor email: "&amp;IF(LEN(INDEX('Documents'!$L$4:$L$503,_calc!$E$40))=0,"",INDEX('Documents'!$L$4:$L$503,_calc!$E$40))&amp;". ")&amp;IF(LEN(IF(LEN(INDEX('Documents'!$P$4:$P$503,_calc!$E$40))=0,"",INDEX('Documents'!$P$4:$P$503,_calc!$E$40)))=0,"",IF(LEN(INDEX('Documents'!$P$4:$P$503,_calc!$E$40))=0,"",INDEX('Documents'!$P$4:$P$503,_calc!$E$40)))))</f>
        <v/>
      </c>
      <c r="G38" s="43">
        <f>IF(_calc!$E$40="","",IF(LEN(INDEX('Documents'!$O$4:$O$503,_calc!$E$40))=0,"",INDEX('Documents'!$O$4:$O$503,_calc!$E$40)))</f>
        <v/>
      </c>
      <c r="K38" s="43">
        <f>IF(_calc!$E$40="","",IF(LEN(INDEX('Documents'!$M$4:$M$503,_calc!$E$40))=0,"",INDEX('Documents'!$M$4:$M$503,_calc!$E$40)))</f>
        <v/>
      </c>
    </row>
    <row r="39">
      <c r="A39" s="43">
        <f>IF(_calc!$E$41="","",IF(LEN(INDEX('Documents'!$C$4:$C$503,_calc!$E$41))=0,"",INDEX('Documents'!$C$4:$C$503,_calc!$E$41))&amp;" – "&amp;IF(LEN(INDEX('Documents'!$A$4:$A$503,_calc!$E$41))=0,"",INDEX('Documents'!$A$4:$A$503,_calc!$E$41)))</f>
        <v/>
      </c>
      <c r="B39" s="43">
        <f>IF(_calc!$E$41="","",IF(ISNUMBER(INDEX('Documents'!$F$4:$F$503,_calc!$E$41)),TEXT(INDEX('Documents'!$F$4:$F$503,_calc!$E$41),"yyyy-mm-dd"),""))</f>
        <v/>
      </c>
      <c r="C39" s="43">
        <f>IF(_calc!$E$41="","","Contractor document")</f>
        <v/>
      </c>
      <c r="D39" s="43">
        <f>IF(_calc!$E$41="","",IF(ISNUMBER(INDEX('Documents'!$E$4:$E$503,_calc!$E$41)),TEXT(INDEX('Documents'!$E$4:$E$503,_calc!$E$41),"yyyy-mm-dd"),""))</f>
        <v/>
      </c>
      <c r="E39" s="43">
        <f>IF(_calc!$E$41="","",IF(LEN(INDEX('Documents'!$N$4:$N$503,_calc!$E$41))=0,"",INDEX('Documents'!$N$4:$N$503,_calc!$E$41)))</f>
        <v/>
      </c>
      <c r="F39" s="43">
        <f>IF(_calc!$E$41="","",TRIM(IF(LEN(IF(LEN(INDEX('Documents'!$B$4:$B$503,_calc!$E$41))=0,"",INDEX('Documents'!$B$4:$B$503,_calc!$E$41)))=0,"","Trade: "&amp;IF(LEN(INDEX('Documents'!$B$4:$B$503,_calc!$E$41))=0,"",INDEX('Documents'!$B$4:$B$503,_calc!$E$41))&amp;". ")&amp;IF(LEN(IF(LEN(INDEX('Documents'!$D$4:$D$503,_calc!$E$41))=0,"",INDEX('Documents'!$D$4:$D$503,_calc!$E$41)))=0,"","Ref: "&amp;IF(LEN(INDEX('Documents'!$D$4:$D$503,_calc!$E$41))=0,"",INDEX('Documents'!$D$4:$D$503,_calc!$E$41))&amp;". ")&amp;IF(LEN(IF(LEN(INDEX('Documents'!$K$4:$K$503,_calc!$E$41))=0,"",INDEX('Documents'!$K$4:$K$503,_calc!$E$41)))=0,"","On file: "&amp;IF(LEN(INDEX('Documents'!$K$4:$K$503,_calc!$E$41))=0,"",INDEX('Documents'!$K$4:$K$503,_calc!$E$41))&amp;". ")&amp;IF(LEN(IF(LEN(INDEX('Documents'!$L$4:$L$503,_calc!$E$41))=0,"",INDEX('Documents'!$L$4:$L$503,_calc!$E$41)))=0,"","Contractor email: "&amp;IF(LEN(INDEX('Documents'!$L$4:$L$503,_calc!$E$41))=0,"",INDEX('Documents'!$L$4:$L$503,_calc!$E$41))&amp;". ")&amp;IF(LEN(IF(LEN(INDEX('Documents'!$P$4:$P$503,_calc!$E$41))=0,"",INDEX('Documents'!$P$4:$P$503,_calc!$E$41)))=0,"",IF(LEN(INDEX('Documents'!$P$4:$P$503,_calc!$E$41))=0,"",INDEX('Documents'!$P$4:$P$503,_calc!$E$41)))))</f>
        <v/>
      </c>
      <c r="G39" s="43">
        <f>IF(_calc!$E$41="","",IF(LEN(INDEX('Documents'!$O$4:$O$503,_calc!$E$41))=0,"",INDEX('Documents'!$O$4:$O$503,_calc!$E$41)))</f>
        <v/>
      </c>
      <c r="K39" s="43">
        <f>IF(_calc!$E$41="","",IF(LEN(INDEX('Documents'!$M$4:$M$503,_calc!$E$41))=0,"",INDEX('Documents'!$M$4:$M$503,_calc!$E$41)))</f>
        <v/>
      </c>
    </row>
    <row r="40">
      <c r="A40" s="43">
        <f>IF(_calc!$E$42="","",IF(LEN(INDEX('Documents'!$C$4:$C$503,_calc!$E$42))=0,"",INDEX('Documents'!$C$4:$C$503,_calc!$E$42))&amp;" – "&amp;IF(LEN(INDEX('Documents'!$A$4:$A$503,_calc!$E$42))=0,"",INDEX('Documents'!$A$4:$A$503,_calc!$E$42)))</f>
        <v/>
      </c>
      <c r="B40" s="43">
        <f>IF(_calc!$E$42="","",IF(ISNUMBER(INDEX('Documents'!$F$4:$F$503,_calc!$E$42)),TEXT(INDEX('Documents'!$F$4:$F$503,_calc!$E$42),"yyyy-mm-dd"),""))</f>
        <v/>
      </c>
      <c r="C40" s="43">
        <f>IF(_calc!$E$42="","","Contractor document")</f>
        <v/>
      </c>
      <c r="D40" s="43">
        <f>IF(_calc!$E$42="","",IF(ISNUMBER(INDEX('Documents'!$E$4:$E$503,_calc!$E$42)),TEXT(INDEX('Documents'!$E$4:$E$503,_calc!$E$42),"yyyy-mm-dd"),""))</f>
        <v/>
      </c>
      <c r="E40" s="43">
        <f>IF(_calc!$E$42="","",IF(LEN(INDEX('Documents'!$N$4:$N$503,_calc!$E$42))=0,"",INDEX('Documents'!$N$4:$N$503,_calc!$E$42)))</f>
        <v/>
      </c>
      <c r="F40" s="43">
        <f>IF(_calc!$E$42="","",TRIM(IF(LEN(IF(LEN(INDEX('Documents'!$B$4:$B$503,_calc!$E$42))=0,"",INDEX('Documents'!$B$4:$B$503,_calc!$E$42)))=0,"","Trade: "&amp;IF(LEN(INDEX('Documents'!$B$4:$B$503,_calc!$E$42))=0,"",INDEX('Documents'!$B$4:$B$503,_calc!$E$42))&amp;". ")&amp;IF(LEN(IF(LEN(INDEX('Documents'!$D$4:$D$503,_calc!$E$42))=0,"",INDEX('Documents'!$D$4:$D$503,_calc!$E$42)))=0,"","Ref: "&amp;IF(LEN(INDEX('Documents'!$D$4:$D$503,_calc!$E$42))=0,"",INDEX('Documents'!$D$4:$D$503,_calc!$E$42))&amp;". ")&amp;IF(LEN(IF(LEN(INDEX('Documents'!$K$4:$K$503,_calc!$E$42))=0,"",INDEX('Documents'!$K$4:$K$503,_calc!$E$42)))=0,"","On file: "&amp;IF(LEN(INDEX('Documents'!$K$4:$K$503,_calc!$E$42))=0,"",INDEX('Documents'!$K$4:$K$503,_calc!$E$42))&amp;". ")&amp;IF(LEN(IF(LEN(INDEX('Documents'!$L$4:$L$503,_calc!$E$42))=0,"",INDEX('Documents'!$L$4:$L$503,_calc!$E$42)))=0,"","Contractor email: "&amp;IF(LEN(INDEX('Documents'!$L$4:$L$503,_calc!$E$42))=0,"",INDEX('Documents'!$L$4:$L$503,_calc!$E$42))&amp;". ")&amp;IF(LEN(IF(LEN(INDEX('Documents'!$P$4:$P$503,_calc!$E$42))=0,"",INDEX('Documents'!$P$4:$P$503,_calc!$E$42)))=0,"",IF(LEN(INDEX('Documents'!$P$4:$P$503,_calc!$E$42))=0,"",INDEX('Documents'!$P$4:$P$503,_calc!$E$42)))))</f>
        <v/>
      </c>
      <c r="G40" s="43">
        <f>IF(_calc!$E$42="","",IF(LEN(INDEX('Documents'!$O$4:$O$503,_calc!$E$42))=0,"",INDEX('Documents'!$O$4:$O$503,_calc!$E$42)))</f>
        <v/>
      </c>
      <c r="K40" s="43">
        <f>IF(_calc!$E$42="","",IF(LEN(INDEX('Documents'!$M$4:$M$503,_calc!$E$42))=0,"",INDEX('Documents'!$M$4:$M$503,_calc!$E$42)))</f>
        <v/>
      </c>
    </row>
    <row r="41">
      <c r="A41" s="43">
        <f>IF(_calc!$E$43="","",IF(LEN(INDEX('Documents'!$C$4:$C$503,_calc!$E$43))=0,"",INDEX('Documents'!$C$4:$C$503,_calc!$E$43))&amp;" – "&amp;IF(LEN(INDEX('Documents'!$A$4:$A$503,_calc!$E$43))=0,"",INDEX('Documents'!$A$4:$A$503,_calc!$E$43)))</f>
        <v/>
      </c>
      <c r="B41" s="43">
        <f>IF(_calc!$E$43="","",IF(ISNUMBER(INDEX('Documents'!$F$4:$F$503,_calc!$E$43)),TEXT(INDEX('Documents'!$F$4:$F$503,_calc!$E$43),"yyyy-mm-dd"),""))</f>
        <v/>
      </c>
      <c r="C41" s="43">
        <f>IF(_calc!$E$43="","","Contractor document")</f>
        <v/>
      </c>
      <c r="D41" s="43">
        <f>IF(_calc!$E$43="","",IF(ISNUMBER(INDEX('Documents'!$E$4:$E$503,_calc!$E$43)),TEXT(INDEX('Documents'!$E$4:$E$503,_calc!$E$43),"yyyy-mm-dd"),""))</f>
        <v/>
      </c>
      <c r="E41" s="43">
        <f>IF(_calc!$E$43="","",IF(LEN(INDEX('Documents'!$N$4:$N$503,_calc!$E$43))=0,"",INDEX('Documents'!$N$4:$N$503,_calc!$E$43)))</f>
        <v/>
      </c>
      <c r="F41" s="43">
        <f>IF(_calc!$E$43="","",TRIM(IF(LEN(IF(LEN(INDEX('Documents'!$B$4:$B$503,_calc!$E$43))=0,"",INDEX('Documents'!$B$4:$B$503,_calc!$E$43)))=0,"","Trade: "&amp;IF(LEN(INDEX('Documents'!$B$4:$B$503,_calc!$E$43))=0,"",INDEX('Documents'!$B$4:$B$503,_calc!$E$43))&amp;". ")&amp;IF(LEN(IF(LEN(INDEX('Documents'!$D$4:$D$503,_calc!$E$43))=0,"",INDEX('Documents'!$D$4:$D$503,_calc!$E$43)))=0,"","Ref: "&amp;IF(LEN(INDEX('Documents'!$D$4:$D$503,_calc!$E$43))=0,"",INDEX('Documents'!$D$4:$D$503,_calc!$E$43))&amp;". ")&amp;IF(LEN(IF(LEN(INDEX('Documents'!$K$4:$K$503,_calc!$E$43))=0,"",INDEX('Documents'!$K$4:$K$503,_calc!$E$43)))=0,"","On file: "&amp;IF(LEN(INDEX('Documents'!$K$4:$K$503,_calc!$E$43))=0,"",INDEX('Documents'!$K$4:$K$503,_calc!$E$43))&amp;". ")&amp;IF(LEN(IF(LEN(INDEX('Documents'!$L$4:$L$503,_calc!$E$43))=0,"",INDEX('Documents'!$L$4:$L$503,_calc!$E$43)))=0,"","Contractor email: "&amp;IF(LEN(INDEX('Documents'!$L$4:$L$503,_calc!$E$43))=0,"",INDEX('Documents'!$L$4:$L$503,_calc!$E$43))&amp;". ")&amp;IF(LEN(IF(LEN(INDEX('Documents'!$P$4:$P$503,_calc!$E$43))=0,"",INDEX('Documents'!$P$4:$P$503,_calc!$E$43)))=0,"",IF(LEN(INDEX('Documents'!$P$4:$P$503,_calc!$E$43))=0,"",INDEX('Documents'!$P$4:$P$503,_calc!$E$43)))))</f>
        <v/>
      </c>
      <c r="G41" s="43">
        <f>IF(_calc!$E$43="","",IF(LEN(INDEX('Documents'!$O$4:$O$503,_calc!$E$43))=0,"",INDEX('Documents'!$O$4:$O$503,_calc!$E$43)))</f>
        <v/>
      </c>
      <c r="K41" s="43">
        <f>IF(_calc!$E$43="","",IF(LEN(INDEX('Documents'!$M$4:$M$503,_calc!$E$43))=0,"",INDEX('Documents'!$M$4:$M$503,_calc!$E$43)))</f>
        <v/>
      </c>
    </row>
    <row r="42">
      <c r="A42" s="43">
        <f>IF(_calc!$E$44="","",IF(LEN(INDEX('Documents'!$C$4:$C$503,_calc!$E$44))=0,"",INDEX('Documents'!$C$4:$C$503,_calc!$E$44))&amp;" – "&amp;IF(LEN(INDEX('Documents'!$A$4:$A$503,_calc!$E$44))=0,"",INDEX('Documents'!$A$4:$A$503,_calc!$E$44)))</f>
        <v/>
      </c>
      <c r="B42" s="43">
        <f>IF(_calc!$E$44="","",IF(ISNUMBER(INDEX('Documents'!$F$4:$F$503,_calc!$E$44)),TEXT(INDEX('Documents'!$F$4:$F$503,_calc!$E$44),"yyyy-mm-dd"),""))</f>
        <v/>
      </c>
      <c r="C42" s="43">
        <f>IF(_calc!$E$44="","","Contractor document")</f>
        <v/>
      </c>
      <c r="D42" s="43">
        <f>IF(_calc!$E$44="","",IF(ISNUMBER(INDEX('Documents'!$E$4:$E$503,_calc!$E$44)),TEXT(INDEX('Documents'!$E$4:$E$503,_calc!$E$44),"yyyy-mm-dd"),""))</f>
        <v/>
      </c>
      <c r="E42" s="43">
        <f>IF(_calc!$E$44="","",IF(LEN(INDEX('Documents'!$N$4:$N$503,_calc!$E$44))=0,"",INDEX('Documents'!$N$4:$N$503,_calc!$E$44)))</f>
        <v/>
      </c>
      <c r="F42" s="43">
        <f>IF(_calc!$E$44="","",TRIM(IF(LEN(IF(LEN(INDEX('Documents'!$B$4:$B$503,_calc!$E$44))=0,"",INDEX('Documents'!$B$4:$B$503,_calc!$E$44)))=0,"","Trade: "&amp;IF(LEN(INDEX('Documents'!$B$4:$B$503,_calc!$E$44))=0,"",INDEX('Documents'!$B$4:$B$503,_calc!$E$44))&amp;". ")&amp;IF(LEN(IF(LEN(INDEX('Documents'!$D$4:$D$503,_calc!$E$44))=0,"",INDEX('Documents'!$D$4:$D$503,_calc!$E$44)))=0,"","Ref: "&amp;IF(LEN(INDEX('Documents'!$D$4:$D$503,_calc!$E$44))=0,"",INDEX('Documents'!$D$4:$D$503,_calc!$E$44))&amp;". ")&amp;IF(LEN(IF(LEN(INDEX('Documents'!$K$4:$K$503,_calc!$E$44))=0,"",INDEX('Documents'!$K$4:$K$503,_calc!$E$44)))=0,"","On file: "&amp;IF(LEN(INDEX('Documents'!$K$4:$K$503,_calc!$E$44))=0,"",INDEX('Documents'!$K$4:$K$503,_calc!$E$44))&amp;". ")&amp;IF(LEN(IF(LEN(INDEX('Documents'!$L$4:$L$503,_calc!$E$44))=0,"",INDEX('Documents'!$L$4:$L$503,_calc!$E$44)))=0,"","Contractor email: "&amp;IF(LEN(INDEX('Documents'!$L$4:$L$503,_calc!$E$44))=0,"",INDEX('Documents'!$L$4:$L$503,_calc!$E$44))&amp;". ")&amp;IF(LEN(IF(LEN(INDEX('Documents'!$P$4:$P$503,_calc!$E$44))=0,"",INDEX('Documents'!$P$4:$P$503,_calc!$E$44)))=0,"",IF(LEN(INDEX('Documents'!$P$4:$P$503,_calc!$E$44))=0,"",INDEX('Documents'!$P$4:$P$503,_calc!$E$44)))))</f>
        <v/>
      </c>
      <c r="G42" s="43">
        <f>IF(_calc!$E$44="","",IF(LEN(INDEX('Documents'!$O$4:$O$503,_calc!$E$44))=0,"",INDEX('Documents'!$O$4:$O$503,_calc!$E$44)))</f>
        <v/>
      </c>
      <c r="K42" s="43">
        <f>IF(_calc!$E$44="","",IF(LEN(INDEX('Documents'!$M$4:$M$503,_calc!$E$44))=0,"",INDEX('Documents'!$M$4:$M$503,_calc!$E$44)))</f>
        <v/>
      </c>
    </row>
    <row r="43">
      <c r="A43" s="43">
        <f>IF(_calc!$E$45="","",IF(LEN(INDEX('Documents'!$C$4:$C$503,_calc!$E$45))=0,"",INDEX('Documents'!$C$4:$C$503,_calc!$E$45))&amp;" – "&amp;IF(LEN(INDEX('Documents'!$A$4:$A$503,_calc!$E$45))=0,"",INDEX('Documents'!$A$4:$A$503,_calc!$E$45)))</f>
        <v/>
      </c>
      <c r="B43" s="43">
        <f>IF(_calc!$E$45="","",IF(ISNUMBER(INDEX('Documents'!$F$4:$F$503,_calc!$E$45)),TEXT(INDEX('Documents'!$F$4:$F$503,_calc!$E$45),"yyyy-mm-dd"),""))</f>
        <v/>
      </c>
      <c r="C43" s="43">
        <f>IF(_calc!$E$45="","","Contractor document")</f>
        <v/>
      </c>
      <c r="D43" s="43">
        <f>IF(_calc!$E$45="","",IF(ISNUMBER(INDEX('Documents'!$E$4:$E$503,_calc!$E$45)),TEXT(INDEX('Documents'!$E$4:$E$503,_calc!$E$45),"yyyy-mm-dd"),""))</f>
        <v/>
      </c>
      <c r="E43" s="43">
        <f>IF(_calc!$E$45="","",IF(LEN(INDEX('Documents'!$N$4:$N$503,_calc!$E$45))=0,"",INDEX('Documents'!$N$4:$N$503,_calc!$E$45)))</f>
        <v/>
      </c>
      <c r="F43" s="43">
        <f>IF(_calc!$E$45="","",TRIM(IF(LEN(IF(LEN(INDEX('Documents'!$B$4:$B$503,_calc!$E$45))=0,"",INDEX('Documents'!$B$4:$B$503,_calc!$E$45)))=0,"","Trade: "&amp;IF(LEN(INDEX('Documents'!$B$4:$B$503,_calc!$E$45))=0,"",INDEX('Documents'!$B$4:$B$503,_calc!$E$45))&amp;". ")&amp;IF(LEN(IF(LEN(INDEX('Documents'!$D$4:$D$503,_calc!$E$45))=0,"",INDEX('Documents'!$D$4:$D$503,_calc!$E$45)))=0,"","Ref: "&amp;IF(LEN(INDEX('Documents'!$D$4:$D$503,_calc!$E$45))=0,"",INDEX('Documents'!$D$4:$D$503,_calc!$E$45))&amp;". ")&amp;IF(LEN(IF(LEN(INDEX('Documents'!$K$4:$K$503,_calc!$E$45))=0,"",INDEX('Documents'!$K$4:$K$503,_calc!$E$45)))=0,"","On file: "&amp;IF(LEN(INDEX('Documents'!$K$4:$K$503,_calc!$E$45))=0,"",INDEX('Documents'!$K$4:$K$503,_calc!$E$45))&amp;". ")&amp;IF(LEN(IF(LEN(INDEX('Documents'!$L$4:$L$503,_calc!$E$45))=0,"",INDEX('Documents'!$L$4:$L$503,_calc!$E$45)))=0,"","Contractor email: "&amp;IF(LEN(INDEX('Documents'!$L$4:$L$503,_calc!$E$45))=0,"",INDEX('Documents'!$L$4:$L$503,_calc!$E$45))&amp;". ")&amp;IF(LEN(IF(LEN(INDEX('Documents'!$P$4:$P$503,_calc!$E$45))=0,"",INDEX('Documents'!$P$4:$P$503,_calc!$E$45)))=0,"",IF(LEN(INDEX('Documents'!$P$4:$P$503,_calc!$E$45))=0,"",INDEX('Documents'!$P$4:$P$503,_calc!$E$45)))))</f>
        <v/>
      </c>
      <c r="G43" s="43">
        <f>IF(_calc!$E$45="","",IF(LEN(INDEX('Documents'!$O$4:$O$503,_calc!$E$45))=0,"",INDEX('Documents'!$O$4:$O$503,_calc!$E$45)))</f>
        <v/>
      </c>
      <c r="K43" s="43">
        <f>IF(_calc!$E$45="","",IF(LEN(INDEX('Documents'!$M$4:$M$503,_calc!$E$45))=0,"",INDEX('Documents'!$M$4:$M$503,_calc!$E$45)))</f>
        <v/>
      </c>
    </row>
    <row r="44">
      <c r="A44" s="43">
        <f>IF(_calc!$E$46="","",IF(LEN(INDEX('Documents'!$C$4:$C$503,_calc!$E$46))=0,"",INDEX('Documents'!$C$4:$C$503,_calc!$E$46))&amp;" – "&amp;IF(LEN(INDEX('Documents'!$A$4:$A$503,_calc!$E$46))=0,"",INDEX('Documents'!$A$4:$A$503,_calc!$E$46)))</f>
        <v/>
      </c>
      <c r="B44" s="43">
        <f>IF(_calc!$E$46="","",IF(ISNUMBER(INDEX('Documents'!$F$4:$F$503,_calc!$E$46)),TEXT(INDEX('Documents'!$F$4:$F$503,_calc!$E$46),"yyyy-mm-dd"),""))</f>
        <v/>
      </c>
      <c r="C44" s="43">
        <f>IF(_calc!$E$46="","","Contractor document")</f>
        <v/>
      </c>
      <c r="D44" s="43">
        <f>IF(_calc!$E$46="","",IF(ISNUMBER(INDEX('Documents'!$E$4:$E$503,_calc!$E$46)),TEXT(INDEX('Documents'!$E$4:$E$503,_calc!$E$46),"yyyy-mm-dd"),""))</f>
        <v/>
      </c>
      <c r="E44" s="43">
        <f>IF(_calc!$E$46="","",IF(LEN(INDEX('Documents'!$N$4:$N$503,_calc!$E$46))=0,"",INDEX('Documents'!$N$4:$N$503,_calc!$E$46)))</f>
        <v/>
      </c>
      <c r="F44" s="43">
        <f>IF(_calc!$E$46="","",TRIM(IF(LEN(IF(LEN(INDEX('Documents'!$B$4:$B$503,_calc!$E$46))=0,"",INDEX('Documents'!$B$4:$B$503,_calc!$E$46)))=0,"","Trade: "&amp;IF(LEN(INDEX('Documents'!$B$4:$B$503,_calc!$E$46))=0,"",INDEX('Documents'!$B$4:$B$503,_calc!$E$46))&amp;". ")&amp;IF(LEN(IF(LEN(INDEX('Documents'!$D$4:$D$503,_calc!$E$46))=0,"",INDEX('Documents'!$D$4:$D$503,_calc!$E$46)))=0,"","Ref: "&amp;IF(LEN(INDEX('Documents'!$D$4:$D$503,_calc!$E$46))=0,"",INDEX('Documents'!$D$4:$D$503,_calc!$E$46))&amp;". ")&amp;IF(LEN(IF(LEN(INDEX('Documents'!$K$4:$K$503,_calc!$E$46))=0,"",INDEX('Documents'!$K$4:$K$503,_calc!$E$46)))=0,"","On file: "&amp;IF(LEN(INDEX('Documents'!$K$4:$K$503,_calc!$E$46))=0,"",INDEX('Documents'!$K$4:$K$503,_calc!$E$46))&amp;". ")&amp;IF(LEN(IF(LEN(INDEX('Documents'!$L$4:$L$503,_calc!$E$46))=0,"",INDEX('Documents'!$L$4:$L$503,_calc!$E$46)))=0,"","Contractor email: "&amp;IF(LEN(INDEX('Documents'!$L$4:$L$503,_calc!$E$46))=0,"",INDEX('Documents'!$L$4:$L$503,_calc!$E$46))&amp;". ")&amp;IF(LEN(IF(LEN(INDEX('Documents'!$P$4:$P$503,_calc!$E$46))=0,"",INDEX('Documents'!$P$4:$P$503,_calc!$E$46)))=0,"",IF(LEN(INDEX('Documents'!$P$4:$P$503,_calc!$E$46))=0,"",INDEX('Documents'!$P$4:$P$503,_calc!$E$46)))))</f>
        <v/>
      </c>
      <c r="G44" s="43">
        <f>IF(_calc!$E$46="","",IF(LEN(INDEX('Documents'!$O$4:$O$503,_calc!$E$46))=0,"",INDEX('Documents'!$O$4:$O$503,_calc!$E$46)))</f>
        <v/>
      </c>
      <c r="K44" s="43">
        <f>IF(_calc!$E$46="","",IF(LEN(INDEX('Documents'!$M$4:$M$503,_calc!$E$46))=0,"",INDEX('Documents'!$M$4:$M$503,_calc!$E$46)))</f>
        <v/>
      </c>
    </row>
    <row r="45">
      <c r="A45" s="43">
        <f>IF(_calc!$E$47="","",IF(LEN(INDEX('Documents'!$C$4:$C$503,_calc!$E$47))=0,"",INDEX('Documents'!$C$4:$C$503,_calc!$E$47))&amp;" – "&amp;IF(LEN(INDEX('Documents'!$A$4:$A$503,_calc!$E$47))=0,"",INDEX('Documents'!$A$4:$A$503,_calc!$E$47)))</f>
        <v/>
      </c>
      <c r="B45" s="43">
        <f>IF(_calc!$E$47="","",IF(ISNUMBER(INDEX('Documents'!$F$4:$F$503,_calc!$E$47)),TEXT(INDEX('Documents'!$F$4:$F$503,_calc!$E$47),"yyyy-mm-dd"),""))</f>
        <v/>
      </c>
      <c r="C45" s="43">
        <f>IF(_calc!$E$47="","","Contractor document")</f>
        <v/>
      </c>
      <c r="D45" s="43">
        <f>IF(_calc!$E$47="","",IF(ISNUMBER(INDEX('Documents'!$E$4:$E$503,_calc!$E$47)),TEXT(INDEX('Documents'!$E$4:$E$503,_calc!$E$47),"yyyy-mm-dd"),""))</f>
        <v/>
      </c>
      <c r="E45" s="43">
        <f>IF(_calc!$E$47="","",IF(LEN(INDEX('Documents'!$N$4:$N$503,_calc!$E$47))=0,"",INDEX('Documents'!$N$4:$N$503,_calc!$E$47)))</f>
        <v/>
      </c>
      <c r="F45" s="43">
        <f>IF(_calc!$E$47="","",TRIM(IF(LEN(IF(LEN(INDEX('Documents'!$B$4:$B$503,_calc!$E$47))=0,"",INDEX('Documents'!$B$4:$B$503,_calc!$E$47)))=0,"","Trade: "&amp;IF(LEN(INDEX('Documents'!$B$4:$B$503,_calc!$E$47))=0,"",INDEX('Documents'!$B$4:$B$503,_calc!$E$47))&amp;". ")&amp;IF(LEN(IF(LEN(INDEX('Documents'!$D$4:$D$503,_calc!$E$47))=0,"",INDEX('Documents'!$D$4:$D$503,_calc!$E$47)))=0,"","Ref: "&amp;IF(LEN(INDEX('Documents'!$D$4:$D$503,_calc!$E$47))=0,"",INDEX('Documents'!$D$4:$D$503,_calc!$E$47))&amp;". ")&amp;IF(LEN(IF(LEN(INDEX('Documents'!$K$4:$K$503,_calc!$E$47))=0,"",INDEX('Documents'!$K$4:$K$503,_calc!$E$47)))=0,"","On file: "&amp;IF(LEN(INDEX('Documents'!$K$4:$K$503,_calc!$E$47))=0,"",INDEX('Documents'!$K$4:$K$503,_calc!$E$47))&amp;". ")&amp;IF(LEN(IF(LEN(INDEX('Documents'!$L$4:$L$503,_calc!$E$47))=0,"",INDEX('Documents'!$L$4:$L$503,_calc!$E$47)))=0,"","Contractor email: "&amp;IF(LEN(INDEX('Documents'!$L$4:$L$503,_calc!$E$47))=0,"",INDEX('Documents'!$L$4:$L$503,_calc!$E$47))&amp;". ")&amp;IF(LEN(IF(LEN(INDEX('Documents'!$P$4:$P$503,_calc!$E$47))=0,"",INDEX('Documents'!$P$4:$P$503,_calc!$E$47)))=0,"",IF(LEN(INDEX('Documents'!$P$4:$P$503,_calc!$E$47))=0,"",INDEX('Documents'!$P$4:$P$503,_calc!$E$47)))))</f>
        <v/>
      </c>
      <c r="G45" s="43">
        <f>IF(_calc!$E$47="","",IF(LEN(INDEX('Documents'!$O$4:$O$503,_calc!$E$47))=0,"",INDEX('Documents'!$O$4:$O$503,_calc!$E$47)))</f>
        <v/>
      </c>
      <c r="K45" s="43">
        <f>IF(_calc!$E$47="","",IF(LEN(INDEX('Documents'!$M$4:$M$503,_calc!$E$47))=0,"",INDEX('Documents'!$M$4:$M$503,_calc!$E$47)))</f>
        <v/>
      </c>
    </row>
    <row r="46">
      <c r="A46" s="43">
        <f>IF(_calc!$E$48="","",IF(LEN(INDEX('Documents'!$C$4:$C$503,_calc!$E$48))=0,"",INDEX('Documents'!$C$4:$C$503,_calc!$E$48))&amp;" – "&amp;IF(LEN(INDEX('Documents'!$A$4:$A$503,_calc!$E$48))=0,"",INDEX('Documents'!$A$4:$A$503,_calc!$E$48)))</f>
        <v/>
      </c>
      <c r="B46" s="43">
        <f>IF(_calc!$E$48="","",IF(ISNUMBER(INDEX('Documents'!$F$4:$F$503,_calc!$E$48)),TEXT(INDEX('Documents'!$F$4:$F$503,_calc!$E$48),"yyyy-mm-dd"),""))</f>
        <v/>
      </c>
      <c r="C46" s="43">
        <f>IF(_calc!$E$48="","","Contractor document")</f>
        <v/>
      </c>
      <c r="D46" s="43">
        <f>IF(_calc!$E$48="","",IF(ISNUMBER(INDEX('Documents'!$E$4:$E$503,_calc!$E$48)),TEXT(INDEX('Documents'!$E$4:$E$503,_calc!$E$48),"yyyy-mm-dd"),""))</f>
        <v/>
      </c>
      <c r="E46" s="43">
        <f>IF(_calc!$E$48="","",IF(LEN(INDEX('Documents'!$N$4:$N$503,_calc!$E$48))=0,"",INDEX('Documents'!$N$4:$N$503,_calc!$E$48)))</f>
        <v/>
      </c>
      <c r="F46" s="43">
        <f>IF(_calc!$E$48="","",TRIM(IF(LEN(IF(LEN(INDEX('Documents'!$B$4:$B$503,_calc!$E$48))=0,"",INDEX('Documents'!$B$4:$B$503,_calc!$E$48)))=0,"","Trade: "&amp;IF(LEN(INDEX('Documents'!$B$4:$B$503,_calc!$E$48))=0,"",INDEX('Documents'!$B$4:$B$503,_calc!$E$48))&amp;". ")&amp;IF(LEN(IF(LEN(INDEX('Documents'!$D$4:$D$503,_calc!$E$48))=0,"",INDEX('Documents'!$D$4:$D$503,_calc!$E$48)))=0,"","Ref: "&amp;IF(LEN(INDEX('Documents'!$D$4:$D$503,_calc!$E$48))=0,"",INDEX('Documents'!$D$4:$D$503,_calc!$E$48))&amp;". ")&amp;IF(LEN(IF(LEN(INDEX('Documents'!$K$4:$K$503,_calc!$E$48))=0,"",INDEX('Documents'!$K$4:$K$503,_calc!$E$48)))=0,"","On file: "&amp;IF(LEN(INDEX('Documents'!$K$4:$K$503,_calc!$E$48))=0,"",INDEX('Documents'!$K$4:$K$503,_calc!$E$48))&amp;". ")&amp;IF(LEN(IF(LEN(INDEX('Documents'!$L$4:$L$503,_calc!$E$48))=0,"",INDEX('Documents'!$L$4:$L$503,_calc!$E$48)))=0,"","Contractor email: "&amp;IF(LEN(INDEX('Documents'!$L$4:$L$503,_calc!$E$48))=0,"",INDEX('Documents'!$L$4:$L$503,_calc!$E$48))&amp;". ")&amp;IF(LEN(IF(LEN(INDEX('Documents'!$P$4:$P$503,_calc!$E$48))=0,"",INDEX('Documents'!$P$4:$P$503,_calc!$E$48)))=0,"",IF(LEN(INDEX('Documents'!$P$4:$P$503,_calc!$E$48))=0,"",INDEX('Documents'!$P$4:$P$503,_calc!$E$48)))))</f>
        <v/>
      </c>
      <c r="G46" s="43">
        <f>IF(_calc!$E$48="","",IF(LEN(INDEX('Documents'!$O$4:$O$503,_calc!$E$48))=0,"",INDEX('Documents'!$O$4:$O$503,_calc!$E$48)))</f>
        <v/>
      </c>
      <c r="K46" s="43">
        <f>IF(_calc!$E$48="","",IF(LEN(INDEX('Documents'!$M$4:$M$503,_calc!$E$48))=0,"",INDEX('Documents'!$M$4:$M$503,_calc!$E$48)))</f>
        <v/>
      </c>
    </row>
    <row r="47">
      <c r="A47" s="43">
        <f>IF(_calc!$E$49="","",IF(LEN(INDEX('Documents'!$C$4:$C$503,_calc!$E$49))=0,"",INDEX('Documents'!$C$4:$C$503,_calc!$E$49))&amp;" – "&amp;IF(LEN(INDEX('Documents'!$A$4:$A$503,_calc!$E$49))=0,"",INDEX('Documents'!$A$4:$A$503,_calc!$E$49)))</f>
        <v/>
      </c>
      <c r="B47" s="43">
        <f>IF(_calc!$E$49="","",IF(ISNUMBER(INDEX('Documents'!$F$4:$F$503,_calc!$E$49)),TEXT(INDEX('Documents'!$F$4:$F$503,_calc!$E$49),"yyyy-mm-dd"),""))</f>
        <v/>
      </c>
      <c r="C47" s="43">
        <f>IF(_calc!$E$49="","","Contractor document")</f>
        <v/>
      </c>
      <c r="D47" s="43">
        <f>IF(_calc!$E$49="","",IF(ISNUMBER(INDEX('Documents'!$E$4:$E$503,_calc!$E$49)),TEXT(INDEX('Documents'!$E$4:$E$503,_calc!$E$49),"yyyy-mm-dd"),""))</f>
        <v/>
      </c>
      <c r="E47" s="43">
        <f>IF(_calc!$E$49="","",IF(LEN(INDEX('Documents'!$N$4:$N$503,_calc!$E$49))=0,"",INDEX('Documents'!$N$4:$N$503,_calc!$E$49)))</f>
        <v/>
      </c>
      <c r="F47" s="43">
        <f>IF(_calc!$E$49="","",TRIM(IF(LEN(IF(LEN(INDEX('Documents'!$B$4:$B$503,_calc!$E$49))=0,"",INDEX('Documents'!$B$4:$B$503,_calc!$E$49)))=0,"","Trade: "&amp;IF(LEN(INDEX('Documents'!$B$4:$B$503,_calc!$E$49))=0,"",INDEX('Documents'!$B$4:$B$503,_calc!$E$49))&amp;". ")&amp;IF(LEN(IF(LEN(INDEX('Documents'!$D$4:$D$503,_calc!$E$49))=0,"",INDEX('Documents'!$D$4:$D$503,_calc!$E$49)))=0,"","Ref: "&amp;IF(LEN(INDEX('Documents'!$D$4:$D$503,_calc!$E$49))=0,"",INDEX('Documents'!$D$4:$D$503,_calc!$E$49))&amp;". ")&amp;IF(LEN(IF(LEN(INDEX('Documents'!$K$4:$K$503,_calc!$E$49))=0,"",INDEX('Documents'!$K$4:$K$503,_calc!$E$49)))=0,"","On file: "&amp;IF(LEN(INDEX('Documents'!$K$4:$K$503,_calc!$E$49))=0,"",INDEX('Documents'!$K$4:$K$503,_calc!$E$49))&amp;". ")&amp;IF(LEN(IF(LEN(INDEX('Documents'!$L$4:$L$503,_calc!$E$49))=0,"",INDEX('Documents'!$L$4:$L$503,_calc!$E$49)))=0,"","Contractor email: "&amp;IF(LEN(INDEX('Documents'!$L$4:$L$503,_calc!$E$49))=0,"",INDEX('Documents'!$L$4:$L$503,_calc!$E$49))&amp;". ")&amp;IF(LEN(IF(LEN(INDEX('Documents'!$P$4:$P$503,_calc!$E$49))=0,"",INDEX('Documents'!$P$4:$P$503,_calc!$E$49)))=0,"",IF(LEN(INDEX('Documents'!$P$4:$P$503,_calc!$E$49))=0,"",INDEX('Documents'!$P$4:$P$503,_calc!$E$49)))))</f>
        <v/>
      </c>
      <c r="G47" s="43">
        <f>IF(_calc!$E$49="","",IF(LEN(INDEX('Documents'!$O$4:$O$503,_calc!$E$49))=0,"",INDEX('Documents'!$O$4:$O$503,_calc!$E$49)))</f>
        <v/>
      </c>
      <c r="K47" s="43">
        <f>IF(_calc!$E$49="","",IF(LEN(INDEX('Documents'!$M$4:$M$503,_calc!$E$49))=0,"",INDEX('Documents'!$M$4:$M$503,_calc!$E$49)))</f>
        <v/>
      </c>
    </row>
    <row r="48">
      <c r="A48" s="43">
        <f>IF(_calc!$E$50="","",IF(LEN(INDEX('Documents'!$C$4:$C$503,_calc!$E$50))=0,"",INDEX('Documents'!$C$4:$C$503,_calc!$E$50))&amp;" – "&amp;IF(LEN(INDEX('Documents'!$A$4:$A$503,_calc!$E$50))=0,"",INDEX('Documents'!$A$4:$A$503,_calc!$E$50)))</f>
        <v/>
      </c>
      <c r="B48" s="43">
        <f>IF(_calc!$E$50="","",IF(ISNUMBER(INDEX('Documents'!$F$4:$F$503,_calc!$E$50)),TEXT(INDEX('Documents'!$F$4:$F$503,_calc!$E$50),"yyyy-mm-dd"),""))</f>
        <v/>
      </c>
      <c r="C48" s="43">
        <f>IF(_calc!$E$50="","","Contractor document")</f>
        <v/>
      </c>
      <c r="D48" s="43">
        <f>IF(_calc!$E$50="","",IF(ISNUMBER(INDEX('Documents'!$E$4:$E$503,_calc!$E$50)),TEXT(INDEX('Documents'!$E$4:$E$503,_calc!$E$50),"yyyy-mm-dd"),""))</f>
        <v/>
      </c>
      <c r="E48" s="43">
        <f>IF(_calc!$E$50="","",IF(LEN(INDEX('Documents'!$N$4:$N$503,_calc!$E$50))=0,"",INDEX('Documents'!$N$4:$N$503,_calc!$E$50)))</f>
        <v/>
      </c>
      <c r="F48" s="43">
        <f>IF(_calc!$E$50="","",TRIM(IF(LEN(IF(LEN(INDEX('Documents'!$B$4:$B$503,_calc!$E$50))=0,"",INDEX('Documents'!$B$4:$B$503,_calc!$E$50)))=0,"","Trade: "&amp;IF(LEN(INDEX('Documents'!$B$4:$B$503,_calc!$E$50))=0,"",INDEX('Documents'!$B$4:$B$503,_calc!$E$50))&amp;". ")&amp;IF(LEN(IF(LEN(INDEX('Documents'!$D$4:$D$503,_calc!$E$50))=0,"",INDEX('Documents'!$D$4:$D$503,_calc!$E$50)))=0,"","Ref: "&amp;IF(LEN(INDEX('Documents'!$D$4:$D$503,_calc!$E$50))=0,"",INDEX('Documents'!$D$4:$D$503,_calc!$E$50))&amp;". ")&amp;IF(LEN(IF(LEN(INDEX('Documents'!$K$4:$K$503,_calc!$E$50))=0,"",INDEX('Documents'!$K$4:$K$503,_calc!$E$50)))=0,"","On file: "&amp;IF(LEN(INDEX('Documents'!$K$4:$K$503,_calc!$E$50))=0,"",INDEX('Documents'!$K$4:$K$503,_calc!$E$50))&amp;". ")&amp;IF(LEN(IF(LEN(INDEX('Documents'!$L$4:$L$503,_calc!$E$50))=0,"",INDEX('Documents'!$L$4:$L$503,_calc!$E$50)))=0,"","Contractor email: "&amp;IF(LEN(INDEX('Documents'!$L$4:$L$503,_calc!$E$50))=0,"",INDEX('Documents'!$L$4:$L$503,_calc!$E$50))&amp;". ")&amp;IF(LEN(IF(LEN(INDEX('Documents'!$P$4:$P$503,_calc!$E$50))=0,"",INDEX('Documents'!$P$4:$P$503,_calc!$E$50)))=0,"",IF(LEN(INDEX('Documents'!$P$4:$P$503,_calc!$E$50))=0,"",INDEX('Documents'!$P$4:$P$503,_calc!$E$50)))))</f>
        <v/>
      </c>
      <c r="G48" s="43">
        <f>IF(_calc!$E$50="","",IF(LEN(INDEX('Documents'!$O$4:$O$503,_calc!$E$50))=0,"",INDEX('Documents'!$O$4:$O$503,_calc!$E$50)))</f>
        <v/>
      </c>
      <c r="K48" s="43">
        <f>IF(_calc!$E$50="","",IF(LEN(INDEX('Documents'!$M$4:$M$503,_calc!$E$50))=0,"",INDEX('Documents'!$M$4:$M$503,_calc!$E$50)))</f>
        <v/>
      </c>
    </row>
    <row r="49">
      <c r="A49" s="43">
        <f>IF(_calc!$E$51="","",IF(LEN(INDEX('Documents'!$C$4:$C$503,_calc!$E$51))=0,"",INDEX('Documents'!$C$4:$C$503,_calc!$E$51))&amp;" – "&amp;IF(LEN(INDEX('Documents'!$A$4:$A$503,_calc!$E$51))=0,"",INDEX('Documents'!$A$4:$A$503,_calc!$E$51)))</f>
        <v/>
      </c>
      <c r="B49" s="43">
        <f>IF(_calc!$E$51="","",IF(ISNUMBER(INDEX('Documents'!$F$4:$F$503,_calc!$E$51)),TEXT(INDEX('Documents'!$F$4:$F$503,_calc!$E$51),"yyyy-mm-dd"),""))</f>
        <v/>
      </c>
      <c r="C49" s="43">
        <f>IF(_calc!$E$51="","","Contractor document")</f>
        <v/>
      </c>
      <c r="D49" s="43">
        <f>IF(_calc!$E$51="","",IF(ISNUMBER(INDEX('Documents'!$E$4:$E$503,_calc!$E$51)),TEXT(INDEX('Documents'!$E$4:$E$503,_calc!$E$51),"yyyy-mm-dd"),""))</f>
        <v/>
      </c>
      <c r="E49" s="43">
        <f>IF(_calc!$E$51="","",IF(LEN(INDEX('Documents'!$N$4:$N$503,_calc!$E$51))=0,"",INDEX('Documents'!$N$4:$N$503,_calc!$E$51)))</f>
        <v/>
      </c>
      <c r="F49" s="43">
        <f>IF(_calc!$E$51="","",TRIM(IF(LEN(IF(LEN(INDEX('Documents'!$B$4:$B$503,_calc!$E$51))=0,"",INDEX('Documents'!$B$4:$B$503,_calc!$E$51)))=0,"","Trade: "&amp;IF(LEN(INDEX('Documents'!$B$4:$B$503,_calc!$E$51))=0,"",INDEX('Documents'!$B$4:$B$503,_calc!$E$51))&amp;". ")&amp;IF(LEN(IF(LEN(INDEX('Documents'!$D$4:$D$503,_calc!$E$51))=0,"",INDEX('Documents'!$D$4:$D$503,_calc!$E$51)))=0,"","Ref: "&amp;IF(LEN(INDEX('Documents'!$D$4:$D$503,_calc!$E$51))=0,"",INDEX('Documents'!$D$4:$D$503,_calc!$E$51))&amp;". ")&amp;IF(LEN(IF(LEN(INDEX('Documents'!$K$4:$K$503,_calc!$E$51))=0,"",INDEX('Documents'!$K$4:$K$503,_calc!$E$51)))=0,"","On file: "&amp;IF(LEN(INDEX('Documents'!$K$4:$K$503,_calc!$E$51))=0,"",INDEX('Documents'!$K$4:$K$503,_calc!$E$51))&amp;". ")&amp;IF(LEN(IF(LEN(INDEX('Documents'!$L$4:$L$503,_calc!$E$51))=0,"",INDEX('Documents'!$L$4:$L$503,_calc!$E$51)))=0,"","Contractor email: "&amp;IF(LEN(INDEX('Documents'!$L$4:$L$503,_calc!$E$51))=0,"",INDEX('Documents'!$L$4:$L$503,_calc!$E$51))&amp;". ")&amp;IF(LEN(IF(LEN(INDEX('Documents'!$P$4:$P$503,_calc!$E$51))=0,"",INDEX('Documents'!$P$4:$P$503,_calc!$E$51)))=0,"",IF(LEN(INDEX('Documents'!$P$4:$P$503,_calc!$E$51))=0,"",INDEX('Documents'!$P$4:$P$503,_calc!$E$51)))))</f>
        <v/>
      </c>
      <c r="G49" s="43">
        <f>IF(_calc!$E$51="","",IF(LEN(INDEX('Documents'!$O$4:$O$503,_calc!$E$51))=0,"",INDEX('Documents'!$O$4:$O$503,_calc!$E$51)))</f>
        <v/>
      </c>
      <c r="K49" s="43">
        <f>IF(_calc!$E$51="","",IF(LEN(INDEX('Documents'!$M$4:$M$503,_calc!$E$51))=0,"",INDEX('Documents'!$M$4:$M$503,_calc!$E$51)))</f>
        <v/>
      </c>
    </row>
    <row r="50">
      <c r="A50" s="43">
        <f>IF(_calc!$E$52="","",IF(LEN(INDEX('Documents'!$C$4:$C$503,_calc!$E$52))=0,"",INDEX('Documents'!$C$4:$C$503,_calc!$E$52))&amp;" – "&amp;IF(LEN(INDEX('Documents'!$A$4:$A$503,_calc!$E$52))=0,"",INDEX('Documents'!$A$4:$A$503,_calc!$E$52)))</f>
        <v/>
      </c>
      <c r="B50" s="43">
        <f>IF(_calc!$E$52="","",IF(ISNUMBER(INDEX('Documents'!$F$4:$F$503,_calc!$E$52)),TEXT(INDEX('Documents'!$F$4:$F$503,_calc!$E$52),"yyyy-mm-dd"),""))</f>
        <v/>
      </c>
      <c r="C50" s="43">
        <f>IF(_calc!$E$52="","","Contractor document")</f>
        <v/>
      </c>
      <c r="D50" s="43">
        <f>IF(_calc!$E$52="","",IF(ISNUMBER(INDEX('Documents'!$E$4:$E$503,_calc!$E$52)),TEXT(INDEX('Documents'!$E$4:$E$503,_calc!$E$52),"yyyy-mm-dd"),""))</f>
        <v/>
      </c>
      <c r="E50" s="43">
        <f>IF(_calc!$E$52="","",IF(LEN(INDEX('Documents'!$N$4:$N$503,_calc!$E$52))=0,"",INDEX('Documents'!$N$4:$N$503,_calc!$E$52)))</f>
        <v/>
      </c>
      <c r="F50" s="43">
        <f>IF(_calc!$E$52="","",TRIM(IF(LEN(IF(LEN(INDEX('Documents'!$B$4:$B$503,_calc!$E$52))=0,"",INDEX('Documents'!$B$4:$B$503,_calc!$E$52)))=0,"","Trade: "&amp;IF(LEN(INDEX('Documents'!$B$4:$B$503,_calc!$E$52))=0,"",INDEX('Documents'!$B$4:$B$503,_calc!$E$52))&amp;". ")&amp;IF(LEN(IF(LEN(INDEX('Documents'!$D$4:$D$503,_calc!$E$52))=0,"",INDEX('Documents'!$D$4:$D$503,_calc!$E$52)))=0,"","Ref: "&amp;IF(LEN(INDEX('Documents'!$D$4:$D$503,_calc!$E$52))=0,"",INDEX('Documents'!$D$4:$D$503,_calc!$E$52))&amp;". ")&amp;IF(LEN(IF(LEN(INDEX('Documents'!$K$4:$K$503,_calc!$E$52))=0,"",INDEX('Documents'!$K$4:$K$503,_calc!$E$52)))=0,"","On file: "&amp;IF(LEN(INDEX('Documents'!$K$4:$K$503,_calc!$E$52))=0,"",INDEX('Documents'!$K$4:$K$503,_calc!$E$52))&amp;". ")&amp;IF(LEN(IF(LEN(INDEX('Documents'!$L$4:$L$503,_calc!$E$52))=0,"",INDEX('Documents'!$L$4:$L$503,_calc!$E$52)))=0,"","Contractor email: "&amp;IF(LEN(INDEX('Documents'!$L$4:$L$503,_calc!$E$52))=0,"",INDEX('Documents'!$L$4:$L$503,_calc!$E$52))&amp;". ")&amp;IF(LEN(IF(LEN(INDEX('Documents'!$P$4:$P$503,_calc!$E$52))=0,"",INDEX('Documents'!$P$4:$P$503,_calc!$E$52)))=0,"",IF(LEN(INDEX('Documents'!$P$4:$P$503,_calc!$E$52))=0,"",INDEX('Documents'!$P$4:$P$503,_calc!$E$52)))))</f>
        <v/>
      </c>
      <c r="G50" s="43">
        <f>IF(_calc!$E$52="","",IF(LEN(INDEX('Documents'!$O$4:$O$503,_calc!$E$52))=0,"",INDEX('Documents'!$O$4:$O$503,_calc!$E$52)))</f>
        <v/>
      </c>
      <c r="K50" s="43">
        <f>IF(_calc!$E$52="","",IF(LEN(INDEX('Documents'!$M$4:$M$503,_calc!$E$52))=0,"",INDEX('Documents'!$M$4:$M$503,_calc!$E$52)))</f>
        <v/>
      </c>
    </row>
    <row r="51">
      <c r="A51" s="43">
        <f>IF(_calc!$E$53="","",IF(LEN(INDEX('Documents'!$C$4:$C$503,_calc!$E$53))=0,"",INDEX('Documents'!$C$4:$C$503,_calc!$E$53))&amp;" – "&amp;IF(LEN(INDEX('Documents'!$A$4:$A$503,_calc!$E$53))=0,"",INDEX('Documents'!$A$4:$A$503,_calc!$E$53)))</f>
        <v/>
      </c>
      <c r="B51" s="43">
        <f>IF(_calc!$E$53="","",IF(ISNUMBER(INDEX('Documents'!$F$4:$F$503,_calc!$E$53)),TEXT(INDEX('Documents'!$F$4:$F$503,_calc!$E$53),"yyyy-mm-dd"),""))</f>
        <v/>
      </c>
      <c r="C51" s="43">
        <f>IF(_calc!$E$53="","","Contractor document")</f>
        <v/>
      </c>
      <c r="D51" s="43">
        <f>IF(_calc!$E$53="","",IF(ISNUMBER(INDEX('Documents'!$E$4:$E$503,_calc!$E$53)),TEXT(INDEX('Documents'!$E$4:$E$503,_calc!$E$53),"yyyy-mm-dd"),""))</f>
        <v/>
      </c>
      <c r="E51" s="43">
        <f>IF(_calc!$E$53="","",IF(LEN(INDEX('Documents'!$N$4:$N$503,_calc!$E$53))=0,"",INDEX('Documents'!$N$4:$N$503,_calc!$E$53)))</f>
        <v/>
      </c>
      <c r="F51" s="43">
        <f>IF(_calc!$E$53="","",TRIM(IF(LEN(IF(LEN(INDEX('Documents'!$B$4:$B$503,_calc!$E$53))=0,"",INDEX('Documents'!$B$4:$B$503,_calc!$E$53)))=0,"","Trade: "&amp;IF(LEN(INDEX('Documents'!$B$4:$B$503,_calc!$E$53))=0,"",INDEX('Documents'!$B$4:$B$503,_calc!$E$53))&amp;". ")&amp;IF(LEN(IF(LEN(INDEX('Documents'!$D$4:$D$503,_calc!$E$53))=0,"",INDEX('Documents'!$D$4:$D$503,_calc!$E$53)))=0,"","Ref: "&amp;IF(LEN(INDEX('Documents'!$D$4:$D$503,_calc!$E$53))=0,"",INDEX('Documents'!$D$4:$D$503,_calc!$E$53))&amp;". ")&amp;IF(LEN(IF(LEN(INDEX('Documents'!$K$4:$K$503,_calc!$E$53))=0,"",INDEX('Documents'!$K$4:$K$503,_calc!$E$53)))=0,"","On file: "&amp;IF(LEN(INDEX('Documents'!$K$4:$K$503,_calc!$E$53))=0,"",INDEX('Documents'!$K$4:$K$503,_calc!$E$53))&amp;". ")&amp;IF(LEN(IF(LEN(INDEX('Documents'!$L$4:$L$503,_calc!$E$53))=0,"",INDEX('Documents'!$L$4:$L$503,_calc!$E$53)))=0,"","Contractor email: "&amp;IF(LEN(INDEX('Documents'!$L$4:$L$503,_calc!$E$53))=0,"",INDEX('Documents'!$L$4:$L$503,_calc!$E$53))&amp;". ")&amp;IF(LEN(IF(LEN(INDEX('Documents'!$P$4:$P$503,_calc!$E$53))=0,"",INDEX('Documents'!$P$4:$P$503,_calc!$E$53)))=0,"",IF(LEN(INDEX('Documents'!$P$4:$P$503,_calc!$E$53))=0,"",INDEX('Documents'!$P$4:$P$503,_calc!$E$53)))))</f>
        <v/>
      </c>
      <c r="G51" s="43">
        <f>IF(_calc!$E$53="","",IF(LEN(INDEX('Documents'!$O$4:$O$503,_calc!$E$53))=0,"",INDEX('Documents'!$O$4:$O$503,_calc!$E$53)))</f>
        <v/>
      </c>
      <c r="K51" s="43">
        <f>IF(_calc!$E$53="","",IF(LEN(INDEX('Documents'!$M$4:$M$503,_calc!$E$53))=0,"",INDEX('Documents'!$M$4:$M$503,_calc!$E$53)))</f>
        <v/>
      </c>
    </row>
    <row r="52">
      <c r="A52" s="43">
        <f>IF(_calc!$E$54="","",IF(LEN(INDEX('Documents'!$C$4:$C$503,_calc!$E$54))=0,"",INDEX('Documents'!$C$4:$C$503,_calc!$E$54))&amp;" – "&amp;IF(LEN(INDEX('Documents'!$A$4:$A$503,_calc!$E$54))=0,"",INDEX('Documents'!$A$4:$A$503,_calc!$E$54)))</f>
        <v/>
      </c>
      <c r="B52" s="43">
        <f>IF(_calc!$E$54="","",IF(ISNUMBER(INDEX('Documents'!$F$4:$F$503,_calc!$E$54)),TEXT(INDEX('Documents'!$F$4:$F$503,_calc!$E$54),"yyyy-mm-dd"),""))</f>
        <v/>
      </c>
      <c r="C52" s="43">
        <f>IF(_calc!$E$54="","","Contractor document")</f>
        <v/>
      </c>
      <c r="D52" s="43">
        <f>IF(_calc!$E$54="","",IF(ISNUMBER(INDEX('Documents'!$E$4:$E$503,_calc!$E$54)),TEXT(INDEX('Documents'!$E$4:$E$503,_calc!$E$54),"yyyy-mm-dd"),""))</f>
        <v/>
      </c>
      <c r="E52" s="43">
        <f>IF(_calc!$E$54="","",IF(LEN(INDEX('Documents'!$N$4:$N$503,_calc!$E$54))=0,"",INDEX('Documents'!$N$4:$N$503,_calc!$E$54)))</f>
        <v/>
      </c>
      <c r="F52" s="43">
        <f>IF(_calc!$E$54="","",TRIM(IF(LEN(IF(LEN(INDEX('Documents'!$B$4:$B$503,_calc!$E$54))=0,"",INDEX('Documents'!$B$4:$B$503,_calc!$E$54)))=0,"","Trade: "&amp;IF(LEN(INDEX('Documents'!$B$4:$B$503,_calc!$E$54))=0,"",INDEX('Documents'!$B$4:$B$503,_calc!$E$54))&amp;". ")&amp;IF(LEN(IF(LEN(INDEX('Documents'!$D$4:$D$503,_calc!$E$54))=0,"",INDEX('Documents'!$D$4:$D$503,_calc!$E$54)))=0,"","Ref: "&amp;IF(LEN(INDEX('Documents'!$D$4:$D$503,_calc!$E$54))=0,"",INDEX('Documents'!$D$4:$D$503,_calc!$E$54))&amp;". ")&amp;IF(LEN(IF(LEN(INDEX('Documents'!$K$4:$K$503,_calc!$E$54))=0,"",INDEX('Documents'!$K$4:$K$503,_calc!$E$54)))=0,"","On file: "&amp;IF(LEN(INDEX('Documents'!$K$4:$K$503,_calc!$E$54))=0,"",INDEX('Documents'!$K$4:$K$503,_calc!$E$54))&amp;". ")&amp;IF(LEN(IF(LEN(INDEX('Documents'!$L$4:$L$503,_calc!$E$54))=0,"",INDEX('Documents'!$L$4:$L$503,_calc!$E$54)))=0,"","Contractor email: "&amp;IF(LEN(INDEX('Documents'!$L$4:$L$503,_calc!$E$54))=0,"",INDEX('Documents'!$L$4:$L$503,_calc!$E$54))&amp;". ")&amp;IF(LEN(IF(LEN(INDEX('Documents'!$P$4:$P$503,_calc!$E$54))=0,"",INDEX('Documents'!$P$4:$P$503,_calc!$E$54)))=0,"",IF(LEN(INDEX('Documents'!$P$4:$P$503,_calc!$E$54))=0,"",INDEX('Documents'!$P$4:$P$503,_calc!$E$54)))))</f>
        <v/>
      </c>
      <c r="G52" s="43">
        <f>IF(_calc!$E$54="","",IF(LEN(INDEX('Documents'!$O$4:$O$503,_calc!$E$54))=0,"",INDEX('Documents'!$O$4:$O$503,_calc!$E$54)))</f>
        <v/>
      </c>
      <c r="K52" s="43">
        <f>IF(_calc!$E$54="","",IF(LEN(INDEX('Documents'!$M$4:$M$503,_calc!$E$54))=0,"",INDEX('Documents'!$M$4:$M$503,_calc!$E$54)))</f>
        <v/>
      </c>
    </row>
    <row r="53">
      <c r="A53" s="43">
        <f>IF(_calc!$E$55="","",IF(LEN(INDEX('Documents'!$C$4:$C$503,_calc!$E$55))=0,"",INDEX('Documents'!$C$4:$C$503,_calc!$E$55))&amp;" – "&amp;IF(LEN(INDEX('Documents'!$A$4:$A$503,_calc!$E$55))=0,"",INDEX('Documents'!$A$4:$A$503,_calc!$E$55)))</f>
        <v/>
      </c>
      <c r="B53" s="43">
        <f>IF(_calc!$E$55="","",IF(ISNUMBER(INDEX('Documents'!$F$4:$F$503,_calc!$E$55)),TEXT(INDEX('Documents'!$F$4:$F$503,_calc!$E$55),"yyyy-mm-dd"),""))</f>
        <v/>
      </c>
      <c r="C53" s="43">
        <f>IF(_calc!$E$55="","","Contractor document")</f>
        <v/>
      </c>
      <c r="D53" s="43">
        <f>IF(_calc!$E$55="","",IF(ISNUMBER(INDEX('Documents'!$E$4:$E$503,_calc!$E$55)),TEXT(INDEX('Documents'!$E$4:$E$503,_calc!$E$55),"yyyy-mm-dd"),""))</f>
        <v/>
      </c>
      <c r="E53" s="43">
        <f>IF(_calc!$E$55="","",IF(LEN(INDEX('Documents'!$N$4:$N$503,_calc!$E$55))=0,"",INDEX('Documents'!$N$4:$N$503,_calc!$E$55)))</f>
        <v/>
      </c>
      <c r="F53" s="43">
        <f>IF(_calc!$E$55="","",TRIM(IF(LEN(IF(LEN(INDEX('Documents'!$B$4:$B$503,_calc!$E$55))=0,"",INDEX('Documents'!$B$4:$B$503,_calc!$E$55)))=0,"","Trade: "&amp;IF(LEN(INDEX('Documents'!$B$4:$B$503,_calc!$E$55))=0,"",INDEX('Documents'!$B$4:$B$503,_calc!$E$55))&amp;". ")&amp;IF(LEN(IF(LEN(INDEX('Documents'!$D$4:$D$503,_calc!$E$55))=0,"",INDEX('Documents'!$D$4:$D$503,_calc!$E$55)))=0,"","Ref: "&amp;IF(LEN(INDEX('Documents'!$D$4:$D$503,_calc!$E$55))=0,"",INDEX('Documents'!$D$4:$D$503,_calc!$E$55))&amp;". ")&amp;IF(LEN(IF(LEN(INDEX('Documents'!$K$4:$K$503,_calc!$E$55))=0,"",INDEX('Documents'!$K$4:$K$503,_calc!$E$55)))=0,"","On file: "&amp;IF(LEN(INDEX('Documents'!$K$4:$K$503,_calc!$E$55))=0,"",INDEX('Documents'!$K$4:$K$503,_calc!$E$55))&amp;". ")&amp;IF(LEN(IF(LEN(INDEX('Documents'!$L$4:$L$503,_calc!$E$55))=0,"",INDEX('Documents'!$L$4:$L$503,_calc!$E$55)))=0,"","Contractor email: "&amp;IF(LEN(INDEX('Documents'!$L$4:$L$503,_calc!$E$55))=0,"",INDEX('Documents'!$L$4:$L$503,_calc!$E$55))&amp;". ")&amp;IF(LEN(IF(LEN(INDEX('Documents'!$P$4:$P$503,_calc!$E$55))=0,"",INDEX('Documents'!$P$4:$P$503,_calc!$E$55)))=0,"",IF(LEN(INDEX('Documents'!$P$4:$P$503,_calc!$E$55))=0,"",INDEX('Documents'!$P$4:$P$503,_calc!$E$55)))))</f>
        <v/>
      </c>
      <c r="G53" s="43">
        <f>IF(_calc!$E$55="","",IF(LEN(INDEX('Documents'!$O$4:$O$503,_calc!$E$55))=0,"",INDEX('Documents'!$O$4:$O$503,_calc!$E$55)))</f>
        <v/>
      </c>
      <c r="K53" s="43">
        <f>IF(_calc!$E$55="","",IF(LEN(INDEX('Documents'!$M$4:$M$503,_calc!$E$55))=0,"",INDEX('Documents'!$M$4:$M$503,_calc!$E$55)))</f>
        <v/>
      </c>
    </row>
    <row r="54">
      <c r="A54" s="43">
        <f>IF(_calc!$E$56="","",IF(LEN(INDEX('Documents'!$C$4:$C$503,_calc!$E$56))=0,"",INDEX('Documents'!$C$4:$C$503,_calc!$E$56))&amp;" – "&amp;IF(LEN(INDEX('Documents'!$A$4:$A$503,_calc!$E$56))=0,"",INDEX('Documents'!$A$4:$A$503,_calc!$E$56)))</f>
        <v/>
      </c>
      <c r="B54" s="43">
        <f>IF(_calc!$E$56="","",IF(ISNUMBER(INDEX('Documents'!$F$4:$F$503,_calc!$E$56)),TEXT(INDEX('Documents'!$F$4:$F$503,_calc!$E$56),"yyyy-mm-dd"),""))</f>
        <v/>
      </c>
      <c r="C54" s="43">
        <f>IF(_calc!$E$56="","","Contractor document")</f>
        <v/>
      </c>
      <c r="D54" s="43">
        <f>IF(_calc!$E$56="","",IF(ISNUMBER(INDEX('Documents'!$E$4:$E$503,_calc!$E$56)),TEXT(INDEX('Documents'!$E$4:$E$503,_calc!$E$56),"yyyy-mm-dd"),""))</f>
        <v/>
      </c>
      <c r="E54" s="43">
        <f>IF(_calc!$E$56="","",IF(LEN(INDEX('Documents'!$N$4:$N$503,_calc!$E$56))=0,"",INDEX('Documents'!$N$4:$N$503,_calc!$E$56)))</f>
        <v/>
      </c>
      <c r="F54" s="43">
        <f>IF(_calc!$E$56="","",TRIM(IF(LEN(IF(LEN(INDEX('Documents'!$B$4:$B$503,_calc!$E$56))=0,"",INDEX('Documents'!$B$4:$B$503,_calc!$E$56)))=0,"","Trade: "&amp;IF(LEN(INDEX('Documents'!$B$4:$B$503,_calc!$E$56))=0,"",INDEX('Documents'!$B$4:$B$503,_calc!$E$56))&amp;". ")&amp;IF(LEN(IF(LEN(INDEX('Documents'!$D$4:$D$503,_calc!$E$56))=0,"",INDEX('Documents'!$D$4:$D$503,_calc!$E$56)))=0,"","Ref: "&amp;IF(LEN(INDEX('Documents'!$D$4:$D$503,_calc!$E$56))=0,"",INDEX('Documents'!$D$4:$D$503,_calc!$E$56))&amp;". ")&amp;IF(LEN(IF(LEN(INDEX('Documents'!$K$4:$K$503,_calc!$E$56))=0,"",INDEX('Documents'!$K$4:$K$503,_calc!$E$56)))=0,"","On file: "&amp;IF(LEN(INDEX('Documents'!$K$4:$K$503,_calc!$E$56))=0,"",INDEX('Documents'!$K$4:$K$503,_calc!$E$56))&amp;". ")&amp;IF(LEN(IF(LEN(INDEX('Documents'!$L$4:$L$503,_calc!$E$56))=0,"",INDEX('Documents'!$L$4:$L$503,_calc!$E$56)))=0,"","Contractor email: "&amp;IF(LEN(INDEX('Documents'!$L$4:$L$503,_calc!$E$56))=0,"",INDEX('Documents'!$L$4:$L$503,_calc!$E$56))&amp;". ")&amp;IF(LEN(IF(LEN(INDEX('Documents'!$P$4:$P$503,_calc!$E$56))=0,"",INDEX('Documents'!$P$4:$P$503,_calc!$E$56)))=0,"",IF(LEN(INDEX('Documents'!$P$4:$P$503,_calc!$E$56))=0,"",INDEX('Documents'!$P$4:$P$503,_calc!$E$56)))))</f>
        <v/>
      </c>
      <c r="G54" s="43">
        <f>IF(_calc!$E$56="","",IF(LEN(INDEX('Documents'!$O$4:$O$503,_calc!$E$56))=0,"",INDEX('Documents'!$O$4:$O$503,_calc!$E$56)))</f>
        <v/>
      </c>
      <c r="K54" s="43">
        <f>IF(_calc!$E$56="","",IF(LEN(INDEX('Documents'!$M$4:$M$503,_calc!$E$56))=0,"",INDEX('Documents'!$M$4:$M$503,_calc!$E$56)))</f>
        <v/>
      </c>
    </row>
    <row r="55">
      <c r="A55" s="43">
        <f>IF(_calc!$E$57="","",IF(LEN(INDEX('Documents'!$C$4:$C$503,_calc!$E$57))=0,"",INDEX('Documents'!$C$4:$C$503,_calc!$E$57))&amp;" – "&amp;IF(LEN(INDEX('Documents'!$A$4:$A$503,_calc!$E$57))=0,"",INDEX('Documents'!$A$4:$A$503,_calc!$E$57)))</f>
        <v/>
      </c>
      <c r="B55" s="43">
        <f>IF(_calc!$E$57="","",IF(ISNUMBER(INDEX('Documents'!$F$4:$F$503,_calc!$E$57)),TEXT(INDEX('Documents'!$F$4:$F$503,_calc!$E$57),"yyyy-mm-dd"),""))</f>
        <v/>
      </c>
      <c r="C55" s="43">
        <f>IF(_calc!$E$57="","","Contractor document")</f>
        <v/>
      </c>
      <c r="D55" s="43">
        <f>IF(_calc!$E$57="","",IF(ISNUMBER(INDEX('Documents'!$E$4:$E$503,_calc!$E$57)),TEXT(INDEX('Documents'!$E$4:$E$503,_calc!$E$57),"yyyy-mm-dd"),""))</f>
        <v/>
      </c>
      <c r="E55" s="43">
        <f>IF(_calc!$E$57="","",IF(LEN(INDEX('Documents'!$N$4:$N$503,_calc!$E$57))=0,"",INDEX('Documents'!$N$4:$N$503,_calc!$E$57)))</f>
        <v/>
      </c>
      <c r="F55" s="43">
        <f>IF(_calc!$E$57="","",TRIM(IF(LEN(IF(LEN(INDEX('Documents'!$B$4:$B$503,_calc!$E$57))=0,"",INDEX('Documents'!$B$4:$B$503,_calc!$E$57)))=0,"","Trade: "&amp;IF(LEN(INDEX('Documents'!$B$4:$B$503,_calc!$E$57))=0,"",INDEX('Documents'!$B$4:$B$503,_calc!$E$57))&amp;". ")&amp;IF(LEN(IF(LEN(INDEX('Documents'!$D$4:$D$503,_calc!$E$57))=0,"",INDEX('Documents'!$D$4:$D$503,_calc!$E$57)))=0,"","Ref: "&amp;IF(LEN(INDEX('Documents'!$D$4:$D$503,_calc!$E$57))=0,"",INDEX('Documents'!$D$4:$D$503,_calc!$E$57))&amp;". ")&amp;IF(LEN(IF(LEN(INDEX('Documents'!$K$4:$K$503,_calc!$E$57))=0,"",INDEX('Documents'!$K$4:$K$503,_calc!$E$57)))=0,"","On file: "&amp;IF(LEN(INDEX('Documents'!$K$4:$K$503,_calc!$E$57))=0,"",INDEX('Documents'!$K$4:$K$503,_calc!$E$57))&amp;". ")&amp;IF(LEN(IF(LEN(INDEX('Documents'!$L$4:$L$503,_calc!$E$57))=0,"",INDEX('Documents'!$L$4:$L$503,_calc!$E$57)))=0,"","Contractor email: "&amp;IF(LEN(INDEX('Documents'!$L$4:$L$503,_calc!$E$57))=0,"",INDEX('Documents'!$L$4:$L$503,_calc!$E$57))&amp;". ")&amp;IF(LEN(IF(LEN(INDEX('Documents'!$P$4:$P$503,_calc!$E$57))=0,"",INDEX('Documents'!$P$4:$P$503,_calc!$E$57)))=0,"",IF(LEN(INDEX('Documents'!$P$4:$P$503,_calc!$E$57))=0,"",INDEX('Documents'!$P$4:$P$503,_calc!$E$57)))))</f>
        <v/>
      </c>
      <c r="G55" s="43">
        <f>IF(_calc!$E$57="","",IF(LEN(INDEX('Documents'!$O$4:$O$503,_calc!$E$57))=0,"",INDEX('Documents'!$O$4:$O$503,_calc!$E$57)))</f>
        <v/>
      </c>
      <c r="K55" s="43">
        <f>IF(_calc!$E$57="","",IF(LEN(INDEX('Documents'!$M$4:$M$503,_calc!$E$57))=0,"",INDEX('Documents'!$M$4:$M$503,_calc!$E$57)))</f>
        <v/>
      </c>
    </row>
    <row r="56">
      <c r="A56" s="43">
        <f>IF(_calc!$E$58="","",IF(LEN(INDEX('Documents'!$C$4:$C$503,_calc!$E$58))=0,"",INDEX('Documents'!$C$4:$C$503,_calc!$E$58))&amp;" – "&amp;IF(LEN(INDEX('Documents'!$A$4:$A$503,_calc!$E$58))=0,"",INDEX('Documents'!$A$4:$A$503,_calc!$E$58)))</f>
        <v/>
      </c>
      <c r="B56" s="43">
        <f>IF(_calc!$E$58="","",IF(ISNUMBER(INDEX('Documents'!$F$4:$F$503,_calc!$E$58)),TEXT(INDEX('Documents'!$F$4:$F$503,_calc!$E$58),"yyyy-mm-dd"),""))</f>
        <v/>
      </c>
      <c r="C56" s="43">
        <f>IF(_calc!$E$58="","","Contractor document")</f>
        <v/>
      </c>
      <c r="D56" s="43">
        <f>IF(_calc!$E$58="","",IF(ISNUMBER(INDEX('Documents'!$E$4:$E$503,_calc!$E$58)),TEXT(INDEX('Documents'!$E$4:$E$503,_calc!$E$58),"yyyy-mm-dd"),""))</f>
        <v/>
      </c>
      <c r="E56" s="43">
        <f>IF(_calc!$E$58="","",IF(LEN(INDEX('Documents'!$N$4:$N$503,_calc!$E$58))=0,"",INDEX('Documents'!$N$4:$N$503,_calc!$E$58)))</f>
        <v/>
      </c>
      <c r="F56" s="43">
        <f>IF(_calc!$E$58="","",TRIM(IF(LEN(IF(LEN(INDEX('Documents'!$B$4:$B$503,_calc!$E$58))=0,"",INDEX('Documents'!$B$4:$B$503,_calc!$E$58)))=0,"","Trade: "&amp;IF(LEN(INDEX('Documents'!$B$4:$B$503,_calc!$E$58))=0,"",INDEX('Documents'!$B$4:$B$503,_calc!$E$58))&amp;". ")&amp;IF(LEN(IF(LEN(INDEX('Documents'!$D$4:$D$503,_calc!$E$58))=0,"",INDEX('Documents'!$D$4:$D$503,_calc!$E$58)))=0,"","Ref: "&amp;IF(LEN(INDEX('Documents'!$D$4:$D$503,_calc!$E$58))=0,"",INDEX('Documents'!$D$4:$D$503,_calc!$E$58))&amp;". ")&amp;IF(LEN(IF(LEN(INDEX('Documents'!$K$4:$K$503,_calc!$E$58))=0,"",INDEX('Documents'!$K$4:$K$503,_calc!$E$58)))=0,"","On file: "&amp;IF(LEN(INDEX('Documents'!$K$4:$K$503,_calc!$E$58))=0,"",INDEX('Documents'!$K$4:$K$503,_calc!$E$58))&amp;". ")&amp;IF(LEN(IF(LEN(INDEX('Documents'!$L$4:$L$503,_calc!$E$58))=0,"",INDEX('Documents'!$L$4:$L$503,_calc!$E$58)))=0,"","Contractor email: "&amp;IF(LEN(INDEX('Documents'!$L$4:$L$503,_calc!$E$58))=0,"",INDEX('Documents'!$L$4:$L$503,_calc!$E$58))&amp;". ")&amp;IF(LEN(IF(LEN(INDEX('Documents'!$P$4:$P$503,_calc!$E$58))=0,"",INDEX('Documents'!$P$4:$P$503,_calc!$E$58)))=0,"",IF(LEN(INDEX('Documents'!$P$4:$P$503,_calc!$E$58))=0,"",INDEX('Documents'!$P$4:$P$503,_calc!$E$58)))))</f>
        <v/>
      </c>
      <c r="G56" s="43">
        <f>IF(_calc!$E$58="","",IF(LEN(INDEX('Documents'!$O$4:$O$503,_calc!$E$58))=0,"",INDEX('Documents'!$O$4:$O$503,_calc!$E$58)))</f>
        <v/>
      </c>
      <c r="K56" s="43">
        <f>IF(_calc!$E$58="","",IF(LEN(INDEX('Documents'!$M$4:$M$503,_calc!$E$58))=0,"",INDEX('Documents'!$M$4:$M$503,_calc!$E$58)))</f>
        <v/>
      </c>
    </row>
    <row r="57">
      <c r="A57" s="43">
        <f>IF(_calc!$E$59="","",IF(LEN(INDEX('Documents'!$C$4:$C$503,_calc!$E$59))=0,"",INDEX('Documents'!$C$4:$C$503,_calc!$E$59))&amp;" – "&amp;IF(LEN(INDEX('Documents'!$A$4:$A$503,_calc!$E$59))=0,"",INDEX('Documents'!$A$4:$A$503,_calc!$E$59)))</f>
        <v/>
      </c>
      <c r="B57" s="43">
        <f>IF(_calc!$E$59="","",IF(ISNUMBER(INDEX('Documents'!$F$4:$F$503,_calc!$E$59)),TEXT(INDEX('Documents'!$F$4:$F$503,_calc!$E$59),"yyyy-mm-dd"),""))</f>
        <v/>
      </c>
      <c r="C57" s="43">
        <f>IF(_calc!$E$59="","","Contractor document")</f>
        <v/>
      </c>
      <c r="D57" s="43">
        <f>IF(_calc!$E$59="","",IF(ISNUMBER(INDEX('Documents'!$E$4:$E$503,_calc!$E$59)),TEXT(INDEX('Documents'!$E$4:$E$503,_calc!$E$59),"yyyy-mm-dd"),""))</f>
        <v/>
      </c>
      <c r="E57" s="43">
        <f>IF(_calc!$E$59="","",IF(LEN(INDEX('Documents'!$N$4:$N$503,_calc!$E$59))=0,"",INDEX('Documents'!$N$4:$N$503,_calc!$E$59)))</f>
        <v/>
      </c>
      <c r="F57" s="43">
        <f>IF(_calc!$E$59="","",TRIM(IF(LEN(IF(LEN(INDEX('Documents'!$B$4:$B$503,_calc!$E$59))=0,"",INDEX('Documents'!$B$4:$B$503,_calc!$E$59)))=0,"","Trade: "&amp;IF(LEN(INDEX('Documents'!$B$4:$B$503,_calc!$E$59))=0,"",INDEX('Documents'!$B$4:$B$503,_calc!$E$59))&amp;". ")&amp;IF(LEN(IF(LEN(INDEX('Documents'!$D$4:$D$503,_calc!$E$59))=0,"",INDEX('Documents'!$D$4:$D$503,_calc!$E$59)))=0,"","Ref: "&amp;IF(LEN(INDEX('Documents'!$D$4:$D$503,_calc!$E$59))=0,"",INDEX('Documents'!$D$4:$D$503,_calc!$E$59))&amp;". ")&amp;IF(LEN(IF(LEN(INDEX('Documents'!$K$4:$K$503,_calc!$E$59))=0,"",INDEX('Documents'!$K$4:$K$503,_calc!$E$59)))=0,"","On file: "&amp;IF(LEN(INDEX('Documents'!$K$4:$K$503,_calc!$E$59))=0,"",INDEX('Documents'!$K$4:$K$503,_calc!$E$59))&amp;". ")&amp;IF(LEN(IF(LEN(INDEX('Documents'!$L$4:$L$503,_calc!$E$59))=0,"",INDEX('Documents'!$L$4:$L$503,_calc!$E$59)))=0,"","Contractor email: "&amp;IF(LEN(INDEX('Documents'!$L$4:$L$503,_calc!$E$59))=0,"",INDEX('Documents'!$L$4:$L$503,_calc!$E$59))&amp;". ")&amp;IF(LEN(IF(LEN(INDEX('Documents'!$P$4:$P$503,_calc!$E$59))=0,"",INDEX('Documents'!$P$4:$P$503,_calc!$E$59)))=0,"",IF(LEN(INDEX('Documents'!$P$4:$P$503,_calc!$E$59))=0,"",INDEX('Documents'!$P$4:$P$503,_calc!$E$59)))))</f>
        <v/>
      </c>
      <c r="G57" s="43">
        <f>IF(_calc!$E$59="","",IF(LEN(INDEX('Documents'!$O$4:$O$503,_calc!$E$59))=0,"",INDEX('Documents'!$O$4:$O$503,_calc!$E$59)))</f>
        <v/>
      </c>
      <c r="K57" s="43">
        <f>IF(_calc!$E$59="","",IF(LEN(INDEX('Documents'!$M$4:$M$503,_calc!$E$59))=0,"",INDEX('Documents'!$M$4:$M$503,_calc!$E$59)))</f>
        <v/>
      </c>
    </row>
    <row r="58">
      <c r="A58" s="43">
        <f>IF(_calc!$E$60="","",IF(LEN(INDEX('Documents'!$C$4:$C$503,_calc!$E$60))=0,"",INDEX('Documents'!$C$4:$C$503,_calc!$E$60))&amp;" – "&amp;IF(LEN(INDEX('Documents'!$A$4:$A$503,_calc!$E$60))=0,"",INDEX('Documents'!$A$4:$A$503,_calc!$E$60)))</f>
        <v/>
      </c>
      <c r="B58" s="43">
        <f>IF(_calc!$E$60="","",IF(ISNUMBER(INDEX('Documents'!$F$4:$F$503,_calc!$E$60)),TEXT(INDEX('Documents'!$F$4:$F$503,_calc!$E$60),"yyyy-mm-dd"),""))</f>
        <v/>
      </c>
      <c r="C58" s="43">
        <f>IF(_calc!$E$60="","","Contractor document")</f>
        <v/>
      </c>
      <c r="D58" s="43">
        <f>IF(_calc!$E$60="","",IF(ISNUMBER(INDEX('Documents'!$E$4:$E$503,_calc!$E$60)),TEXT(INDEX('Documents'!$E$4:$E$503,_calc!$E$60),"yyyy-mm-dd"),""))</f>
        <v/>
      </c>
      <c r="E58" s="43">
        <f>IF(_calc!$E$60="","",IF(LEN(INDEX('Documents'!$N$4:$N$503,_calc!$E$60))=0,"",INDEX('Documents'!$N$4:$N$503,_calc!$E$60)))</f>
        <v/>
      </c>
      <c r="F58" s="43">
        <f>IF(_calc!$E$60="","",TRIM(IF(LEN(IF(LEN(INDEX('Documents'!$B$4:$B$503,_calc!$E$60))=0,"",INDEX('Documents'!$B$4:$B$503,_calc!$E$60)))=0,"","Trade: "&amp;IF(LEN(INDEX('Documents'!$B$4:$B$503,_calc!$E$60))=0,"",INDEX('Documents'!$B$4:$B$503,_calc!$E$60))&amp;". ")&amp;IF(LEN(IF(LEN(INDEX('Documents'!$D$4:$D$503,_calc!$E$60))=0,"",INDEX('Documents'!$D$4:$D$503,_calc!$E$60)))=0,"","Ref: "&amp;IF(LEN(INDEX('Documents'!$D$4:$D$503,_calc!$E$60))=0,"",INDEX('Documents'!$D$4:$D$503,_calc!$E$60))&amp;". ")&amp;IF(LEN(IF(LEN(INDEX('Documents'!$K$4:$K$503,_calc!$E$60))=0,"",INDEX('Documents'!$K$4:$K$503,_calc!$E$60)))=0,"","On file: "&amp;IF(LEN(INDEX('Documents'!$K$4:$K$503,_calc!$E$60))=0,"",INDEX('Documents'!$K$4:$K$503,_calc!$E$60))&amp;". ")&amp;IF(LEN(IF(LEN(INDEX('Documents'!$L$4:$L$503,_calc!$E$60))=0,"",INDEX('Documents'!$L$4:$L$503,_calc!$E$60)))=0,"","Contractor email: "&amp;IF(LEN(INDEX('Documents'!$L$4:$L$503,_calc!$E$60))=0,"",INDEX('Documents'!$L$4:$L$503,_calc!$E$60))&amp;". ")&amp;IF(LEN(IF(LEN(INDEX('Documents'!$P$4:$P$503,_calc!$E$60))=0,"",INDEX('Documents'!$P$4:$P$503,_calc!$E$60)))=0,"",IF(LEN(INDEX('Documents'!$P$4:$P$503,_calc!$E$60))=0,"",INDEX('Documents'!$P$4:$P$503,_calc!$E$60)))))</f>
        <v/>
      </c>
      <c r="G58" s="43">
        <f>IF(_calc!$E$60="","",IF(LEN(INDEX('Documents'!$O$4:$O$503,_calc!$E$60))=0,"",INDEX('Documents'!$O$4:$O$503,_calc!$E$60)))</f>
        <v/>
      </c>
      <c r="K58" s="43">
        <f>IF(_calc!$E$60="","",IF(LEN(INDEX('Documents'!$M$4:$M$503,_calc!$E$60))=0,"",INDEX('Documents'!$M$4:$M$503,_calc!$E$60)))</f>
        <v/>
      </c>
    </row>
    <row r="59">
      <c r="A59" s="43">
        <f>IF(_calc!$E$61="","",IF(LEN(INDEX('Documents'!$C$4:$C$503,_calc!$E$61))=0,"",INDEX('Documents'!$C$4:$C$503,_calc!$E$61))&amp;" – "&amp;IF(LEN(INDEX('Documents'!$A$4:$A$503,_calc!$E$61))=0,"",INDEX('Documents'!$A$4:$A$503,_calc!$E$61)))</f>
        <v/>
      </c>
      <c r="B59" s="43">
        <f>IF(_calc!$E$61="","",IF(ISNUMBER(INDEX('Documents'!$F$4:$F$503,_calc!$E$61)),TEXT(INDEX('Documents'!$F$4:$F$503,_calc!$E$61),"yyyy-mm-dd"),""))</f>
        <v/>
      </c>
      <c r="C59" s="43">
        <f>IF(_calc!$E$61="","","Contractor document")</f>
        <v/>
      </c>
      <c r="D59" s="43">
        <f>IF(_calc!$E$61="","",IF(ISNUMBER(INDEX('Documents'!$E$4:$E$503,_calc!$E$61)),TEXT(INDEX('Documents'!$E$4:$E$503,_calc!$E$61),"yyyy-mm-dd"),""))</f>
        <v/>
      </c>
      <c r="E59" s="43">
        <f>IF(_calc!$E$61="","",IF(LEN(INDEX('Documents'!$N$4:$N$503,_calc!$E$61))=0,"",INDEX('Documents'!$N$4:$N$503,_calc!$E$61)))</f>
        <v/>
      </c>
      <c r="F59" s="43">
        <f>IF(_calc!$E$61="","",TRIM(IF(LEN(IF(LEN(INDEX('Documents'!$B$4:$B$503,_calc!$E$61))=0,"",INDEX('Documents'!$B$4:$B$503,_calc!$E$61)))=0,"","Trade: "&amp;IF(LEN(INDEX('Documents'!$B$4:$B$503,_calc!$E$61))=0,"",INDEX('Documents'!$B$4:$B$503,_calc!$E$61))&amp;". ")&amp;IF(LEN(IF(LEN(INDEX('Documents'!$D$4:$D$503,_calc!$E$61))=0,"",INDEX('Documents'!$D$4:$D$503,_calc!$E$61)))=0,"","Ref: "&amp;IF(LEN(INDEX('Documents'!$D$4:$D$503,_calc!$E$61))=0,"",INDEX('Documents'!$D$4:$D$503,_calc!$E$61))&amp;". ")&amp;IF(LEN(IF(LEN(INDEX('Documents'!$K$4:$K$503,_calc!$E$61))=0,"",INDEX('Documents'!$K$4:$K$503,_calc!$E$61)))=0,"","On file: "&amp;IF(LEN(INDEX('Documents'!$K$4:$K$503,_calc!$E$61))=0,"",INDEX('Documents'!$K$4:$K$503,_calc!$E$61))&amp;". ")&amp;IF(LEN(IF(LEN(INDEX('Documents'!$L$4:$L$503,_calc!$E$61))=0,"",INDEX('Documents'!$L$4:$L$503,_calc!$E$61)))=0,"","Contractor email: "&amp;IF(LEN(INDEX('Documents'!$L$4:$L$503,_calc!$E$61))=0,"",INDEX('Documents'!$L$4:$L$503,_calc!$E$61))&amp;". ")&amp;IF(LEN(IF(LEN(INDEX('Documents'!$P$4:$P$503,_calc!$E$61))=0,"",INDEX('Documents'!$P$4:$P$503,_calc!$E$61)))=0,"",IF(LEN(INDEX('Documents'!$P$4:$P$503,_calc!$E$61))=0,"",INDEX('Documents'!$P$4:$P$503,_calc!$E$61)))))</f>
        <v/>
      </c>
      <c r="G59" s="43">
        <f>IF(_calc!$E$61="","",IF(LEN(INDEX('Documents'!$O$4:$O$503,_calc!$E$61))=0,"",INDEX('Documents'!$O$4:$O$503,_calc!$E$61)))</f>
        <v/>
      </c>
      <c r="K59" s="43">
        <f>IF(_calc!$E$61="","",IF(LEN(INDEX('Documents'!$M$4:$M$503,_calc!$E$61))=0,"",INDEX('Documents'!$M$4:$M$503,_calc!$E$61)))</f>
        <v/>
      </c>
    </row>
    <row r="60">
      <c r="A60" s="43">
        <f>IF(_calc!$E$62="","",IF(LEN(INDEX('Documents'!$C$4:$C$503,_calc!$E$62))=0,"",INDEX('Documents'!$C$4:$C$503,_calc!$E$62))&amp;" – "&amp;IF(LEN(INDEX('Documents'!$A$4:$A$503,_calc!$E$62))=0,"",INDEX('Documents'!$A$4:$A$503,_calc!$E$62)))</f>
        <v/>
      </c>
      <c r="B60" s="43">
        <f>IF(_calc!$E$62="","",IF(ISNUMBER(INDEX('Documents'!$F$4:$F$503,_calc!$E$62)),TEXT(INDEX('Documents'!$F$4:$F$503,_calc!$E$62),"yyyy-mm-dd"),""))</f>
        <v/>
      </c>
      <c r="C60" s="43">
        <f>IF(_calc!$E$62="","","Contractor document")</f>
        <v/>
      </c>
      <c r="D60" s="43">
        <f>IF(_calc!$E$62="","",IF(ISNUMBER(INDEX('Documents'!$E$4:$E$503,_calc!$E$62)),TEXT(INDEX('Documents'!$E$4:$E$503,_calc!$E$62),"yyyy-mm-dd"),""))</f>
        <v/>
      </c>
      <c r="E60" s="43">
        <f>IF(_calc!$E$62="","",IF(LEN(INDEX('Documents'!$N$4:$N$503,_calc!$E$62))=0,"",INDEX('Documents'!$N$4:$N$503,_calc!$E$62)))</f>
        <v/>
      </c>
      <c r="F60" s="43">
        <f>IF(_calc!$E$62="","",TRIM(IF(LEN(IF(LEN(INDEX('Documents'!$B$4:$B$503,_calc!$E$62))=0,"",INDEX('Documents'!$B$4:$B$503,_calc!$E$62)))=0,"","Trade: "&amp;IF(LEN(INDEX('Documents'!$B$4:$B$503,_calc!$E$62))=0,"",INDEX('Documents'!$B$4:$B$503,_calc!$E$62))&amp;". ")&amp;IF(LEN(IF(LEN(INDEX('Documents'!$D$4:$D$503,_calc!$E$62))=0,"",INDEX('Documents'!$D$4:$D$503,_calc!$E$62)))=0,"","Ref: "&amp;IF(LEN(INDEX('Documents'!$D$4:$D$503,_calc!$E$62))=0,"",INDEX('Documents'!$D$4:$D$503,_calc!$E$62))&amp;". ")&amp;IF(LEN(IF(LEN(INDEX('Documents'!$K$4:$K$503,_calc!$E$62))=0,"",INDEX('Documents'!$K$4:$K$503,_calc!$E$62)))=0,"","On file: "&amp;IF(LEN(INDEX('Documents'!$K$4:$K$503,_calc!$E$62))=0,"",INDEX('Documents'!$K$4:$K$503,_calc!$E$62))&amp;". ")&amp;IF(LEN(IF(LEN(INDEX('Documents'!$L$4:$L$503,_calc!$E$62))=0,"",INDEX('Documents'!$L$4:$L$503,_calc!$E$62)))=0,"","Contractor email: "&amp;IF(LEN(INDEX('Documents'!$L$4:$L$503,_calc!$E$62))=0,"",INDEX('Documents'!$L$4:$L$503,_calc!$E$62))&amp;". ")&amp;IF(LEN(IF(LEN(INDEX('Documents'!$P$4:$P$503,_calc!$E$62))=0,"",INDEX('Documents'!$P$4:$P$503,_calc!$E$62)))=0,"",IF(LEN(INDEX('Documents'!$P$4:$P$503,_calc!$E$62))=0,"",INDEX('Documents'!$P$4:$P$503,_calc!$E$62)))))</f>
        <v/>
      </c>
      <c r="G60" s="43">
        <f>IF(_calc!$E$62="","",IF(LEN(INDEX('Documents'!$O$4:$O$503,_calc!$E$62))=0,"",INDEX('Documents'!$O$4:$O$503,_calc!$E$62)))</f>
        <v/>
      </c>
      <c r="K60" s="43">
        <f>IF(_calc!$E$62="","",IF(LEN(INDEX('Documents'!$M$4:$M$503,_calc!$E$62))=0,"",INDEX('Documents'!$M$4:$M$503,_calc!$E$62)))</f>
        <v/>
      </c>
    </row>
    <row r="61">
      <c r="A61" s="43">
        <f>IF(_calc!$E$63="","",IF(LEN(INDEX('Documents'!$C$4:$C$503,_calc!$E$63))=0,"",INDEX('Documents'!$C$4:$C$503,_calc!$E$63))&amp;" – "&amp;IF(LEN(INDEX('Documents'!$A$4:$A$503,_calc!$E$63))=0,"",INDEX('Documents'!$A$4:$A$503,_calc!$E$63)))</f>
        <v/>
      </c>
      <c r="B61" s="43">
        <f>IF(_calc!$E$63="","",IF(ISNUMBER(INDEX('Documents'!$F$4:$F$503,_calc!$E$63)),TEXT(INDEX('Documents'!$F$4:$F$503,_calc!$E$63),"yyyy-mm-dd"),""))</f>
        <v/>
      </c>
      <c r="C61" s="43">
        <f>IF(_calc!$E$63="","","Contractor document")</f>
        <v/>
      </c>
      <c r="D61" s="43">
        <f>IF(_calc!$E$63="","",IF(ISNUMBER(INDEX('Documents'!$E$4:$E$503,_calc!$E$63)),TEXT(INDEX('Documents'!$E$4:$E$503,_calc!$E$63),"yyyy-mm-dd"),""))</f>
        <v/>
      </c>
      <c r="E61" s="43">
        <f>IF(_calc!$E$63="","",IF(LEN(INDEX('Documents'!$N$4:$N$503,_calc!$E$63))=0,"",INDEX('Documents'!$N$4:$N$503,_calc!$E$63)))</f>
        <v/>
      </c>
      <c r="F61" s="43">
        <f>IF(_calc!$E$63="","",TRIM(IF(LEN(IF(LEN(INDEX('Documents'!$B$4:$B$503,_calc!$E$63))=0,"",INDEX('Documents'!$B$4:$B$503,_calc!$E$63)))=0,"","Trade: "&amp;IF(LEN(INDEX('Documents'!$B$4:$B$503,_calc!$E$63))=0,"",INDEX('Documents'!$B$4:$B$503,_calc!$E$63))&amp;". ")&amp;IF(LEN(IF(LEN(INDEX('Documents'!$D$4:$D$503,_calc!$E$63))=0,"",INDEX('Documents'!$D$4:$D$503,_calc!$E$63)))=0,"","Ref: "&amp;IF(LEN(INDEX('Documents'!$D$4:$D$503,_calc!$E$63))=0,"",INDEX('Documents'!$D$4:$D$503,_calc!$E$63))&amp;". ")&amp;IF(LEN(IF(LEN(INDEX('Documents'!$K$4:$K$503,_calc!$E$63))=0,"",INDEX('Documents'!$K$4:$K$503,_calc!$E$63)))=0,"","On file: "&amp;IF(LEN(INDEX('Documents'!$K$4:$K$503,_calc!$E$63))=0,"",INDEX('Documents'!$K$4:$K$503,_calc!$E$63))&amp;". ")&amp;IF(LEN(IF(LEN(INDEX('Documents'!$L$4:$L$503,_calc!$E$63))=0,"",INDEX('Documents'!$L$4:$L$503,_calc!$E$63)))=0,"","Contractor email: "&amp;IF(LEN(INDEX('Documents'!$L$4:$L$503,_calc!$E$63))=0,"",INDEX('Documents'!$L$4:$L$503,_calc!$E$63))&amp;". ")&amp;IF(LEN(IF(LEN(INDEX('Documents'!$P$4:$P$503,_calc!$E$63))=0,"",INDEX('Documents'!$P$4:$P$503,_calc!$E$63)))=0,"",IF(LEN(INDEX('Documents'!$P$4:$P$503,_calc!$E$63))=0,"",INDEX('Documents'!$P$4:$P$503,_calc!$E$63)))))</f>
        <v/>
      </c>
      <c r="G61" s="43">
        <f>IF(_calc!$E$63="","",IF(LEN(INDEX('Documents'!$O$4:$O$503,_calc!$E$63))=0,"",INDEX('Documents'!$O$4:$O$503,_calc!$E$63)))</f>
        <v/>
      </c>
      <c r="K61" s="43">
        <f>IF(_calc!$E$63="","",IF(LEN(INDEX('Documents'!$M$4:$M$503,_calc!$E$63))=0,"",INDEX('Documents'!$M$4:$M$503,_calc!$E$63)))</f>
        <v/>
      </c>
    </row>
    <row r="62">
      <c r="A62" s="43">
        <f>IF(_calc!$E$64="","",IF(LEN(INDEX('Documents'!$C$4:$C$503,_calc!$E$64))=0,"",INDEX('Documents'!$C$4:$C$503,_calc!$E$64))&amp;" – "&amp;IF(LEN(INDEX('Documents'!$A$4:$A$503,_calc!$E$64))=0,"",INDEX('Documents'!$A$4:$A$503,_calc!$E$64)))</f>
        <v/>
      </c>
      <c r="B62" s="43">
        <f>IF(_calc!$E$64="","",IF(ISNUMBER(INDEX('Documents'!$F$4:$F$503,_calc!$E$64)),TEXT(INDEX('Documents'!$F$4:$F$503,_calc!$E$64),"yyyy-mm-dd"),""))</f>
        <v/>
      </c>
      <c r="C62" s="43">
        <f>IF(_calc!$E$64="","","Contractor document")</f>
        <v/>
      </c>
      <c r="D62" s="43">
        <f>IF(_calc!$E$64="","",IF(ISNUMBER(INDEX('Documents'!$E$4:$E$503,_calc!$E$64)),TEXT(INDEX('Documents'!$E$4:$E$503,_calc!$E$64),"yyyy-mm-dd"),""))</f>
        <v/>
      </c>
      <c r="E62" s="43">
        <f>IF(_calc!$E$64="","",IF(LEN(INDEX('Documents'!$N$4:$N$503,_calc!$E$64))=0,"",INDEX('Documents'!$N$4:$N$503,_calc!$E$64)))</f>
        <v/>
      </c>
      <c r="F62" s="43">
        <f>IF(_calc!$E$64="","",TRIM(IF(LEN(IF(LEN(INDEX('Documents'!$B$4:$B$503,_calc!$E$64))=0,"",INDEX('Documents'!$B$4:$B$503,_calc!$E$64)))=0,"","Trade: "&amp;IF(LEN(INDEX('Documents'!$B$4:$B$503,_calc!$E$64))=0,"",INDEX('Documents'!$B$4:$B$503,_calc!$E$64))&amp;". ")&amp;IF(LEN(IF(LEN(INDEX('Documents'!$D$4:$D$503,_calc!$E$64))=0,"",INDEX('Documents'!$D$4:$D$503,_calc!$E$64)))=0,"","Ref: "&amp;IF(LEN(INDEX('Documents'!$D$4:$D$503,_calc!$E$64))=0,"",INDEX('Documents'!$D$4:$D$503,_calc!$E$64))&amp;". ")&amp;IF(LEN(IF(LEN(INDEX('Documents'!$K$4:$K$503,_calc!$E$64))=0,"",INDEX('Documents'!$K$4:$K$503,_calc!$E$64)))=0,"","On file: "&amp;IF(LEN(INDEX('Documents'!$K$4:$K$503,_calc!$E$64))=0,"",INDEX('Documents'!$K$4:$K$503,_calc!$E$64))&amp;". ")&amp;IF(LEN(IF(LEN(INDEX('Documents'!$L$4:$L$503,_calc!$E$64))=0,"",INDEX('Documents'!$L$4:$L$503,_calc!$E$64)))=0,"","Contractor email: "&amp;IF(LEN(INDEX('Documents'!$L$4:$L$503,_calc!$E$64))=0,"",INDEX('Documents'!$L$4:$L$503,_calc!$E$64))&amp;". ")&amp;IF(LEN(IF(LEN(INDEX('Documents'!$P$4:$P$503,_calc!$E$64))=0,"",INDEX('Documents'!$P$4:$P$503,_calc!$E$64)))=0,"",IF(LEN(INDEX('Documents'!$P$4:$P$503,_calc!$E$64))=0,"",INDEX('Documents'!$P$4:$P$503,_calc!$E$64)))))</f>
        <v/>
      </c>
      <c r="G62" s="43">
        <f>IF(_calc!$E$64="","",IF(LEN(INDEX('Documents'!$O$4:$O$503,_calc!$E$64))=0,"",INDEX('Documents'!$O$4:$O$503,_calc!$E$64)))</f>
        <v/>
      </c>
      <c r="K62" s="43">
        <f>IF(_calc!$E$64="","",IF(LEN(INDEX('Documents'!$M$4:$M$503,_calc!$E$64))=0,"",INDEX('Documents'!$M$4:$M$503,_calc!$E$64)))</f>
        <v/>
      </c>
    </row>
    <row r="63">
      <c r="A63" s="43">
        <f>IF(_calc!$E$65="","",IF(LEN(INDEX('Documents'!$C$4:$C$503,_calc!$E$65))=0,"",INDEX('Documents'!$C$4:$C$503,_calc!$E$65))&amp;" – "&amp;IF(LEN(INDEX('Documents'!$A$4:$A$503,_calc!$E$65))=0,"",INDEX('Documents'!$A$4:$A$503,_calc!$E$65)))</f>
        <v/>
      </c>
      <c r="B63" s="43">
        <f>IF(_calc!$E$65="","",IF(ISNUMBER(INDEX('Documents'!$F$4:$F$503,_calc!$E$65)),TEXT(INDEX('Documents'!$F$4:$F$503,_calc!$E$65),"yyyy-mm-dd"),""))</f>
        <v/>
      </c>
      <c r="C63" s="43">
        <f>IF(_calc!$E$65="","","Contractor document")</f>
        <v/>
      </c>
      <c r="D63" s="43">
        <f>IF(_calc!$E$65="","",IF(ISNUMBER(INDEX('Documents'!$E$4:$E$503,_calc!$E$65)),TEXT(INDEX('Documents'!$E$4:$E$503,_calc!$E$65),"yyyy-mm-dd"),""))</f>
        <v/>
      </c>
      <c r="E63" s="43">
        <f>IF(_calc!$E$65="","",IF(LEN(INDEX('Documents'!$N$4:$N$503,_calc!$E$65))=0,"",INDEX('Documents'!$N$4:$N$503,_calc!$E$65)))</f>
        <v/>
      </c>
      <c r="F63" s="43">
        <f>IF(_calc!$E$65="","",TRIM(IF(LEN(IF(LEN(INDEX('Documents'!$B$4:$B$503,_calc!$E$65))=0,"",INDEX('Documents'!$B$4:$B$503,_calc!$E$65)))=0,"","Trade: "&amp;IF(LEN(INDEX('Documents'!$B$4:$B$503,_calc!$E$65))=0,"",INDEX('Documents'!$B$4:$B$503,_calc!$E$65))&amp;". ")&amp;IF(LEN(IF(LEN(INDEX('Documents'!$D$4:$D$503,_calc!$E$65))=0,"",INDEX('Documents'!$D$4:$D$503,_calc!$E$65)))=0,"","Ref: "&amp;IF(LEN(INDEX('Documents'!$D$4:$D$503,_calc!$E$65))=0,"",INDEX('Documents'!$D$4:$D$503,_calc!$E$65))&amp;". ")&amp;IF(LEN(IF(LEN(INDEX('Documents'!$K$4:$K$503,_calc!$E$65))=0,"",INDEX('Documents'!$K$4:$K$503,_calc!$E$65)))=0,"","On file: "&amp;IF(LEN(INDEX('Documents'!$K$4:$K$503,_calc!$E$65))=0,"",INDEX('Documents'!$K$4:$K$503,_calc!$E$65))&amp;". ")&amp;IF(LEN(IF(LEN(INDEX('Documents'!$L$4:$L$503,_calc!$E$65))=0,"",INDEX('Documents'!$L$4:$L$503,_calc!$E$65)))=0,"","Contractor email: "&amp;IF(LEN(INDEX('Documents'!$L$4:$L$503,_calc!$E$65))=0,"",INDEX('Documents'!$L$4:$L$503,_calc!$E$65))&amp;". ")&amp;IF(LEN(IF(LEN(INDEX('Documents'!$P$4:$P$503,_calc!$E$65))=0,"",INDEX('Documents'!$P$4:$P$503,_calc!$E$65)))=0,"",IF(LEN(INDEX('Documents'!$P$4:$P$503,_calc!$E$65))=0,"",INDEX('Documents'!$P$4:$P$503,_calc!$E$65)))))</f>
        <v/>
      </c>
      <c r="G63" s="43">
        <f>IF(_calc!$E$65="","",IF(LEN(INDEX('Documents'!$O$4:$O$503,_calc!$E$65))=0,"",INDEX('Documents'!$O$4:$O$503,_calc!$E$65)))</f>
        <v/>
      </c>
      <c r="K63" s="43">
        <f>IF(_calc!$E$65="","",IF(LEN(INDEX('Documents'!$M$4:$M$503,_calc!$E$65))=0,"",INDEX('Documents'!$M$4:$M$503,_calc!$E$65)))</f>
        <v/>
      </c>
    </row>
    <row r="64">
      <c r="A64" s="43">
        <f>IF(_calc!$E$66="","",IF(LEN(INDEX('Documents'!$C$4:$C$503,_calc!$E$66))=0,"",INDEX('Documents'!$C$4:$C$503,_calc!$E$66))&amp;" – "&amp;IF(LEN(INDEX('Documents'!$A$4:$A$503,_calc!$E$66))=0,"",INDEX('Documents'!$A$4:$A$503,_calc!$E$66)))</f>
        <v/>
      </c>
      <c r="B64" s="43">
        <f>IF(_calc!$E$66="","",IF(ISNUMBER(INDEX('Documents'!$F$4:$F$503,_calc!$E$66)),TEXT(INDEX('Documents'!$F$4:$F$503,_calc!$E$66),"yyyy-mm-dd"),""))</f>
        <v/>
      </c>
      <c r="C64" s="43">
        <f>IF(_calc!$E$66="","","Contractor document")</f>
        <v/>
      </c>
      <c r="D64" s="43">
        <f>IF(_calc!$E$66="","",IF(ISNUMBER(INDEX('Documents'!$E$4:$E$503,_calc!$E$66)),TEXT(INDEX('Documents'!$E$4:$E$503,_calc!$E$66),"yyyy-mm-dd"),""))</f>
        <v/>
      </c>
      <c r="E64" s="43">
        <f>IF(_calc!$E$66="","",IF(LEN(INDEX('Documents'!$N$4:$N$503,_calc!$E$66))=0,"",INDEX('Documents'!$N$4:$N$503,_calc!$E$66)))</f>
        <v/>
      </c>
      <c r="F64" s="43">
        <f>IF(_calc!$E$66="","",TRIM(IF(LEN(IF(LEN(INDEX('Documents'!$B$4:$B$503,_calc!$E$66))=0,"",INDEX('Documents'!$B$4:$B$503,_calc!$E$66)))=0,"","Trade: "&amp;IF(LEN(INDEX('Documents'!$B$4:$B$503,_calc!$E$66))=0,"",INDEX('Documents'!$B$4:$B$503,_calc!$E$66))&amp;". ")&amp;IF(LEN(IF(LEN(INDEX('Documents'!$D$4:$D$503,_calc!$E$66))=0,"",INDEX('Documents'!$D$4:$D$503,_calc!$E$66)))=0,"","Ref: "&amp;IF(LEN(INDEX('Documents'!$D$4:$D$503,_calc!$E$66))=0,"",INDEX('Documents'!$D$4:$D$503,_calc!$E$66))&amp;". ")&amp;IF(LEN(IF(LEN(INDEX('Documents'!$K$4:$K$503,_calc!$E$66))=0,"",INDEX('Documents'!$K$4:$K$503,_calc!$E$66)))=0,"","On file: "&amp;IF(LEN(INDEX('Documents'!$K$4:$K$503,_calc!$E$66))=0,"",INDEX('Documents'!$K$4:$K$503,_calc!$E$66))&amp;". ")&amp;IF(LEN(IF(LEN(INDEX('Documents'!$L$4:$L$503,_calc!$E$66))=0,"",INDEX('Documents'!$L$4:$L$503,_calc!$E$66)))=0,"","Contractor email: "&amp;IF(LEN(INDEX('Documents'!$L$4:$L$503,_calc!$E$66))=0,"",INDEX('Documents'!$L$4:$L$503,_calc!$E$66))&amp;". ")&amp;IF(LEN(IF(LEN(INDEX('Documents'!$P$4:$P$503,_calc!$E$66))=0,"",INDEX('Documents'!$P$4:$P$503,_calc!$E$66)))=0,"",IF(LEN(INDEX('Documents'!$P$4:$P$503,_calc!$E$66))=0,"",INDEX('Documents'!$P$4:$P$503,_calc!$E$66)))))</f>
        <v/>
      </c>
      <c r="G64" s="43">
        <f>IF(_calc!$E$66="","",IF(LEN(INDEX('Documents'!$O$4:$O$503,_calc!$E$66))=0,"",INDEX('Documents'!$O$4:$O$503,_calc!$E$66)))</f>
        <v/>
      </c>
      <c r="K64" s="43">
        <f>IF(_calc!$E$66="","",IF(LEN(INDEX('Documents'!$M$4:$M$503,_calc!$E$66))=0,"",INDEX('Documents'!$M$4:$M$503,_calc!$E$66)))</f>
        <v/>
      </c>
    </row>
    <row r="65">
      <c r="A65" s="43">
        <f>IF(_calc!$E$67="","",IF(LEN(INDEX('Documents'!$C$4:$C$503,_calc!$E$67))=0,"",INDEX('Documents'!$C$4:$C$503,_calc!$E$67))&amp;" – "&amp;IF(LEN(INDEX('Documents'!$A$4:$A$503,_calc!$E$67))=0,"",INDEX('Documents'!$A$4:$A$503,_calc!$E$67)))</f>
        <v/>
      </c>
      <c r="B65" s="43">
        <f>IF(_calc!$E$67="","",IF(ISNUMBER(INDEX('Documents'!$F$4:$F$503,_calc!$E$67)),TEXT(INDEX('Documents'!$F$4:$F$503,_calc!$E$67),"yyyy-mm-dd"),""))</f>
        <v/>
      </c>
      <c r="C65" s="43">
        <f>IF(_calc!$E$67="","","Contractor document")</f>
        <v/>
      </c>
      <c r="D65" s="43">
        <f>IF(_calc!$E$67="","",IF(ISNUMBER(INDEX('Documents'!$E$4:$E$503,_calc!$E$67)),TEXT(INDEX('Documents'!$E$4:$E$503,_calc!$E$67),"yyyy-mm-dd"),""))</f>
        <v/>
      </c>
      <c r="E65" s="43">
        <f>IF(_calc!$E$67="","",IF(LEN(INDEX('Documents'!$N$4:$N$503,_calc!$E$67))=0,"",INDEX('Documents'!$N$4:$N$503,_calc!$E$67)))</f>
        <v/>
      </c>
      <c r="F65" s="43">
        <f>IF(_calc!$E$67="","",TRIM(IF(LEN(IF(LEN(INDEX('Documents'!$B$4:$B$503,_calc!$E$67))=0,"",INDEX('Documents'!$B$4:$B$503,_calc!$E$67)))=0,"","Trade: "&amp;IF(LEN(INDEX('Documents'!$B$4:$B$503,_calc!$E$67))=0,"",INDEX('Documents'!$B$4:$B$503,_calc!$E$67))&amp;". ")&amp;IF(LEN(IF(LEN(INDEX('Documents'!$D$4:$D$503,_calc!$E$67))=0,"",INDEX('Documents'!$D$4:$D$503,_calc!$E$67)))=0,"","Ref: "&amp;IF(LEN(INDEX('Documents'!$D$4:$D$503,_calc!$E$67))=0,"",INDEX('Documents'!$D$4:$D$503,_calc!$E$67))&amp;". ")&amp;IF(LEN(IF(LEN(INDEX('Documents'!$K$4:$K$503,_calc!$E$67))=0,"",INDEX('Documents'!$K$4:$K$503,_calc!$E$67)))=0,"","On file: "&amp;IF(LEN(INDEX('Documents'!$K$4:$K$503,_calc!$E$67))=0,"",INDEX('Documents'!$K$4:$K$503,_calc!$E$67))&amp;". ")&amp;IF(LEN(IF(LEN(INDEX('Documents'!$L$4:$L$503,_calc!$E$67))=0,"",INDEX('Documents'!$L$4:$L$503,_calc!$E$67)))=0,"","Contractor email: "&amp;IF(LEN(INDEX('Documents'!$L$4:$L$503,_calc!$E$67))=0,"",INDEX('Documents'!$L$4:$L$503,_calc!$E$67))&amp;". ")&amp;IF(LEN(IF(LEN(INDEX('Documents'!$P$4:$P$503,_calc!$E$67))=0,"",INDEX('Documents'!$P$4:$P$503,_calc!$E$67)))=0,"",IF(LEN(INDEX('Documents'!$P$4:$P$503,_calc!$E$67))=0,"",INDEX('Documents'!$P$4:$P$503,_calc!$E$67)))))</f>
        <v/>
      </c>
      <c r="G65" s="43">
        <f>IF(_calc!$E$67="","",IF(LEN(INDEX('Documents'!$O$4:$O$503,_calc!$E$67))=0,"",INDEX('Documents'!$O$4:$O$503,_calc!$E$67)))</f>
        <v/>
      </c>
      <c r="K65" s="43">
        <f>IF(_calc!$E$67="","",IF(LEN(INDEX('Documents'!$M$4:$M$503,_calc!$E$67))=0,"",INDEX('Documents'!$M$4:$M$503,_calc!$E$67)))</f>
        <v/>
      </c>
    </row>
    <row r="66">
      <c r="A66" s="43">
        <f>IF(_calc!$E$68="","",IF(LEN(INDEX('Documents'!$C$4:$C$503,_calc!$E$68))=0,"",INDEX('Documents'!$C$4:$C$503,_calc!$E$68))&amp;" – "&amp;IF(LEN(INDEX('Documents'!$A$4:$A$503,_calc!$E$68))=0,"",INDEX('Documents'!$A$4:$A$503,_calc!$E$68)))</f>
        <v/>
      </c>
      <c r="B66" s="43">
        <f>IF(_calc!$E$68="","",IF(ISNUMBER(INDEX('Documents'!$F$4:$F$503,_calc!$E$68)),TEXT(INDEX('Documents'!$F$4:$F$503,_calc!$E$68),"yyyy-mm-dd"),""))</f>
        <v/>
      </c>
      <c r="C66" s="43">
        <f>IF(_calc!$E$68="","","Contractor document")</f>
        <v/>
      </c>
      <c r="D66" s="43">
        <f>IF(_calc!$E$68="","",IF(ISNUMBER(INDEX('Documents'!$E$4:$E$503,_calc!$E$68)),TEXT(INDEX('Documents'!$E$4:$E$503,_calc!$E$68),"yyyy-mm-dd"),""))</f>
        <v/>
      </c>
      <c r="E66" s="43">
        <f>IF(_calc!$E$68="","",IF(LEN(INDEX('Documents'!$N$4:$N$503,_calc!$E$68))=0,"",INDEX('Documents'!$N$4:$N$503,_calc!$E$68)))</f>
        <v/>
      </c>
      <c r="F66" s="43">
        <f>IF(_calc!$E$68="","",TRIM(IF(LEN(IF(LEN(INDEX('Documents'!$B$4:$B$503,_calc!$E$68))=0,"",INDEX('Documents'!$B$4:$B$503,_calc!$E$68)))=0,"","Trade: "&amp;IF(LEN(INDEX('Documents'!$B$4:$B$503,_calc!$E$68))=0,"",INDEX('Documents'!$B$4:$B$503,_calc!$E$68))&amp;". ")&amp;IF(LEN(IF(LEN(INDEX('Documents'!$D$4:$D$503,_calc!$E$68))=0,"",INDEX('Documents'!$D$4:$D$503,_calc!$E$68)))=0,"","Ref: "&amp;IF(LEN(INDEX('Documents'!$D$4:$D$503,_calc!$E$68))=0,"",INDEX('Documents'!$D$4:$D$503,_calc!$E$68))&amp;". ")&amp;IF(LEN(IF(LEN(INDEX('Documents'!$K$4:$K$503,_calc!$E$68))=0,"",INDEX('Documents'!$K$4:$K$503,_calc!$E$68)))=0,"","On file: "&amp;IF(LEN(INDEX('Documents'!$K$4:$K$503,_calc!$E$68))=0,"",INDEX('Documents'!$K$4:$K$503,_calc!$E$68))&amp;". ")&amp;IF(LEN(IF(LEN(INDEX('Documents'!$L$4:$L$503,_calc!$E$68))=0,"",INDEX('Documents'!$L$4:$L$503,_calc!$E$68)))=0,"","Contractor email: "&amp;IF(LEN(INDEX('Documents'!$L$4:$L$503,_calc!$E$68))=0,"",INDEX('Documents'!$L$4:$L$503,_calc!$E$68))&amp;". ")&amp;IF(LEN(IF(LEN(INDEX('Documents'!$P$4:$P$503,_calc!$E$68))=0,"",INDEX('Documents'!$P$4:$P$503,_calc!$E$68)))=0,"",IF(LEN(INDEX('Documents'!$P$4:$P$503,_calc!$E$68))=0,"",INDEX('Documents'!$P$4:$P$503,_calc!$E$68)))))</f>
        <v/>
      </c>
      <c r="G66" s="43">
        <f>IF(_calc!$E$68="","",IF(LEN(INDEX('Documents'!$O$4:$O$503,_calc!$E$68))=0,"",INDEX('Documents'!$O$4:$O$503,_calc!$E$68)))</f>
        <v/>
      </c>
      <c r="K66" s="43">
        <f>IF(_calc!$E$68="","",IF(LEN(INDEX('Documents'!$M$4:$M$503,_calc!$E$68))=0,"",INDEX('Documents'!$M$4:$M$503,_calc!$E$68)))</f>
        <v/>
      </c>
    </row>
    <row r="67">
      <c r="A67" s="43">
        <f>IF(_calc!$E$69="","",IF(LEN(INDEX('Documents'!$C$4:$C$503,_calc!$E$69))=0,"",INDEX('Documents'!$C$4:$C$503,_calc!$E$69))&amp;" – "&amp;IF(LEN(INDEX('Documents'!$A$4:$A$503,_calc!$E$69))=0,"",INDEX('Documents'!$A$4:$A$503,_calc!$E$69)))</f>
        <v/>
      </c>
      <c r="B67" s="43">
        <f>IF(_calc!$E$69="","",IF(ISNUMBER(INDEX('Documents'!$F$4:$F$503,_calc!$E$69)),TEXT(INDEX('Documents'!$F$4:$F$503,_calc!$E$69),"yyyy-mm-dd"),""))</f>
        <v/>
      </c>
      <c r="C67" s="43">
        <f>IF(_calc!$E$69="","","Contractor document")</f>
        <v/>
      </c>
      <c r="D67" s="43">
        <f>IF(_calc!$E$69="","",IF(ISNUMBER(INDEX('Documents'!$E$4:$E$503,_calc!$E$69)),TEXT(INDEX('Documents'!$E$4:$E$503,_calc!$E$69),"yyyy-mm-dd"),""))</f>
        <v/>
      </c>
      <c r="E67" s="43">
        <f>IF(_calc!$E$69="","",IF(LEN(INDEX('Documents'!$N$4:$N$503,_calc!$E$69))=0,"",INDEX('Documents'!$N$4:$N$503,_calc!$E$69)))</f>
        <v/>
      </c>
      <c r="F67" s="43">
        <f>IF(_calc!$E$69="","",TRIM(IF(LEN(IF(LEN(INDEX('Documents'!$B$4:$B$503,_calc!$E$69))=0,"",INDEX('Documents'!$B$4:$B$503,_calc!$E$69)))=0,"","Trade: "&amp;IF(LEN(INDEX('Documents'!$B$4:$B$503,_calc!$E$69))=0,"",INDEX('Documents'!$B$4:$B$503,_calc!$E$69))&amp;". ")&amp;IF(LEN(IF(LEN(INDEX('Documents'!$D$4:$D$503,_calc!$E$69))=0,"",INDEX('Documents'!$D$4:$D$503,_calc!$E$69)))=0,"","Ref: "&amp;IF(LEN(INDEX('Documents'!$D$4:$D$503,_calc!$E$69))=0,"",INDEX('Documents'!$D$4:$D$503,_calc!$E$69))&amp;". ")&amp;IF(LEN(IF(LEN(INDEX('Documents'!$K$4:$K$503,_calc!$E$69))=0,"",INDEX('Documents'!$K$4:$K$503,_calc!$E$69)))=0,"","On file: "&amp;IF(LEN(INDEX('Documents'!$K$4:$K$503,_calc!$E$69))=0,"",INDEX('Documents'!$K$4:$K$503,_calc!$E$69))&amp;". ")&amp;IF(LEN(IF(LEN(INDEX('Documents'!$L$4:$L$503,_calc!$E$69))=0,"",INDEX('Documents'!$L$4:$L$503,_calc!$E$69)))=0,"","Contractor email: "&amp;IF(LEN(INDEX('Documents'!$L$4:$L$503,_calc!$E$69))=0,"",INDEX('Documents'!$L$4:$L$503,_calc!$E$69))&amp;". ")&amp;IF(LEN(IF(LEN(INDEX('Documents'!$P$4:$P$503,_calc!$E$69))=0,"",INDEX('Documents'!$P$4:$P$503,_calc!$E$69)))=0,"",IF(LEN(INDEX('Documents'!$P$4:$P$503,_calc!$E$69))=0,"",INDEX('Documents'!$P$4:$P$503,_calc!$E$69)))))</f>
        <v/>
      </c>
      <c r="G67" s="43">
        <f>IF(_calc!$E$69="","",IF(LEN(INDEX('Documents'!$O$4:$O$503,_calc!$E$69))=0,"",INDEX('Documents'!$O$4:$O$503,_calc!$E$69)))</f>
        <v/>
      </c>
      <c r="K67" s="43">
        <f>IF(_calc!$E$69="","",IF(LEN(INDEX('Documents'!$M$4:$M$503,_calc!$E$69))=0,"",INDEX('Documents'!$M$4:$M$503,_calc!$E$69)))</f>
        <v/>
      </c>
    </row>
    <row r="68">
      <c r="A68" s="43">
        <f>IF(_calc!$E$70="","",IF(LEN(INDEX('Documents'!$C$4:$C$503,_calc!$E$70))=0,"",INDEX('Documents'!$C$4:$C$503,_calc!$E$70))&amp;" – "&amp;IF(LEN(INDEX('Documents'!$A$4:$A$503,_calc!$E$70))=0,"",INDEX('Documents'!$A$4:$A$503,_calc!$E$70)))</f>
        <v/>
      </c>
      <c r="B68" s="43">
        <f>IF(_calc!$E$70="","",IF(ISNUMBER(INDEX('Documents'!$F$4:$F$503,_calc!$E$70)),TEXT(INDEX('Documents'!$F$4:$F$503,_calc!$E$70),"yyyy-mm-dd"),""))</f>
        <v/>
      </c>
      <c r="C68" s="43">
        <f>IF(_calc!$E$70="","","Contractor document")</f>
        <v/>
      </c>
      <c r="D68" s="43">
        <f>IF(_calc!$E$70="","",IF(ISNUMBER(INDEX('Documents'!$E$4:$E$503,_calc!$E$70)),TEXT(INDEX('Documents'!$E$4:$E$503,_calc!$E$70),"yyyy-mm-dd"),""))</f>
        <v/>
      </c>
      <c r="E68" s="43">
        <f>IF(_calc!$E$70="","",IF(LEN(INDEX('Documents'!$N$4:$N$503,_calc!$E$70))=0,"",INDEX('Documents'!$N$4:$N$503,_calc!$E$70)))</f>
        <v/>
      </c>
      <c r="F68" s="43">
        <f>IF(_calc!$E$70="","",TRIM(IF(LEN(IF(LEN(INDEX('Documents'!$B$4:$B$503,_calc!$E$70))=0,"",INDEX('Documents'!$B$4:$B$503,_calc!$E$70)))=0,"","Trade: "&amp;IF(LEN(INDEX('Documents'!$B$4:$B$503,_calc!$E$70))=0,"",INDEX('Documents'!$B$4:$B$503,_calc!$E$70))&amp;". ")&amp;IF(LEN(IF(LEN(INDEX('Documents'!$D$4:$D$503,_calc!$E$70))=0,"",INDEX('Documents'!$D$4:$D$503,_calc!$E$70)))=0,"","Ref: "&amp;IF(LEN(INDEX('Documents'!$D$4:$D$503,_calc!$E$70))=0,"",INDEX('Documents'!$D$4:$D$503,_calc!$E$70))&amp;". ")&amp;IF(LEN(IF(LEN(INDEX('Documents'!$K$4:$K$503,_calc!$E$70))=0,"",INDEX('Documents'!$K$4:$K$503,_calc!$E$70)))=0,"","On file: "&amp;IF(LEN(INDEX('Documents'!$K$4:$K$503,_calc!$E$70))=0,"",INDEX('Documents'!$K$4:$K$503,_calc!$E$70))&amp;". ")&amp;IF(LEN(IF(LEN(INDEX('Documents'!$L$4:$L$503,_calc!$E$70))=0,"",INDEX('Documents'!$L$4:$L$503,_calc!$E$70)))=0,"","Contractor email: "&amp;IF(LEN(INDEX('Documents'!$L$4:$L$503,_calc!$E$70))=0,"",INDEX('Documents'!$L$4:$L$503,_calc!$E$70))&amp;". ")&amp;IF(LEN(IF(LEN(INDEX('Documents'!$P$4:$P$503,_calc!$E$70))=0,"",INDEX('Documents'!$P$4:$P$503,_calc!$E$70)))=0,"",IF(LEN(INDEX('Documents'!$P$4:$P$503,_calc!$E$70))=0,"",INDEX('Documents'!$P$4:$P$503,_calc!$E$70)))))</f>
        <v/>
      </c>
      <c r="G68" s="43">
        <f>IF(_calc!$E$70="","",IF(LEN(INDEX('Documents'!$O$4:$O$503,_calc!$E$70))=0,"",INDEX('Documents'!$O$4:$O$503,_calc!$E$70)))</f>
        <v/>
      </c>
      <c r="K68" s="43">
        <f>IF(_calc!$E$70="","",IF(LEN(INDEX('Documents'!$M$4:$M$503,_calc!$E$70))=0,"",INDEX('Documents'!$M$4:$M$503,_calc!$E$70)))</f>
        <v/>
      </c>
    </row>
    <row r="69">
      <c r="A69" s="43">
        <f>IF(_calc!$E$71="","",IF(LEN(INDEX('Documents'!$C$4:$C$503,_calc!$E$71))=0,"",INDEX('Documents'!$C$4:$C$503,_calc!$E$71))&amp;" – "&amp;IF(LEN(INDEX('Documents'!$A$4:$A$503,_calc!$E$71))=0,"",INDEX('Documents'!$A$4:$A$503,_calc!$E$71)))</f>
        <v/>
      </c>
      <c r="B69" s="43">
        <f>IF(_calc!$E$71="","",IF(ISNUMBER(INDEX('Documents'!$F$4:$F$503,_calc!$E$71)),TEXT(INDEX('Documents'!$F$4:$F$503,_calc!$E$71),"yyyy-mm-dd"),""))</f>
        <v/>
      </c>
      <c r="C69" s="43">
        <f>IF(_calc!$E$71="","","Contractor document")</f>
        <v/>
      </c>
      <c r="D69" s="43">
        <f>IF(_calc!$E$71="","",IF(ISNUMBER(INDEX('Documents'!$E$4:$E$503,_calc!$E$71)),TEXT(INDEX('Documents'!$E$4:$E$503,_calc!$E$71),"yyyy-mm-dd"),""))</f>
        <v/>
      </c>
      <c r="E69" s="43">
        <f>IF(_calc!$E$71="","",IF(LEN(INDEX('Documents'!$N$4:$N$503,_calc!$E$71))=0,"",INDEX('Documents'!$N$4:$N$503,_calc!$E$71)))</f>
        <v/>
      </c>
      <c r="F69" s="43">
        <f>IF(_calc!$E$71="","",TRIM(IF(LEN(IF(LEN(INDEX('Documents'!$B$4:$B$503,_calc!$E$71))=0,"",INDEX('Documents'!$B$4:$B$503,_calc!$E$71)))=0,"","Trade: "&amp;IF(LEN(INDEX('Documents'!$B$4:$B$503,_calc!$E$71))=0,"",INDEX('Documents'!$B$4:$B$503,_calc!$E$71))&amp;". ")&amp;IF(LEN(IF(LEN(INDEX('Documents'!$D$4:$D$503,_calc!$E$71))=0,"",INDEX('Documents'!$D$4:$D$503,_calc!$E$71)))=0,"","Ref: "&amp;IF(LEN(INDEX('Documents'!$D$4:$D$503,_calc!$E$71))=0,"",INDEX('Documents'!$D$4:$D$503,_calc!$E$71))&amp;". ")&amp;IF(LEN(IF(LEN(INDEX('Documents'!$K$4:$K$503,_calc!$E$71))=0,"",INDEX('Documents'!$K$4:$K$503,_calc!$E$71)))=0,"","On file: "&amp;IF(LEN(INDEX('Documents'!$K$4:$K$503,_calc!$E$71))=0,"",INDEX('Documents'!$K$4:$K$503,_calc!$E$71))&amp;". ")&amp;IF(LEN(IF(LEN(INDEX('Documents'!$L$4:$L$503,_calc!$E$71))=0,"",INDEX('Documents'!$L$4:$L$503,_calc!$E$71)))=0,"","Contractor email: "&amp;IF(LEN(INDEX('Documents'!$L$4:$L$503,_calc!$E$71))=0,"",INDEX('Documents'!$L$4:$L$503,_calc!$E$71))&amp;". ")&amp;IF(LEN(IF(LEN(INDEX('Documents'!$P$4:$P$503,_calc!$E$71))=0,"",INDEX('Documents'!$P$4:$P$503,_calc!$E$71)))=0,"",IF(LEN(INDEX('Documents'!$P$4:$P$503,_calc!$E$71))=0,"",INDEX('Documents'!$P$4:$P$503,_calc!$E$71)))))</f>
        <v/>
      </c>
      <c r="G69" s="43">
        <f>IF(_calc!$E$71="","",IF(LEN(INDEX('Documents'!$O$4:$O$503,_calc!$E$71))=0,"",INDEX('Documents'!$O$4:$O$503,_calc!$E$71)))</f>
        <v/>
      </c>
      <c r="K69" s="43">
        <f>IF(_calc!$E$71="","",IF(LEN(INDEX('Documents'!$M$4:$M$503,_calc!$E$71))=0,"",INDEX('Documents'!$M$4:$M$503,_calc!$E$71)))</f>
        <v/>
      </c>
    </row>
    <row r="70">
      <c r="A70" s="43">
        <f>IF(_calc!$E$72="","",IF(LEN(INDEX('Documents'!$C$4:$C$503,_calc!$E$72))=0,"",INDEX('Documents'!$C$4:$C$503,_calc!$E$72))&amp;" – "&amp;IF(LEN(INDEX('Documents'!$A$4:$A$503,_calc!$E$72))=0,"",INDEX('Documents'!$A$4:$A$503,_calc!$E$72)))</f>
        <v/>
      </c>
      <c r="B70" s="43">
        <f>IF(_calc!$E$72="","",IF(ISNUMBER(INDEX('Documents'!$F$4:$F$503,_calc!$E$72)),TEXT(INDEX('Documents'!$F$4:$F$503,_calc!$E$72),"yyyy-mm-dd"),""))</f>
        <v/>
      </c>
      <c r="C70" s="43">
        <f>IF(_calc!$E$72="","","Contractor document")</f>
        <v/>
      </c>
      <c r="D70" s="43">
        <f>IF(_calc!$E$72="","",IF(ISNUMBER(INDEX('Documents'!$E$4:$E$503,_calc!$E$72)),TEXT(INDEX('Documents'!$E$4:$E$503,_calc!$E$72),"yyyy-mm-dd"),""))</f>
        <v/>
      </c>
      <c r="E70" s="43">
        <f>IF(_calc!$E$72="","",IF(LEN(INDEX('Documents'!$N$4:$N$503,_calc!$E$72))=0,"",INDEX('Documents'!$N$4:$N$503,_calc!$E$72)))</f>
        <v/>
      </c>
      <c r="F70" s="43">
        <f>IF(_calc!$E$72="","",TRIM(IF(LEN(IF(LEN(INDEX('Documents'!$B$4:$B$503,_calc!$E$72))=0,"",INDEX('Documents'!$B$4:$B$503,_calc!$E$72)))=0,"","Trade: "&amp;IF(LEN(INDEX('Documents'!$B$4:$B$503,_calc!$E$72))=0,"",INDEX('Documents'!$B$4:$B$503,_calc!$E$72))&amp;". ")&amp;IF(LEN(IF(LEN(INDEX('Documents'!$D$4:$D$503,_calc!$E$72))=0,"",INDEX('Documents'!$D$4:$D$503,_calc!$E$72)))=0,"","Ref: "&amp;IF(LEN(INDEX('Documents'!$D$4:$D$503,_calc!$E$72))=0,"",INDEX('Documents'!$D$4:$D$503,_calc!$E$72))&amp;". ")&amp;IF(LEN(IF(LEN(INDEX('Documents'!$K$4:$K$503,_calc!$E$72))=0,"",INDEX('Documents'!$K$4:$K$503,_calc!$E$72)))=0,"","On file: "&amp;IF(LEN(INDEX('Documents'!$K$4:$K$503,_calc!$E$72))=0,"",INDEX('Documents'!$K$4:$K$503,_calc!$E$72))&amp;". ")&amp;IF(LEN(IF(LEN(INDEX('Documents'!$L$4:$L$503,_calc!$E$72))=0,"",INDEX('Documents'!$L$4:$L$503,_calc!$E$72)))=0,"","Contractor email: "&amp;IF(LEN(INDEX('Documents'!$L$4:$L$503,_calc!$E$72))=0,"",INDEX('Documents'!$L$4:$L$503,_calc!$E$72))&amp;". ")&amp;IF(LEN(IF(LEN(INDEX('Documents'!$P$4:$P$503,_calc!$E$72))=0,"",INDEX('Documents'!$P$4:$P$503,_calc!$E$72)))=0,"",IF(LEN(INDEX('Documents'!$P$4:$P$503,_calc!$E$72))=0,"",INDEX('Documents'!$P$4:$P$503,_calc!$E$72)))))</f>
        <v/>
      </c>
      <c r="G70" s="43">
        <f>IF(_calc!$E$72="","",IF(LEN(INDEX('Documents'!$O$4:$O$503,_calc!$E$72))=0,"",INDEX('Documents'!$O$4:$O$503,_calc!$E$72)))</f>
        <v/>
      </c>
      <c r="K70" s="43">
        <f>IF(_calc!$E$72="","",IF(LEN(INDEX('Documents'!$M$4:$M$503,_calc!$E$72))=0,"",INDEX('Documents'!$M$4:$M$503,_calc!$E$72)))</f>
        <v/>
      </c>
    </row>
    <row r="71">
      <c r="A71" s="43">
        <f>IF(_calc!$E$73="","",IF(LEN(INDEX('Documents'!$C$4:$C$503,_calc!$E$73))=0,"",INDEX('Documents'!$C$4:$C$503,_calc!$E$73))&amp;" – "&amp;IF(LEN(INDEX('Documents'!$A$4:$A$503,_calc!$E$73))=0,"",INDEX('Documents'!$A$4:$A$503,_calc!$E$73)))</f>
        <v/>
      </c>
      <c r="B71" s="43">
        <f>IF(_calc!$E$73="","",IF(ISNUMBER(INDEX('Documents'!$F$4:$F$503,_calc!$E$73)),TEXT(INDEX('Documents'!$F$4:$F$503,_calc!$E$73),"yyyy-mm-dd"),""))</f>
        <v/>
      </c>
      <c r="C71" s="43">
        <f>IF(_calc!$E$73="","","Contractor document")</f>
        <v/>
      </c>
      <c r="D71" s="43">
        <f>IF(_calc!$E$73="","",IF(ISNUMBER(INDEX('Documents'!$E$4:$E$503,_calc!$E$73)),TEXT(INDEX('Documents'!$E$4:$E$503,_calc!$E$73),"yyyy-mm-dd"),""))</f>
        <v/>
      </c>
      <c r="E71" s="43">
        <f>IF(_calc!$E$73="","",IF(LEN(INDEX('Documents'!$N$4:$N$503,_calc!$E$73))=0,"",INDEX('Documents'!$N$4:$N$503,_calc!$E$73)))</f>
        <v/>
      </c>
      <c r="F71" s="43">
        <f>IF(_calc!$E$73="","",TRIM(IF(LEN(IF(LEN(INDEX('Documents'!$B$4:$B$503,_calc!$E$73))=0,"",INDEX('Documents'!$B$4:$B$503,_calc!$E$73)))=0,"","Trade: "&amp;IF(LEN(INDEX('Documents'!$B$4:$B$503,_calc!$E$73))=0,"",INDEX('Documents'!$B$4:$B$503,_calc!$E$73))&amp;". ")&amp;IF(LEN(IF(LEN(INDEX('Documents'!$D$4:$D$503,_calc!$E$73))=0,"",INDEX('Documents'!$D$4:$D$503,_calc!$E$73)))=0,"","Ref: "&amp;IF(LEN(INDEX('Documents'!$D$4:$D$503,_calc!$E$73))=0,"",INDEX('Documents'!$D$4:$D$503,_calc!$E$73))&amp;". ")&amp;IF(LEN(IF(LEN(INDEX('Documents'!$K$4:$K$503,_calc!$E$73))=0,"",INDEX('Documents'!$K$4:$K$503,_calc!$E$73)))=0,"","On file: "&amp;IF(LEN(INDEX('Documents'!$K$4:$K$503,_calc!$E$73))=0,"",INDEX('Documents'!$K$4:$K$503,_calc!$E$73))&amp;". ")&amp;IF(LEN(IF(LEN(INDEX('Documents'!$L$4:$L$503,_calc!$E$73))=0,"",INDEX('Documents'!$L$4:$L$503,_calc!$E$73)))=0,"","Contractor email: "&amp;IF(LEN(INDEX('Documents'!$L$4:$L$503,_calc!$E$73))=0,"",INDEX('Documents'!$L$4:$L$503,_calc!$E$73))&amp;". ")&amp;IF(LEN(IF(LEN(INDEX('Documents'!$P$4:$P$503,_calc!$E$73))=0,"",INDEX('Documents'!$P$4:$P$503,_calc!$E$73)))=0,"",IF(LEN(INDEX('Documents'!$P$4:$P$503,_calc!$E$73))=0,"",INDEX('Documents'!$P$4:$P$503,_calc!$E$73)))))</f>
        <v/>
      </c>
      <c r="G71" s="43">
        <f>IF(_calc!$E$73="","",IF(LEN(INDEX('Documents'!$O$4:$O$503,_calc!$E$73))=0,"",INDEX('Documents'!$O$4:$O$503,_calc!$E$73)))</f>
        <v/>
      </c>
      <c r="K71" s="43">
        <f>IF(_calc!$E$73="","",IF(LEN(INDEX('Documents'!$M$4:$M$503,_calc!$E$73))=0,"",INDEX('Documents'!$M$4:$M$503,_calc!$E$73)))</f>
        <v/>
      </c>
    </row>
    <row r="72">
      <c r="A72" s="43">
        <f>IF(_calc!$E$74="","",IF(LEN(INDEX('Documents'!$C$4:$C$503,_calc!$E$74))=0,"",INDEX('Documents'!$C$4:$C$503,_calc!$E$74))&amp;" – "&amp;IF(LEN(INDEX('Documents'!$A$4:$A$503,_calc!$E$74))=0,"",INDEX('Documents'!$A$4:$A$503,_calc!$E$74)))</f>
        <v/>
      </c>
      <c r="B72" s="43">
        <f>IF(_calc!$E$74="","",IF(ISNUMBER(INDEX('Documents'!$F$4:$F$503,_calc!$E$74)),TEXT(INDEX('Documents'!$F$4:$F$503,_calc!$E$74),"yyyy-mm-dd"),""))</f>
        <v/>
      </c>
      <c r="C72" s="43">
        <f>IF(_calc!$E$74="","","Contractor document")</f>
        <v/>
      </c>
      <c r="D72" s="43">
        <f>IF(_calc!$E$74="","",IF(ISNUMBER(INDEX('Documents'!$E$4:$E$503,_calc!$E$74)),TEXT(INDEX('Documents'!$E$4:$E$503,_calc!$E$74),"yyyy-mm-dd"),""))</f>
        <v/>
      </c>
      <c r="E72" s="43">
        <f>IF(_calc!$E$74="","",IF(LEN(INDEX('Documents'!$N$4:$N$503,_calc!$E$74))=0,"",INDEX('Documents'!$N$4:$N$503,_calc!$E$74)))</f>
        <v/>
      </c>
      <c r="F72" s="43">
        <f>IF(_calc!$E$74="","",TRIM(IF(LEN(IF(LEN(INDEX('Documents'!$B$4:$B$503,_calc!$E$74))=0,"",INDEX('Documents'!$B$4:$B$503,_calc!$E$74)))=0,"","Trade: "&amp;IF(LEN(INDEX('Documents'!$B$4:$B$503,_calc!$E$74))=0,"",INDEX('Documents'!$B$4:$B$503,_calc!$E$74))&amp;". ")&amp;IF(LEN(IF(LEN(INDEX('Documents'!$D$4:$D$503,_calc!$E$74))=0,"",INDEX('Documents'!$D$4:$D$503,_calc!$E$74)))=0,"","Ref: "&amp;IF(LEN(INDEX('Documents'!$D$4:$D$503,_calc!$E$74))=0,"",INDEX('Documents'!$D$4:$D$503,_calc!$E$74))&amp;". ")&amp;IF(LEN(IF(LEN(INDEX('Documents'!$K$4:$K$503,_calc!$E$74))=0,"",INDEX('Documents'!$K$4:$K$503,_calc!$E$74)))=0,"","On file: "&amp;IF(LEN(INDEX('Documents'!$K$4:$K$503,_calc!$E$74))=0,"",INDEX('Documents'!$K$4:$K$503,_calc!$E$74))&amp;". ")&amp;IF(LEN(IF(LEN(INDEX('Documents'!$L$4:$L$503,_calc!$E$74))=0,"",INDEX('Documents'!$L$4:$L$503,_calc!$E$74)))=0,"","Contractor email: "&amp;IF(LEN(INDEX('Documents'!$L$4:$L$503,_calc!$E$74))=0,"",INDEX('Documents'!$L$4:$L$503,_calc!$E$74))&amp;". ")&amp;IF(LEN(IF(LEN(INDEX('Documents'!$P$4:$P$503,_calc!$E$74))=0,"",INDEX('Documents'!$P$4:$P$503,_calc!$E$74)))=0,"",IF(LEN(INDEX('Documents'!$P$4:$P$503,_calc!$E$74))=0,"",INDEX('Documents'!$P$4:$P$503,_calc!$E$74)))))</f>
        <v/>
      </c>
      <c r="G72" s="43">
        <f>IF(_calc!$E$74="","",IF(LEN(INDEX('Documents'!$O$4:$O$503,_calc!$E$74))=0,"",INDEX('Documents'!$O$4:$O$503,_calc!$E$74)))</f>
        <v/>
      </c>
      <c r="K72" s="43">
        <f>IF(_calc!$E$74="","",IF(LEN(INDEX('Documents'!$M$4:$M$503,_calc!$E$74))=0,"",INDEX('Documents'!$M$4:$M$503,_calc!$E$74)))</f>
        <v/>
      </c>
    </row>
    <row r="73">
      <c r="A73" s="43">
        <f>IF(_calc!$E$75="","",IF(LEN(INDEX('Documents'!$C$4:$C$503,_calc!$E$75))=0,"",INDEX('Documents'!$C$4:$C$503,_calc!$E$75))&amp;" – "&amp;IF(LEN(INDEX('Documents'!$A$4:$A$503,_calc!$E$75))=0,"",INDEX('Documents'!$A$4:$A$503,_calc!$E$75)))</f>
        <v/>
      </c>
      <c r="B73" s="43">
        <f>IF(_calc!$E$75="","",IF(ISNUMBER(INDEX('Documents'!$F$4:$F$503,_calc!$E$75)),TEXT(INDEX('Documents'!$F$4:$F$503,_calc!$E$75),"yyyy-mm-dd"),""))</f>
        <v/>
      </c>
      <c r="C73" s="43">
        <f>IF(_calc!$E$75="","","Contractor document")</f>
        <v/>
      </c>
      <c r="D73" s="43">
        <f>IF(_calc!$E$75="","",IF(ISNUMBER(INDEX('Documents'!$E$4:$E$503,_calc!$E$75)),TEXT(INDEX('Documents'!$E$4:$E$503,_calc!$E$75),"yyyy-mm-dd"),""))</f>
        <v/>
      </c>
      <c r="E73" s="43">
        <f>IF(_calc!$E$75="","",IF(LEN(INDEX('Documents'!$N$4:$N$503,_calc!$E$75))=0,"",INDEX('Documents'!$N$4:$N$503,_calc!$E$75)))</f>
        <v/>
      </c>
      <c r="F73" s="43">
        <f>IF(_calc!$E$75="","",TRIM(IF(LEN(IF(LEN(INDEX('Documents'!$B$4:$B$503,_calc!$E$75))=0,"",INDEX('Documents'!$B$4:$B$503,_calc!$E$75)))=0,"","Trade: "&amp;IF(LEN(INDEX('Documents'!$B$4:$B$503,_calc!$E$75))=0,"",INDEX('Documents'!$B$4:$B$503,_calc!$E$75))&amp;". ")&amp;IF(LEN(IF(LEN(INDEX('Documents'!$D$4:$D$503,_calc!$E$75))=0,"",INDEX('Documents'!$D$4:$D$503,_calc!$E$75)))=0,"","Ref: "&amp;IF(LEN(INDEX('Documents'!$D$4:$D$503,_calc!$E$75))=0,"",INDEX('Documents'!$D$4:$D$503,_calc!$E$75))&amp;". ")&amp;IF(LEN(IF(LEN(INDEX('Documents'!$K$4:$K$503,_calc!$E$75))=0,"",INDEX('Documents'!$K$4:$K$503,_calc!$E$75)))=0,"","On file: "&amp;IF(LEN(INDEX('Documents'!$K$4:$K$503,_calc!$E$75))=0,"",INDEX('Documents'!$K$4:$K$503,_calc!$E$75))&amp;". ")&amp;IF(LEN(IF(LEN(INDEX('Documents'!$L$4:$L$503,_calc!$E$75))=0,"",INDEX('Documents'!$L$4:$L$503,_calc!$E$75)))=0,"","Contractor email: "&amp;IF(LEN(INDEX('Documents'!$L$4:$L$503,_calc!$E$75))=0,"",INDEX('Documents'!$L$4:$L$503,_calc!$E$75))&amp;". ")&amp;IF(LEN(IF(LEN(INDEX('Documents'!$P$4:$P$503,_calc!$E$75))=0,"",INDEX('Documents'!$P$4:$P$503,_calc!$E$75)))=0,"",IF(LEN(INDEX('Documents'!$P$4:$P$503,_calc!$E$75))=0,"",INDEX('Documents'!$P$4:$P$503,_calc!$E$75)))))</f>
        <v/>
      </c>
      <c r="G73" s="43">
        <f>IF(_calc!$E$75="","",IF(LEN(INDEX('Documents'!$O$4:$O$503,_calc!$E$75))=0,"",INDEX('Documents'!$O$4:$O$503,_calc!$E$75)))</f>
        <v/>
      </c>
      <c r="K73" s="43">
        <f>IF(_calc!$E$75="","",IF(LEN(INDEX('Documents'!$M$4:$M$503,_calc!$E$75))=0,"",INDEX('Documents'!$M$4:$M$503,_calc!$E$75)))</f>
        <v/>
      </c>
    </row>
    <row r="74">
      <c r="A74" s="43">
        <f>IF(_calc!$E$76="","",IF(LEN(INDEX('Documents'!$C$4:$C$503,_calc!$E$76))=0,"",INDEX('Documents'!$C$4:$C$503,_calc!$E$76))&amp;" – "&amp;IF(LEN(INDEX('Documents'!$A$4:$A$503,_calc!$E$76))=0,"",INDEX('Documents'!$A$4:$A$503,_calc!$E$76)))</f>
        <v/>
      </c>
      <c r="B74" s="43">
        <f>IF(_calc!$E$76="","",IF(ISNUMBER(INDEX('Documents'!$F$4:$F$503,_calc!$E$76)),TEXT(INDEX('Documents'!$F$4:$F$503,_calc!$E$76),"yyyy-mm-dd"),""))</f>
        <v/>
      </c>
      <c r="C74" s="43">
        <f>IF(_calc!$E$76="","","Contractor document")</f>
        <v/>
      </c>
      <c r="D74" s="43">
        <f>IF(_calc!$E$76="","",IF(ISNUMBER(INDEX('Documents'!$E$4:$E$503,_calc!$E$76)),TEXT(INDEX('Documents'!$E$4:$E$503,_calc!$E$76),"yyyy-mm-dd"),""))</f>
        <v/>
      </c>
      <c r="E74" s="43">
        <f>IF(_calc!$E$76="","",IF(LEN(INDEX('Documents'!$N$4:$N$503,_calc!$E$76))=0,"",INDEX('Documents'!$N$4:$N$503,_calc!$E$76)))</f>
        <v/>
      </c>
      <c r="F74" s="43">
        <f>IF(_calc!$E$76="","",TRIM(IF(LEN(IF(LEN(INDEX('Documents'!$B$4:$B$503,_calc!$E$76))=0,"",INDEX('Documents'!$B$4:$B$503,_calc!$E$76)))=0,"","Trade: "&amp;IF(LEN(INDEX('Documents'!$B$4:$B$503,_calc!$E$76))=0,"",INDEX('Documents'!$B$4:$B$503,_calc!$E$76))&amp;". ")&amp;IF(LEN(IF(LEN(INDEX('Documents'!$D$4:$D$503,_calc!$E$76))=0,"",INDEX('Documents'!$D$4:$D$503,_calc!$E$76)))=0,"","Ref: "&amp;IF(LEN(INDEX('Documents'!$D$4:$D$503,_calc!$E$76))=0,"",INDEX('Documents'!$D$4:$D$503,_calc!$E$76))&amp;". ")&amp;IF(LEN(IF(LEN(INDEX('Documents'!$K$4:$K$503,_calc!$E$76))=0,"",INDEX('Documents'!$K$4:$K$503,_calc!$E$76)))=0,"","On file: "&amp;IF(LEN(INDEX('Documents'!$K$4:$K$503,_calc!$E$76))=0,"",INDEX('Documents'!$K$4:$K$503,_calc!$E$76))&amp;". ")&amp;IF(LEN(IF(LEN(INDEX('Documents'!$L$4:$L$503,_calc!$E$76))=0,"",INDEX('Documents'!$L$4:$L$503,_calc!$E$76)))=0,"","Contractor email: "&amp;IF(LEN(INDEX('Documents'!$L$4:$L$503,_calc!$E$76))=0,"",INDEX('Documents'!$L$4:$L$503,_calc!$E$76))&amp;". ")&amp;IF(LEN(IF(LEN(INDEX('Documents'!$P$4:$P$503,_calc!$E$76))=0,"",INDEX('Documents'!$P$4:$P$503,_calc!$E$76)))=0,"",IF(LEN(INDEX('Documents'!$P$4:$P$503,_calc!$E$76))=0,"",INDEX('Documents'!$P$4:$P$503,_calc!$E$76)))))</f>
        <v/>
      </c>
      <c r="G74" s="43">
        <f>IF(_calc!$E$76="","",IF(LEN(INDEX('Documents'!$O$4:$O$503,_calc!$E$76))=0,"",INDEX('Documents'!$O$4:$O$503,_calc!$E$76)))</f>
        <v/>
      </c>
      <c r="K74" s="43">
        <f>IF(_calc!$E$76="","",IF(LEN(INDEX('Documents'!$M$4:$M$503,_calc!$E$76))=0,"",INDEX('Documents'!$M$4:$M$503,_calc!$E$76)))</f>
        <v/>
      </c>
    </row>
    <row r="75">
      <c r="A75" s="43">
        <f>IF(_calc!$E$77="","",IF(LEN(INDEX('Documents'!$C$4:$C$503,_calc!$E$77))=0,"",INDEX('Documents'!$C$4:$C$503,_calc!$E$77))&amp;" – "&amp;IF(LEN(INDEX('Documents'!$A$4:$A$503,_calc!$E$77))=0,"",INDEX('Documents'!$A$4:$A$503,_calc!$E$77)))</f>
        <v/>
      </c>
      <c r="B75" s="43">
        <f>IF(_calc!$E$77="","",IF(ISNUMBER(INDEX('Documents'!$F$4:$F$503,_calc!$E$77)),TEXT(INDEX('Documents'!$F$4:$F$503,_calc!$E$77),"yyyy-mm-dd"),""))</f>
        <v/>
      </c>
      <c r="C75" s="43">
        <f>IF(_calc!$E$77="","","Contractor document")</f>
        <v/>
      </c>
      <c r="D75" s="43">
        <f>IF(_calc!$E$77="","",IF(ISNUMBER(INDEX('Documents'!$E$4:$E$503,_calc!$E$77)),TEXT(INDEX('Documents'!$E$4:$E$503,_calc!$E$77),"yyyy-mm-dd"),""))</f>
        <v/>
      </c>
      <c r="E75" s="43">
        <f>IF(_calc!$E$77="","",IF(LEN(INDEX('Documents'!$N$4:$N$503,_calc!$E$77))=0,"",INDEX('Documents'!$N$4:$N$503,_calc!$E$77)))</f>
        <v/>
      </c>
      <c r="F75" s="43">
        <f>IF(_calc!$E$77="","",TRIM(IF(LEN(IF(LEN(INDEX('Documents'!$B$4:$B$503,_calc!$E$77))=0,"",INDEX('Documents'!$B$4:$B$503,_calc!$E$77)))=0,"","Trade: "&amp;IF(LEN(INDEX('Documents'!$B$4:$B$503,_calc!$E$77))=0,"",INDEX('Documents'!$B$4:$B$503,_calc!$E$77))&amp;". ")&amp;IF(LEN(IF(LEN(INDEX('Documents'!$D$4:$D$503,_calc!$E$77))=0,"",INDEX('Documents'!$D$4:$D$503,_calc!$E$77)))=0,"","Ref: "&amp;IF(LEN(INDEX('Documents'!$D$4:$D$503,_calc!$E$77))=0,"",INDEX('Documents'!$D$4:$D$503,_calc!$E$77))&amp;". ")&amp;IF(LEN(IF(LEN(INDEX('Documents'!$K$4:$K$503,_calc!$E$77))=0,"",INDEX('Documents'!$K$4:$K$503,_calc!$E$77)))=0,"","On file: "&amp;IF(LEN(INDEX('Documents'!$K$4:$K$503,_calc!$E$77))=0,"",INDEX('Documents'!$K$4:$K$503,_calc!$E$77))&amp;". ")&amp;IF(LEN(IF(LEN(INDEX('Documents'!$L$4:$L$503,_calc!$E$77))=0,"",INDEX('Documents'!$L$4:$L$503,_calc!$E$77)))=0,"","Contractor email: "&amp;IF(LEN(INDEX('Documents'!$L$4:$L$503,_calc!$E$77))=0,"",INDEX('Documents'!$L$4:$L$503,_calc!$E$77))&amp;". ")&amp;IF(LEN(IF(LEN(INDEX('Documents'!$P$4:$P$503,_calc!$E$77))=0,"",INDEX('Documents'!$P$4:$P$503,_calc!$E$77)))=0,"",IF(LEN(INDEX('Documents'!$P$4:$P$503,_calc!$E$77))=0,"",INDEX('Documents'!$P$4:$P$503,_calc!$E$77)))))</f>
        <v/>
      </c>
      <c r="G75" s="43">
        <f>IF(_calc!$E$77="","",IF(LEN(INDEX('Documents'!$O$4:$O$503,_calc!$E$77))=0,"",INDEX('Documents'!$O$4:$O$503,_calc!$E$77)))</f>
        <v/>
      </c>
      <c r="K75" s="43">
        <f>IF(_calc!$E$77="","",IF(LEN(INDEX('Documents'!$M$4:$M$503,_calc!$E$77))=0,"",INDEX('Documents'!$M$4:$M$503,_calc!$E$77)))</f>
        <v/>
      </c>
    </row>
    <row r="76">
      <c r="A76" s="43">
        <f>IF(_calc!$E$78="","",IF(LEN(INDEX('Documents'!$C$4:$C$503,_calc!$E$78))=0,"",INDEX('Documents'!$C$4:$C$503,_calc!$E$78))&amp;" – "&amp;IF(LEN(INDEX('Documents'!$A$4:$A$503,_calc!$E$78))=0,"",INDEX('Documents'!$A$4:$A$503,_calc!$E$78)))</f>
        <v/>
      </c>
      <c r="B76" s="43">
        <f>IF(_calc!$E$78="","",IF(ISNUMBER(INDEX('Documents'!$F$4:$F$503,_calc!$E$78)),TEXT(INDEX('Documents'!$F$4:$F$503,_calc!$E$78),"yyyy-mm-dd"),""))</f>
        <v/>
      </c>
      <c r="C76" s="43">
        <f>IF(_calc!$E$78="","","Contractor document")</f>
        <v/>
      </c>
      <c r="D76" s="43">
        <f>IF(_calc!$E$78="","",IF(ISNUMBER(INDEX('Documents'!$E$4:$E$503,_calc!$E$78)),TEXT(INDEX('Documents'!$E$4:$E$503,_calc!$E$78),"yyyy-mm-dd"),""))</f>
        <v/>
      </c>
      <c r="E76" s="43">
        <f>IF(_calc!$E$78="","",IF(LEN(INDEX('Documents'!$N$4:$N$503,_calc!$E$78))=0,"",INDEX('Documents'!$N$4:$N$503,_calc!$E$78)))</f>
        <v/>
      </c>
      <c r="F76" s="43">
        <f>IF(_calc!$E$78="","",TRIM(IF(LEN(IF(LEN(INDEX('Documents'!$B$4:$B$503,_calc!$E$78))=0,"",INDEX('Documents'!$B$4:$B$503,_calc!$E$78)))=0,"","Trade: "&amp;IF(LEN(INDEX('Documents'!$B$4:$B$503,_calc!$E$78))=0,"",INDEX('Documents'!$B$4:$B$503,_calc!$E$78))&amp;". ")&amp;IF(LEN(IF(LEN(INDEX('Documents'!$D$4:$D$503,_calc!$E$78))=0,"",INDEX('Documents'!$D$4:$D$503,_calc!$E$78)))=0,"","Ref: "&amp;IF(LEN(INDEX('Documents'!$D$4:$D$503,_calc!$E$78))=0,"",INDEX('Documents'!$D$4:$D$503,_calc!$E$78))&amp;". ")&amp;IF(LEN(IF(LEN(INDEX('Documents'!$K$4:$K$503,_calc!$E$78))=0,"",INDEX('Documents'!$K$4:$K$503,_calc!$E$78)))=0,"","On file: "&amp;IF(LEN(INDEX('Documents'!$K$4:$K$503,_calc!$E$78))=0,"",INDEX('Documents'!$K$4:$K$503,_calc!$E$78))&amp;". ")&amp;IF(LEN(IF(LEN(INDEX('Documents'!$L$4:$L$503,_calc!$E$78))=0,"",INDEX('Documents'!$L$4:$L$503,_calc!$E$78)))=0,"","Contractor email: "&amp;IF(LEN(INDEX('Documents'!$L$4:$L$503,_calc!$E$78))=0,"",INDEX('Documents'!$L$4:$L$503,_calc!$E$78))&amp;". ")&amp;IF(LEN(IF(LEN(INDEX('Documents'!$P$4:$P$503,_calc!$E$78))=0,"",INDEX('Documents'!$P$4:$P$503,_calc!$E$78)))=0,"",IF(LEN(INDEX('Documents'!$P$4:$P$503,_calc!$E$78))=0,"",INDEX('Documents'!$P$4:$P$503,_calc!$E$78)))))</f>
        <v/>
      </c>
      <c r="G76" s="43">
        <f>IF(_calc!$E$78="","",IF(LEN(INDEX('Documents'!$O$4:$O$503,_calc!$E$78))=0,"",INDEX('Documents'!$O$4:$O$503,_calc!$E$78)))</f>
        <v/>
      </c>
      <c r="K76" s="43">
        <f>IF(_calc!$E$78="","",IF(LEN(INDEX('Documents'!$M$4:$M$503,_calc!$E$78))=0,"",INDEX('Documents'!$M$4:$M$503,_calc!$E$78)))</f>
        <v/>
      </c>
    </row>
    <row r="77">
      <c r="A77" s="43">
        <f>IF(_calc!$E$79="","",IF(LEN(INDEX('Documents'!$C$4:$C$503,_calc!$E$79))=0,"",INDEX('Documents'!$C$4:$C$503,_calc!$E$79))&amp;" – "&amp;IF(LEN(INDEX('Documents'!$A$4:$A$503,_calc!$E$79))=0,"",INDEX('Documents'!$A$4:$A$503,_calc!$E$79)))</f>
        <v/>
      </c>
      <c r="B77" s="43">
        <f>IF(_calc!$E$79="","",IF(ISNUMBER(INDEX('Documents'!$F$4:$F$503,_calc!$E$79)),TEXT(INDEX('Documents'!$F$4:$F$503,_calc!$E$79),"yyyy-mm-dd"),""))</f>
        <v/>
      </c>
      <c r="C77" s="43">
        <f>IF(_calc!$E$79="","","Contractor document")</f>
        <v/>
      </c>
      <c r="D77" s="43">
        <f>IF(_calc!$E$79="","",IF(ISNUMBER(INDEX('Documents'!$E$4:$E$503,_calc!$E$79)),TEXT(INDEX('Documents'!$E$4:$E$503,_calc!$E$79),"yyyy-mm-dd"),""))</f>
        <v/>
      </c>
      <c r="E77" s="43">
        <f>IF(_calc!$E$79="","",IF(LEN(INDEX('Documents'!$N$4:$N$503,_calc!$E$79))=0,"",INDEX('Documents'!$N$4:$N$503,_calc!$E$79)))</f>
        <v/>
      </c>
      <c r="F77" s="43">
        <f>IF(_calc!$E$79="","",TRIM(IF(LEN(IF(LEN(INDEX('Documents'!$B$4:$B$503,_calc!$E$79))=0,"",INDEX('Documents'!$B$4:$B$503,_calc!$E$79)))=0,"","Trade: "&amp;IF(LEN(INDEX('Documents'!$B$4:$B$503,_calc!$E$79))=0,"",INDEX('Documents'!$B$4:$B$503,_calc!$E$79))&amp;". ")&amp;IF(LEN(IF(LEN(INDEX('Documents'!$D$4:$D$503,_calc!$E$79))=0,"",INDEX('Documents'!$D$4:$D$503,_calc!$E$79)))=0,"","Ref: "&amp;IF(LEN(INDEX('Documents'!$D$4:$D$503,_calc!$E$79))=0,"",INDEX('Documents'!$D$4:$D$503,_calc!$E$79))&amp;". ")&amp;IF(LEN(IF(LEN(INDEX('Documents'!$K$4:$K$503,_calc!$E$79))=0,"",INDEX('Documents'!$K$4:$K$503,_calc!$E$79)))=0,"","On file: "&amp;IF(LEN(INDEX('Documents'!$K$4:$K$503,_calc!$E$79))=0,"",INDEX('Documents'!$K$4:$K$503,_calc!$E$79))&amp;". ")&amp;IF(LEN(IF(LEN(INDEX('Documents'!$L$4:$L$503,_calc!$E$79))=0,"",INDEX('Documents'!$L$4:$L$503,_calc!$E$79)))=0,"","Contractor email: "&amp;IF(LEN(INDEX('Documents'!$L$4:$L$503,_calc!$E$79))=0,"",INDEX('Documents'!$L$4:$L$503,_calc!$E$79))&amp;". ")&amp;IF(LEN(IF(LEN(INDEX('Documents'!$P$4:$P$503,_calc!$E$79))=0,"",INDEX('Documents'!$P$4:$P$503,_calc!$E$79)))=0,"",IF(LEN(INDEX('Documents'!$P$4:$P$503,_calc!$E$79))=0,"",INDEX('Documents'!$P$4:$P$503,_calc!$E$79)))))</f>
        <v/>
      </c>
      <c r="G77" s="43">
        <f>IF(_calc!$E$79="","",IF(LEN(INDEX('Documents'!$O$4:$O$503,_calc!$E$79))=0,"",INDEX('Documents'!$O$4:$O$503,_calc!$E$79)))</f>
        <v/>
      </c>
      <c r="K77" s="43">
        <f>IF(_calc!$E$79="","",IF(LEN(INDEX('Documents'!$M$4:$M$503,_calc!$E$79))=0,"",INDEX('Documents'!$M$4:$M$503,_calc!$E$79)))</f>
        <v/>
      </c>
    </row>
    <row r="78">
      <c r="A78" s="43">
        <f>IF(_calc!$E$80="","",IF(LEN(INDEX('Documents'!$C$4:$C$503,_calc!$E$80))=0,"",INDEX('Documents'!$C$4:$C$503,_calc!$E$80))&amp;" – "&amp;IF(LEN(INDEX('Documents'!$A$4:$A$503,_calc!$E$80))=0,"",INDEX('Documents'!$A$4:$A$503,_calc!$E$80)))</f>
        <v/>
      </c>
      <c r="B78" s="43">
        <f>IF(_calc!$E$80="","",IF(ISNUMBER(INDEX('Documents'!$F$4:$F$503,_calc!$E$80)),TEXT(INDEX('Documents'!$F$4:$F$503,_calc!$E$80),"yyyy-mm-dd"),""))</f>
        <v/>
      </c>
      <c r="C78" s="43">
        <f>IF(_calc!$E$80="","","Contractor document")</f>
        <v/>
      </c>
      <c r="D78" s="43">
        <f>IF(_calc!$E$80="","",IF(ISNUMBER(INDEX('Documents'!$E$4:$E$503,_calc!$E$80)),TEXT(INDEX('Documents'!$E$4:$E$503,_calc!$E$80),"yyyy-mm-dd"),""))</f>
        <v/>
      </c>
      <c r="E78" s="43">
        <f>IF(_calc!$E$80="","",IF(LEN(INDEX('Documents'!$N$4:$N$503,_calc!$E$80))=0,"",INDEX('Documents'!$N$4:$N$503,_calc!$E$80)))</f>
        <v/>
      </c>
      <c r="F78" s="43">
        <f>IF(_calc!$E$80="","",TRIM(IF(LEN(IF(LEN(INDEX('Documents'!$B$4:$B$503,_calc!$E$80))=0,"",INDEX('Documents'!$B$4:$B$503,_calc!$E$80)))=0,"","Trade: "&amp;IF(LEN(INDEX('Documents'!$B$4:$B$503,_calc!$E$80))=0,"",INDEX('Documents'!$B$4:$B$503,_calc!$E$80))&amp;". ")&amp;IF(LEN(IF(LEN(INDEX('Documents'!$D$4:$D$503,_calc!$E$80))=0,"",INDEX('Documents'!$D$4:$D$503,_calc!$E$80)))=0,"","Ref: "&amp;IF(LEN(INDEX('Documents'!$D$4:$D$503,_calc!$E$80))=0,"",INDEX('Documents'!$D$4:$D$503,_calc!$E$80))&amp;". ")&amp;IF(LEN(IF(LEN(INDEX('Documents'!$K$4:$K$503,_calc!$E$80))=0,"",INDEX('Documents'!$K$4:$K$503,_calc!$E$80)))=0,"","On file: "&amp;IF(LEN(INDEX('Documents'!$K$4:$K$503,_calc!$E$80))=0,"",INDEX('Documents'!$K$4:$K$503,_calc!$E$80))&amp;". ")&amp;IF(LEN(IF(LEN(INDEX('Documents'!$L$4:$L$503,_calc!$E$80))=0,"",INDEX('Documents'!$L$4:$L$503,_calc!$E$80)))=0,"","Contractor email: "&amp;IF(LEN(INDEX('Documents'!$L$4:$L$503,_calc!$E$80))=0,"",INDEX('Documents'!$L$4:$L$503,_calc!$E$80))&amp;". ")&amp;IF(LEN(IF(LEN(INDEX('Documents'!$P$4:$P$503,_calc!$E$80))=0,"",INDEX('Documents'!$P$4:$P$503,_calc!$E$80)))=0,"",IF(LEN(INDEX('Documents'!$P$4:$P$503,_calc!$E$80))=0,"",INDEX('Documents'!$P$4:$P$503,_calc!$E$80)))))</f>
        <v/>
      </c>
      <c r="G78" s="43">
        <f>IF(_calc!$E$80="","",IF(LEN(INDEX('Documents'!$O$4:$O$503,_calc!$E$80))=0,"",INDEX('Documents'!$O$4:$O$503,_calc!$E$80)))</f>
        <v/>
      </c>
      <c r="K78" s="43">
        <f>IF(_calc!$E$80="","",IF(LEN(INDEX('Documents'!$M$4:$M$503,_calc!$E$80))=0,"",INDEX('Documents'!$M$4:$M$503,_calc!$E$80)))</f>
        <v/>
      </c>
    </row>
    <row r="79">
      <c r="A79" s="43">
        <f>IF(_calc!$E$81="","",IF(LEN(INDEX('Documents'!$C$4:$C$503,_calc!$E$81))=0,"",INDEX('Documents'!$C$4:$C$503,_calc!$E$81))&amp;" – "&amp;IF(LEN(INDEX('Documents'!$A$4:$A$503,_calc!$E$81))=0,"",INDEX('Documents'!$A$4:$A$503,_calc!$E$81)))</f>
        <v/>
      </c>
      <c r="B79" s="43">
        <f>IF(_calc!$E$81="","",IF(ISNUMBER(INDEX('Documents'!$F$4:$F$503,_calc!$E$81)),TEXT(INDEX('Documents'!$F$4:$F$503,_calc!$E$81),"yyyy-mm-dd"),""))</f>
        <v/>
      </c>
      <c r="C79" s="43">
        <f>IF(_calc!$E$81="","","Contractor document")</f>
        <v/>
      </c>
      <c r="D79" s="43">
        <f>IF(_calc!$E$81="","",IF(ISNUMBER(INDEX('Documents'!$E$4:$E$503,_calc!$E$81)),TEXT(INDEX('Documents'!$E$4:$E$503,_calc!$E$81),"yyyy-mm-dd"),""))</f>
        <v/>
      </c>
      <c r="E79" s="43">
        <f>IF(_calc!$E$81="","",IF(LEN(INDEX('Documents'!$N$4:$N$503,_calc!$E$81))=0,"",INDEX('Documents'!$N$4:$N$503,_calc!$E$81)))</f>
        <v/>
      </c>
      <c r="F79" s="43">
        <f>IF(_calc!$E$81="","",TRIM(IF(LEN(IF(LEN(INDEX('Documents'!$B$4:$B$503,_calc!$E$81))=0,"",INDEX('Documents'!$B$4:$B$503,_calc!$E$81)))=0,"","Trade: "&amp;IF(LEN(INDEX('Documents'!$B$4:$B$503,_calc!$E$81))=0,"",INDEX('Documents'!$B$4:$B$503,_calc!$E$81))&amp;". ")&amp;IF(LEN(IF(LEN(INDEX('Documents'!$D$4:$D$503,_calc!$E$81))=0,"",INDEX('Documents'!$D$4:$D$503,_calc!$E$81)))=0,"","Ref: "&amp;IF(LEN(INDEX('Documents'!$D$4:$D$503,_calc!$E$81))=0,"",INDEX('Documents'!$D$4:$D$503,_calc!$E$81))&amp;". ")&amp;IF(LEN(IF(LEN(INDEX('Documents'!$K$4:$K$503,_calc!$E$81))=0,"",INDEX('Documents'!$K$4:$K$503,_calc!$E$81)))=0,"","On file: "&amp;IF(LEN(INDEX('Documents'!$K$4:$K$503,_calc!$E$81))=0,"",INDEX('Documents'!$K$4:$K$503,_calc!$E$81))&amp;". ")&amp;IF(LEN(IF(LEN(INDEX('Documents'!$L$4:$L$503,_calc!$E$81))=0,"",INDEX('Documents'!$L$4:$L$503,_calc!$E$81)))=0,"","Contractor email: "&amp;IF(LEN(INDEX('Documents'!$L$4:$L$503,_calc!$E$81))=0,"",INDEX('Documents'!$L$4:$L$503,_calc!$E$81))&amp;". ")&amp;IF(LEN(IF(LEN(INDEX('Documents'!$P$4:$P$503,_calc!$E$81))=0,"",INDEX('Documents'!$P$4:$P$503,_calc!$E$81)))=0,"",IF(LEN(INDEX('Documents'!$P$4:$P$503,_calc!$E$81))=0,"",INDEX('Documents'!$P$4:$P$503,_calc!$E$81)))))</f>
        <v/>
      </c>
      <c r="G79" s="43">
        <f>IF(_calc!$E$81="","",IF(LEN(INDEX('Documents'!$O$4:$O$503,_calc!$E$81))=0,"",INDEX('Documents'!$O$4:$O$503,_calc!$E$81)))</f>
        <v/>
      </c>
      <c r="K79" s="43">
        <f>IF(_calc!$E$81="","",IF(LEN(INDEX('Documents'!$M$4:$M$503,_calc!$E$81))=0,"",INDEX('Documents'!$M$4:$M$503,_calc!$E$81)))</f>
        <v/>
      </c>
    </row>
    <row r="80">
      <c r="A80" s="43">
        <f>IF(_calc!$E$82="","",IF(LEN(INDEX('Documents'!$C$4:$C$503,_calc!$E$82))=0,"",INDEX('Documents'!$C$4:$C$503,_calc!$E$82))&amp;" – "&amp;IF(LEN(INDEX('Documents'!$A$4:$A$503,_calc!$E$82))=0,"",INDEX('Documents'!$A$4:$A$503,_calc!$E$82)))</f>
        <v/>
      </c>
      <c r="B80" s="43">
        <f>IF(_calc!$E$82="","",IF(ISNUMBER(INDEX('Documents'!$F$4:$F$503,_calc!$E$82)),TEXT(INDEX('Documents'!$F$4:$F$503,_calc!$E$82),"yyyy-mm-dd"),""))</f>
        <v/>
      </c>
      <c r="C80" s="43">
        <f>IF(_calc!$E$82="","","Contractor document")</f>
        <v/>
      </c>
      <c r="D80" s="43">
        <f>IF(_calc!$E$82="","",IF(ISNUMBER(INDEX('Documents'!$E$4:$E$503,_calc!$E$82)),TEXT(INDEX('Documents'!$E$4:$E$503,_calc!$E$82),"yyyy-mm-dd"),""))</f>
        <v/>
      </c>
      <c r="E80" s="43">
        <f>IF(_calc!$E$82="","",IF(LEN(INDEX('Documents'!$N$4:$N$503,_calc!$E$82))=0,"",INDEX('Documents'!$N$4:$N$503,_calc!$E$82)))</f>
        <v/>
      </c>
      <c r="F80" s="43">
        <f>IF(_calc!$E$82="","",TRIM(IF(LEN(IF(LEN(INDEX('Documents'!$B$4:$B$503,_calc!$E$82))=0,"",INDEX('Documents'!$B$4:$B$503,_calc!$E$82)))=0,"","Trade: "&amp;IF(LEN(INDEX('Documents'!$B$4:$B$503,_calc!$E$82))=0,"",INDEX('Documents'!$B$4:$B$503,_calc!$E$82))&amp;". ")&amp;IF(LEN(IF(LEN(INDEX('Documents'!$D$4:$D$503,_calc!$E$82))=0,"",INDEX('Documents'!$D$4:$D$503,_calc!$E$82)))=0,"","Ref: "&amp;IF(LEN(INDEX('Documents'!$D$4:$D$503,_calc!$E$82))=0,"",INDEX('Documents'!$D$4:$D$503,_calc!$E$82))&amp;". ")&amp;IF(LEN(IF(LEN(INDEX('Documents'!$K$4:$K$503,_calc!$E$82))=0,"",INDEX('Documents'!$K$4:$K$503,_calc!$E$82)))=0,"","On file: "&amp;IF(LEN(INDEX('Documents'!$K$4:$K$503,_calc!$E$82))=0,"",INDEX('Documents'!$K$4:$K$503,_calc!$E$82))&amp;". ")&amp;IF(LEN(IF(LEN(INDEX('Documents'!$L$4:$L$503,_calc!$E$82))=0,"",INDEX('Documents'!$L$4:$L$503,_calc!$E$82)))=0,"","Contractor email: "&amp;IF(LEN(INDEX('Documents'!$L$4:$L$503,_calc!$E$82))=0,"",INDEX('Documents'!$L$4:$L$503,_calc!$E$82))&amp;". ")&amp;IF(LEN(IF(LEN(INDEX('Documents'!$P$4:$P$503,_calc!$E$82))=0,"",INDEX('Documents'!$P$4:$P$503,_calc!$E$82)))=0,"",IF(LEN(INDEX('Documents'!$P$4:$P$503,_calc!$E$82))=0,"",INDEX('Documents'!$P$4:$P$503,_calc!$E$82)))))</f>
        <v/>
      </c>
      <c r="G80" s="43">
        <f>IF(_calc!$E$82="","",IF(LEN(INDEX('Documents'!$O$4:$O$503,_calc!$E$82))=0,"",INDEX('Documents'!$O$4:$O$503,_calc!$E$82)))</f>
        <v/>
      </c>
      <c r="K80" s="43">
        <f>IF(_calc!$E$82="","",IF(LEN(INDEX('Documents'!$M$4:$M$503,_calc!$E$82))=0,"",INDEX('Documents'!$M$4:$M$503,_calc!$E$82)))</f>
        <v/>
      </c>
    </row>
    <row r="81">
      <c r="A81" s="43">
        <f>IF(_calc!$E$83="","",IF(LEN(INDEX('Documents'!$C$4:$C$503,_calc!$E$83))=0,"",INDEX('Documents'!$C$4:$C$503,_calc!$E$83))&amp;" – "&amp;IF(LEN(INDEX('Documents'!$A$4:$A$503,_calc!$E$83))=0,"",INDEX('Documents'!$A$4:$A$503,_calc!$E$83)))</f>
        <v/>
      </c>
      <c r="B81" s="43">
        <f>IF(_calc!$E$83="","",IF(ISNUMBER(INDEX('Documents'!$F$4:$F$503,_calc!$E$83)),TEXT(INDEX('Documents'!$F$4:$F$503,_calc!$E$83),"yyyy-mm-dd"),""))</f>
        <v/>
      </c>
      <c r="C81" s="43">
        <f>IF(_calc!$E$83="","","Contractor document")</f>
        <v/>
      </c>
      <c r="D81" s="43">
        <f>IF(_calc!$E$83="","",IF(ISNUMBER(INDEX('Documents'!$E$4:$E$503,_calc!$E$83)),TEXT(INDEX('Documents'!$E$4:$E$503,_calc!$E$83),"yyyy-mm-dd"),""))</f>
        <v/>
      </c>
      <c r="E81" s="43">
        <f>IF(_calc!$E$83="","",IF(LEN(INDEX('Documents'!$N$4:$N$503,_calc!$E$83))=0,"",INDEX('Documents'!$N$4:$N$503,_calc!$E$83)))</f>
        <v/>
      </c>
      <c r="F81" s="43">
        <f>IF(_calc!$E$83="","",TRIM(IF(LEN(IF(LEN(INDEX('Documents'!$B$4:$B$503,_calc!$E$83))=0,"",INDEX('Documents'!$B$4:$B$503,_calc!$E$83)))=0,"","Trade: "&amp;IF(LEN(INDEX('Documents'!$B$4:$B$503,_calc!$E$83))=0,"",INDEX('Documents'!$B$4:$B$503,_calc!$E$83))&amp;". ")&amp;IF(LEN(IF(LEN(INDEX('Documents'!$D$4:$D$503,_calc!$E$83))=0,"",INDEX('Documents'!$D$4:$D$503,_calc!$E$83)))=0,"","Ref: "&amp;IF(LEN(INDEX('Documents'!$D$4:$D$503,_calc!$E$83))=0,"",INDEX('Documents'!$D$4:$D$503,_calc!$E$83))&amp;". ")&amp;IF(LEN(IF(LEN(INDEX('Documents'!$K$4:$K$503,_calc!$E$83))=0,"",INDEX('Documents'!$K$4:$K$503,_calc!$E$83)))=0,"","On file: "&amp;IF(LEN(INDEX('Documents'!$K$4:$K$503,_calc!$E$83))=0,"",INDEX('Documents'!$K$4:$K$503,_calc!$E$83))&amp;". ")&amp;IF(LEN(IF(LEN(INDEX('Documents'!$L$4:$L$503,_calc!$E$83))=0,"",INDEX('Documents'!$L$4:$L$503,_calc!$E$83)))=0,"","Contractor email: "&amp;IF(LEN(INDEX('Documents'!$L$4:$L$503,_calc!$E$83))=0,"",INDEX('Documents'!$L$4:$L$503,_calc!$E$83))&amp;". ")&amp;IF(LEN(IF(LEN(INDEX('Documents'!$P$4:$P$503,_calc!$E$83))=0,"",INDEX('Documents'!$P$4:$P$503,_calc!$E$83)))=0,"",IF(LEN(INDEX('Documents'!$P$4:$P$503,_calc!$E$83))=0,"",INDEX('Documents'!$P$4:$P$503,_calc!$E$83)))))</f>
        <v/>
      </c>
      <c r="G81" s="43">
        <f>IF(_calc!$E$83="","",IF(LEN(INDEX('Documents'!$O$4:$O$503,_calc!$E$83))=0,"",INDEX('Documents'!$O$4:$O$503,_calc!$E$83)))</f>
        <v/>
      </c>
      <c r="K81" s="43">
        <f>IF(_calc!$E$83="","",IF(LEN(INDEX('Documents'!$M$4:$M$503,_calc!$E$83))=0,"",INDEX('Documents'!$M$4:$M$503,_calc!$E$83)))</f>
        <v/>
      </c>
    </row>
    <row r="82">
      <c r="A82" s="43">
        <f>IF(_calc!$E$84="","",IF(LEN(INDEX('Documents'!$C$4:$C$503,_calc!$E$84))=0,"",INDEX('Documents'!$C$4:$C$503,_calc!$E$84))&amp;" – "&amp;IF(LEN(INDEX('Documents'!$A$4:$A$503,_calc!$E$84))=0,"",INDEX('Documents'!$A$4:$A$503,_calc!$E$84)))</f>
        <v/>
      </c>
      <c r="B82" s="43">
        <f>IF(_calc!$E$84="","",IF(ISNUMBER(INDEX('Documents'!$F$4:$F$503,_calc!$E$84)),TEXT(INDEX('Documents'!$F$4:$F$503,_calc!$E$84),"yyyy-mm-dd"),""))</f>
        <v/>
      </c>
      <c r="C82" s="43">
        <f>IF(_calc!$E$84="","","Contractor document")</f>
        <v/>
      </c>
      <c r="D82" s="43">
        <f>IF(_calc!$E$84="","",IF(ISNUMBER(INDEX('Documents'!$E$4:$E$503,_calc!$E$84)),TEXT(INDEX('Documents'!$E$4:$E$503,_calc!$E$84),"yyyy-mm-dd"),""))</f>
        <v/>
      </c>
      <c r="E82" s="43">
        <f>IF(_calc!$E$84="","",IF(LEN(INDEX('Documents'!$N$4:$N$503,_calc!$E$84))=0,"",INDEX('Documents'!$N$4:$N$503,_calc!$E$84)))</f>
        <v/>
      </c>
      <c r="F82" s="43">
        <f>IF(_calc!$E$84="","",TRIM(IF(LEN(IF(LEN(INDEX('Documents'!$B$4:$B$503,_calc!$E$84))=0,"",INDEX('Documents'!$B$4:$B$503,_calc!$E$84)))=0,"","Trade: "&amp;IF(LEN(INDEX('Documents'!$B$4:$B$503,_calc!$E$84))=0,"",INDEX('Documents'!$B$4:$B$503,_calc!$E$84))&amp;". ")&amp;IF(LEN(IF(LEN(INDEX('Documents'!$D$4:$D$503,_calc!$E$84))=0,"",INDEX('Documents'!$D$4:$D$503,_calc!$E$84)))=0,"","Ref: "&amp;IF(LEN(INDEX('Documents'!$D$4:$D$503,_calc!$E$84))=0,"",INDEX('Documents'!$D$4:$D$503,_calc!$E$84))&amp;". ")&amp;IF(LEN(IF(LEN(INDEX('Documents'!$K$4:$K$503,_calc!$E$84))=0,"",INDEX('Documents'!$K$4:$K$503,_calc!$E$84)))=0,"","On file: "&amp;IF(LEN(INDEX('Documents'!$K$4:$K$503,_calc!$E$84))=0,"",INDEX('Documents'!$K$4:$K$503,_calc!$E$84))&amp;". ")&amp;IF(LEN(IF(LEN(INDEX('Documents'!$L$4:$L$503,_calc!$E$84))=0,"",INDEX('Documents'!$L$4:$L$503,_calc!$E$84)))=0,"","Contractor email: "&amp;IF(LEN(INDEX('Documents'!$L$4:$L$503,_calc!$E$84))=0,"",INDEX('Documents'!$L$4:$L$503,_calc!$E$84))&amp;". ")&amp;IF(LEN(IF(LEN(INDEX('Documents'!$P$4:$P$503,_calc!$E$84))=0,"",INDEX('Documents'!$P$4:$P$503,_calc!$E$84)))=0,"",IF(LEN(INDEX('Documents'!$P$4:$P$503,_calc!$E$84))=0,"",INDEX('Documents'!$P$4:$P$503,_calc!$E$84)))))</f>
        <v/>
      </c>
      <c r="G82" s="43">
        <f>IF(_calc!$E$84="","",IF(LEN(INDEX('Documents'!$O$4:$O$503,_calc!$E$84))=0,"",INDEX('Documents'!$O$4:$O$503,_calc!$E$84)))</f>
        <v/>
      </c>
      <c r="K82" s="43">
        <f>IF(_calc!$E$84="","",IF(LEN(INDEX('Documents'!$M$4:$M$503,_calc!$E$84))=0,"",INDEX('Documents'!$M$4:$M$503,_calc!$E$84)))</f>
        <v/>
      </c>
    </row>
    <row r="83">
      <c r="A83" s="43">
        <f>IF(_calc!$E$85="","",IF(LEN(INDEX('Documents'!$C$4:$C$503,_calc!$E$85))=0,"",INDEX('Documents'!$C$4:$C$503,_calc!$E$85))&amp;" – "&amp;IF(LEN(INDEX('Documents'!$A$4:$A$503,_calc!$E$85))=0,"",INDEX('Documents'!$A$4:$A$503,_calc!$E$85)))</f>
        <v/>
      </c>
      <c r="B83" s="43">
        <f>IF(_calc!$E$85="","",IF(ISNUMBER(INDEX('Documents'!$F$4:$F$503,_calc!$E$85)),TEXT(INDEX('Documents'!$F$4:$F$503,_calc!$E$85),"yyyy-mm-dd"),""))</f>
        <v/>
      </c>
      <c r="C83" s="43">
        <f>IF(_calc!$E$85="","","Contractor document")</f>
        <v/>
      </c>
      <c r="D83" s="43">
        <f>IF(_calc!$E$85="","",IF(ISNUMBER(INDEX('Documents'!$E$4:$E$503,_calc!$E$85)),TEXT(INDEX('Documents'!$E$4:$E$503,_calc!$E$85),"yyyy-mm-dd"),""))</f>
        <v/>
      </c>
      <c r="E83" s="43">
        <f>IF(_calc!$E$85="","",IF(LEN(INDEX('Documents'!$N$4:$N$503,_calc!$E$85))=0,"",INDEX('Documents'!$N$4:$N$503,_calc!$E$85)))</f>
        <v/>
      </c>
      <c r="F83" s="43">
        <f>IF(_calc!$E$85="","",TRIM(IF(LEN(IF(LEN(INDEX('Documents'!$B$4:$B$503,_calc!$E$85))=0,"",INDEX('Documents'!$B$4:$B$503,_calc!$E$85)))=0,"","Trade: "&amp;IF(LEN(INDEX('Documents'!$B$4:$B$503,_calc!$E$85))=0,"",INDEX('Documents'!$B$4:$B$503,_calc!$E$85))&amp;". ")&amp;IF(LEN(IF(LEN(INDEX('Documents'!$D$4:$D$503,_calc!$E$85))=0,"",INDEX('Documents'!$D$4:$D$503,_calc!$E$85)))=0,"","Ref: "&amp;IF(LEN(INDEX('Documents'!$D$4:$D$503,_calc!$E$85))=0,"",INDEX('Documents'!$D$4:$D$503,_calc!$E$85))&amp;". ")&amp;IF(LEN(IF(LEN(INDEX('Documents'!$K$4:$K$503,_calc!$E$85))=0,"",INDEX('Documents'!$K$4:$K$503,_calc!$E$85)))=0,"","On file: "&amp;IF(LEN(INDEX('Documents'!$K$4:$K$503,_calc!$E$85))=0,"",INDEX('Documents'!$K$4:$K$503,_calc!$E$85))&amp;". ")&amp;IF(LEN(IF(LEN(INDEX('Documents'!$L$4:$L$503,_calc!$E$85))=0,"",INDEX('Documents'!$L$4:$L$503,_calc!$E$85)))=0,"","Contractor email: "&amp;IF(LEN(INDEX('Documents'!$L$4:$L$503,_calc!$E$85))=0,"",INDEX('Documents'!$L$4:$L$503,_calc!$E$85))&amp;". ")&amp;IF(LEN(IF(LEN(INDEX('Documents'!$P$4:$P$503,_calc!$E$85))=0,"",INDEX('Documents'!$P$4:$P$503,_calc!$E$85)))=0,"",IF(LEN(INDEX('Documents'!$P$4:$P$503,_calc!$E$85))=0,"",INDEX('Documents'!$P$4:$P$503,_calc!$E$85)))))</f>
        <v/>
      </c>
      <c r="G83" s="43">
        <f>IF(_calc!$E$85="","",IF(LEN(INDEX('Documents'!$O$4:$O$503,_calc!$E$85))=0,"",INDEX('Documents'!$O$4:$O$503,_calc!$E$85)))</f>
        <v/>
      </c>
      <c r="K83" s="43">
        <f>IF(_calc!$E$85="","",IF(LEN(INDEX('Documents'!$M$4:$M$503,_calc!$E$85))=0,"",INDEX('Documents'!$M$4:$M$503,_calc!$E$85)))</f>
        <v/>
      </c>
    </row>
    <row r="84">
      <c r="A84" s="43">
        <f>IF(_calc!$E$86="","",IF(LEN(INDEX('Documents'!$C$4:$C$503,_calc!$E$86))=0,"",INDEX('Documents'!$C$4:$C$503,_calc!$E$86))&amp;" – "&amp;IF(LEN(INDEX('Documents'!$A$4:$A$503,_calc!$E$86))=0,"",INDEX('Documents'!$A$4:$A$503,_calc!$E$86)))</f>
        <v/>
      </c>
      <c r="B84" s="43">
        <f>IF(_calc!$E$86="","",IF(ISNUMBER(INDEX('Documents'!$F$4:$F$503,_calc!$E$86)),TEXT(INDEX('Documents'!$F$4:$F$503,_calc!$E$86),"yyyy-mm-dd"),""))</f>
        <v/>
      </c>
      <c r="C84" s="43">
        <f>IF(_calc!$E$86="","","Contractor document")</f>
        <v/>
      </c>
      <c r="D84" s="43">
        <f>IF(_calc!$E$86="","",IF(ISNUMBER(INDEX('Documents'!$E$4:$E$503,_calc!$E$86)),TEXT(INDEX('Documents'!$E$4:$E$503,_calc!$E$86),"yyyy-mm-dd"),""))</f>
        <v/>
      </c>
      <c r="E84" s="43">
        <f>IF(_calc!$E$86="","",IF(LEN(INDEX('Documents'!$N$4:$N$503,_calc!$E$86))=0,"",INDEX('Documents'!$N$4:$N$503,_calc!$E$86)))</f>
        <v/>
      </c>
      <c r="F84" s="43">
        <f>IF(_calc!$E$86="","",TRIM(IF(LEN(IF(LEN(INDEX('Documents'!$B$4:$B$503,_calc!$E$86))=0,"",INDEX('Documents'!$B$4:$B$503,_calc!$E$86)))=0,"","Trade: "&amp;IF(LEN(INDEX('Documents'!$B$4:$B$503,_calc!$E$86))=0,"",INDEX('Documents'!$B$4:$B$503,_calc!$E$86))&amp;". ")&amp;IF(LEN(IF(LEN(INDEX('Documents'!$D$4:$D$503,_calc!$E$86))=0,"",INDEX('Documents'!$D$4:$D$503,_calc!$E$86)))=0,"","Ref: "&amp;IF(LEN(INDEX('Documents'!$D$4:$D$503,_calc!$E$86))=0,"",INDEX('Documents'!$D$4:$D$503,_calc!$E$86))&amp;". ")&amp;IF(LEN(IF(LEN(INDEX('Documents'!$K$4:$K$503,_calc!$E$86))=0,"",INDEX('Documents'!$K$4:$K$503,_calc!$E$86)))=0,"","On file: "&amp;IF(LEN(INDEX('Documents'!$K$4:$K$503,_calc!$E$86))=0,"",INDEX('Documents'!$K$4:$K$503,_calc!$E$86))&amp;". ")&amp;IF(LEN(IF(LEN(INDEX('Documents'!$L$4:$L$503,_calc!$E$86))=0,"",INDEX('Documents'!$L$4:$L$503,_calc!$E$86)))=0,"","Contractor email: "&amp;IF(LEN(INDEX('Documents'!$L$4:$L$503,_calc!$E$86))=0,"",INDEX('Documents'!$L$4:$L$503,_calc!$E$86))&amp;". ")&amp;IF(LEN(IF(LEN(INDEX('Documents'!$P$4:$P$503,_calc!$E$86))=0,"",INDEX('Documents'!$P$4:$P$503,_calc!$E$86)))=0,"",IF(LEN(INDEX('Documents'!$P$4:$P$503,_calc!$E$86))=0,"",INDEX('Documents'!$P$4:$P$503,_calc!$E$86)))))</f>
        <v/>
      </c>
      <c r="G84" s="43">
        <f>IF(_calc!$E$86="","",IF(LEN(INDEX('Documents'!$O$4:$O$503,_calc!$E$86))=0,"",INDEX('Documents'!$O$4:$O$503,_calc!$E$86)))</f>
        <v/>
      </c>
      <c r="K84" s="43">
        <f>IF(_calc!$E$86="","",IF(LEN(INDEX('Documents'!$M$4:$M$503,_calc!$E$86))=0,"",INDEX('Documents'!$M$4:$M$503,_calc!$E$86)))</f>
        <v/>
      </c>
    </row>
    <row r="85">
      <c r="A85" s="43">
        <f>IF(_calc!$E$87="","",IF(LEN(INDEX('Documents'!$C$4:$C$503,_calc!$E$87))=0,"",INDEX('Documents'!$C$4:$C$503,_calc!$E$87))&amp;" – "&amp;IF(LEN(INDEX('Documents'!$A$4:$A$503,_calc!$E$87))=0,"",INDEX('Documents'!$A$4:$A$503,_calc!$E$87)))</f>
        <v/>
      </c>
      <c r="B85" s="43">
        <f>IF(_calc!$E$87="","",IF(ISNUMBER(INDEX('Documents'!$F$4:$F$503,_calc!$E$87)),TEXT(INDEX('Documents'!$F$4:$F$503,_calc!$E$87),"yyyy-mm-dd"),""))</f>
        <v/>
      </c>
      <c r="C85" s="43">
        <f>IF(_calc!$E$87="","","Contractor document")</f>
        <v/>
      </c>
      <c r="D85" s="43">
        <f>IF(_calc!$E$87="","",IF(ISNUMBER(INDEX('Documents'!$E$4:$E$503,_calc!$E$87)),TEXT(INDEX('Documents'!$E$4:$E$503,_calc!$E$87),"yyyy-mm-dd"),""))</f>
        <v/>
      </c>
      <c r="E85" s="43">
        <f>IF(_calc!$E$87="","",IF(LEN(INDEX('Documents'!$N$4:$N$503,_calc!$E$87))=0,"",INDEX('Documents'!$N$4:$N$503,_calc!$E$87)))</f>
        <v/>
      </c>
      <c r="F85" s="43">
        <f>IF(_calc!$E$87="","",TRIM(IF(LEN(IF(LEN(INDEX('Documents'!$B$4:$B$503,_calc!$E$87))=0,"",INDEX('Documents'!$B$4:$B$503,_calc!$E$87)))=0,"","Trade: "&amp;IF(LEN(INDEX('Documents'!$B$4:$B$503,_calc!$E$87))=0,"",INDEX('Documents'!$B$4:$B$503,_calc!$E$87))&amp;". ")&amp;IF(LEN(IF(LEN(INDEX('Documents'!$D$4:$D$503,_calc!$E$87))=0,"",INDEX('Documents'!$D$4:$D$503,_calc!$E$87)))=0,"","Ref: "&amp;IF(LEN(INDEX('Documents'!$D$4:$D$503,_calc!$E$87))=0,"",INDEX('Documents'!$D$4:$D$503,_calc!$E$87))&amp;". ")&amp;IF(LEN(IF(LEN(INDEX('Documents'!$K$4:$K$503,_calc!$E$87))=0,"",INDEX('Documents'!$K$4:$K$503,_calc!$E$87)))=0,"","On file: "&amp;IF(LEN(INDEX('Documents'!$K$4:$K$503,_calc!$E$87))=0,"",INDEX('Documents'!$K$4:$K$503,_calc!$E$87))&amp;". ")&amp;IF(LEN(IF(LEN(INDEX('Documents'!$L$4:$L$503,_calc!$E$87))=0,"",INDEX('Documents'!$L$4:$L$503,_calc!$E$87)))=0,"","Contractor email: "&amp;IF(LEN(INDEX('Documents'!$L$4:$L$503,_calc!$E$87))=0,"",INDEX('Documents'!$L$4:$L$503,_calc!$E$87))&amp;". ")&amp;IF(LEN(IF(LEN(INDEX('Documents'!$P$4:$P$503,_calc!$E$87))=0,"",INDEX('Documents'!$P$4:$P$503,_calc!$E$87)))=0,"",IF(LEN(INDEX('Documents'!$P$4:$P$503,_calc!$E$87))=0,"",INDEX('Documents'!$P$4:$P$503,_calc!$E$87)))))</f>
        <v/>
      </c>
      <c r="G85" s="43">
        <f>IF(_calc!$E$87="","",IF(LEN(INDEX('Documents'!$O$4:$O$503,_calc!$E$87))=0,"",INDEX('Documents'!$O$4:$O$503,_calc!$E$87)))</f>
        <v/>
      </c>
      <c r="K85" s="43">
        <f>IF(_calc!$E$87="","",IF(LEN(INDEX('Documents'!$M$4:$M$503,_calc!$E$87))=0,"",INDEX('Documents'!$M$4:$M$503,_calc!$E$87)))</f>
        <v/>
      </c>
    </row>
    <row r="86">
      <c r="A86" s="43">
        <f>IF(_calc!$E$88="","",IF(LEN(INDEX('Documents'!$C$4:$C$503,_calc!$E$88))=0,"",INDEX('Documents'!$C$4:$C$503,_calc!$E$88))&amp;" – "&amp;IF(LEN(INDEX('Documents'!$A$4:$A$503,_calc!$E$88))=0,"",INDEX('Documents'!$A$4:$A$503,_calc!$E$88)))</f>
        <v/>
      </c>
      <c r="B86" s="43">
        <f>IF(_calc!$E$88="","",IF(ISNUMBER(INDEX('Documents'!$F$4:$F$503,_calc!$E$88)),TEXT(INDEX('Documents'!$F$4:$F$503,_calc!$E$88),"yyyy-mm-dd"),""))</f>
        <v/>
      </c>
      <c r="C86" s="43">
        <f>IF(_calc!$E$88="","","Contractor document")</f>
        <v/>
      </c>
      <c r="D86" s="43">
        <f>IF(_calc!$E$88="","",IF(ISNUMBER(INDEX('Documents'!$E$4:$E$503,_calc!$E$88)),TEXT(INDEX('Documents'!$E$4:$E$503,_calc!$E$88),"yyyy-mm-dd"),""))</f>
        <v/>
      </c>
      <c r="E86" s="43">
        <f>IF(_calc!$E$88="","",IF(LEN(INDEX('Documents'!$N$4:$N$503,_calc!$E$88))=0,"",INDEX('Documents'!$N$4:$N$503,_calc!$E$88)))</f>
        <v/>
      </c>
      <c r="F86" s="43">
        <f>IF(_calc!$E$88="","",TRIM(IF(LEN(IF(LEN(INDEX('Documents'!$B$4:$B$503,_calc!$E$88))=0,"",INDEX('Documents'!$B$4:$B$503,_calc!$E$88)))=0,"","Trade: "&amp;IF(LEN(INDEX('Documents'!$B$4:$B$503,_calc!$E$88))=0,"",INDEX('Documents'!$B$4:$B$503,_calc!$E$88))&amp;". ")&amp;IF(LEN(IF(LEN(INDEX('Documents'!$D$4:$D$503,_calc!$E$88))=0,"",INDEX('Documents'!$D$4:$D$503,_calc!$E$88)))=0,"","Ref: "&amp;IF(LEN(INDEX('Documents'!$D$4:$D$503,_calc!$E$88))=0,"",INDEX('Documents'!$D$4:$D$503,_calc!$E$88))&amp;". ")&amp;IF(LEN(IF(LEN(INDEX('Documents'!$K$4:$K$503,_calc!$E$88))=0,"",INDEX('Documents'!$K$4:$K$503,_calc!$E$88)))=0,"","On file: "&amp;IF(LEN(INDEX('Documents'!$K$4:$K$503,_calc!$E$88))=0,"",INDEX('Documents'!$K$4:$K$503,_calc!$E$88))&amp;". ")&amp;IF(LEN(IF(LEN(INDEX('Documents'!$L$4:$L$503,_calc!$E$88))=0,"",INDEX('Documents'!$L$4:$L$503,_calc!$E$88)))=0,"","Contractor email: "&amp;IF(LEN(INDEX('Documents'!$L$4:$L$503,_calc!$E$88))=0,"",INDEX('Documents'!$L$4:$L$503,_calc!$E$88))&amp;". ")&amp;IF(LEN(IF(LEN(INDEX('Documents'!$P$4:$P$503,_calc!$E$88))=0,"",INDEX('Documents'!$P$4:$P$503,_calc!$E$88)))=0,"",IF(LEN(INDEX('Documents'!$P$4:$P$503,_calc!$E$88))=0,"",INDEX('Documents'!$P$4:$P$503,_calc!$E$88)))))</f>
        <v/>
      </c>
      <c r="G86" s="43">
        <f>IF(_calc!$E$88="","",IF(LEN(INDEX('Documents'!$O$4:$O$503,_calc!$E$88))=0,"",INDEX('Documents'!$O$4:$O$503,_calc!$E$88)))</f>
        <v/>
      </c>
      <c r="K86" s="43">
        <f>IF(_calc!$E$88="","",IF(LEN(INDEX('Documents'!$M$4:$M$503,_calc!$E$88))=0,"",INDEX('Documents'!$M$4:$M$503,_calc!$E$88)))</f>
        <v/>
      </c>
    </row>
    <row r="87">
      <c r="A87" s="43">
        <f>IF(_calc!$E$89="","",IF(LEN(INDEX('Documents'!$C$4:$C$503,_calc!$E$89))=0,"",INDEX('Documents'!$C$4:$C$503,_calc!$E$89))&amp;" – "&amp;IF(LEN(INDEX('Documents'!$A$4:$A$503,_calc!$E$89))=0,"",INDEX('Documents'!$A$4:$A$503,_calc!$E$89)))</f>
        <v/>
      </c>
      <c r="B87" s="43">
        <f>IF(_calc!$E$89="","",IF(ISNUMBER(INDEX('Documents'!$F$4:$F$503,_calc!$E$89)),TEXT(INDEX('Documents'!$F$4:$F$503,_calc!$E$89),"yyyy-mm-dd"),""))</f>
        <v/>
      </c>
      <c r="C87" s="43">
        <f>IF(_calc!$E$89="","","Contractor document")</f>
        <v/>
      </c>
      <c r="D87" s="43">
        <f>IF(_calc!$E$89="","",IF(ISNUMBER(INDEX('Documents'!$E$4:$E$503,_calc!$E$89)),TEXT(INDEX('Documents'!$E$4:$E$503,_calc!$E$89),"yyyy-mm-dd"),""))</f>
        <v/>
      </c>
      <c r="E87" s="43">
        <f>IF(_calc!$E$89="","",IF(LEN(INDEX('Documents'!$N$4:$N$503,_calc!$E$89))=0,"",INDEX('Documents'!$N$4:$N$503,_calc!$E$89)))</f>
        <v/>
      </c>
      <c r="F87" s="43">
        <f>IF(_calc!$E$89="","",TRIM(IF(LEN(IF(LEN(INDEX('Documents'!$B$4:$B$503,_calc!$E$89))=0,"",INDEX('Documents'!$B$4:$B$503,_calc!$E$89)))=0,"","Trade: "&amp;IF(LEN(INDEX('Documents'!$B$4:$B$503,_calc!$E$89))=0,"",INDEX('Documents'!$B$4:$B$503,_calc!$E$89))&amp;". ")&amp;IF(LEN(IF(LEN(INDEX('Documents'!$D$4:$D$503,_calc!$E$89))=0,"",INDEX('Documents'!$D$4:$D$503,_calc!$E$89)))=0,"","Ref: "&amp;IF(LEN(INDEX('Documents'!$D$4:$D$503,_calc!$E$89))=0,"",INDEX('Documents'!$D$4:$D$503,_calc!$E$89))&amp;". ")&amp;IF(LEN(IF(LEN(INDEX('Documents'!$K$4:$K$503,_calc!$E$89))=0,"",INDEX('Documents'!$K$4:$K$503,_calc!$E$89)))=0,"","On file: "&amp;IF(LEN(INDEX('Documents'!$K$4:$K$503,_calc!$E$89))=0,"",INDEX('Documents'!$K$4:$K$503,_calc!$E$89))&amp;". ")&amp;IF(LEN(IF(LEN(INDEX('Documents'!$L$4:$L$503,_calc!$E$89))=0,"",INDEX('Documents'!$L$4:$L$503,_calc!$E$89)))=0,"","Contractor email: "&amp;IF(LEN(INDEX('Documents'!$L$4:$L$503,_calc!$E$89))=0,"",INDEX('Documents'!$L$4:$L$503,_calc!$E$89))&amp;". ")&amp;IF(LEN(IF(LEN(INDEX('Documents'!$P$4:$P$503,_calc!$E$89))=0,"",INDEX('Documents'!$P$4:$P$503,_calc!$E$89)))=0,"",IF(LEN(INDEX('Documents'!$P$4:$P$503,_calc!$E$89))=0,"",INDEX('Documents'!$P$4:$P$503,_calc!$E$89)))))</f>
        <v/>
      </c>
      <c r="G87" s="43">
        <f>IF(_calc!$E$89="","",IF(LEN(INDEX('Documents'!$O$4:$O$503,_calc!$E$89))=0,"",INDEX('Documents'!$O$4:$O$503,_calc!$E$89)))</f>
        <v/>
      </c>
      <c r="K87" s="43">
        <f>IF(_calc!$E$89="","",IF(LEN(INDEX('Documents'!$M$4:$M$503,_calc!$E$89))=0,"",INDEX('Documents'!$M$4:$M$503,_calc!$E$89)))</f>
        <v/>
      </c>
    </row>
    <row r="88">
      <c r="A88" s="43">
        <f>IF(_calc!$E$90="","",IF(LEN(INDEX('Documents'!$C$4:$C$503,_calc!$E$90))=0,"",INDEX('Documents'!$C$4:$C$503,_calc!$E$90))&amp;" – "&amp;IF(LEN(INDEX('Documents'!$A$4:$A$503,_calc!$E$90))=0,"",INDEX('Documents'!$A$4:$A$503,_calc!$E$90)))</f>
        <v/>
      </c>
      <c r="B88" s="43">
        <f>IF(_calc!$E$90="","",IF(ISNUMBER(INDEX('Documents'!$F$4:$F$503,_calc!$E$90)),TEXT(INDEX('Documents'!$F$4:$F$503,_calc!$E$90),"yyyy-mm-dd"),""))</f>
        <v/>
      </c>
      <c r="C88" s="43">
        <f>IF(_calc!$E$90="","","Contractor document")</f>
        <v/>
      </c>
      <c r="D88" s="43">
        <f>IF(_calc!$E$90="","",IF(ISNUMBER(INDEX('Documents'!$E$4:$E$503,_calc!$E$90)),TEXT(INDEX('Documents'!$E$4:$E$503,_calc!$E$90),"yyyy-mm-dd"),""))</f>
        <v/>
      </c>
      <c r="E88" s="43">
        <f>IF(_calc!$E$90="","",IF(LEN(INDEX('Documents'!$N$4:$N$503,_calc!$E$90))=0,"",INDEX('Documents'!$N$4:$N$503,_calc!$E$90)))</f>
        <v/>
      </c>
      <c r="F88" s="43">
        <f>IF(_calc!$E$90="","",TRIM(IF(LEN(IF(LEN(INDEX('Documents'!$B$4:$B$503,_calc!$E$90))=0,"",INDEX('Documents'!$B$4:$B$503,_calc!$E$90)))=0,"","Trade: "&amp;IF(LEN(INDEX('Documents'!$B$4:$B$503,_calc!$E$90))=0,"",INDEX('Documents'!$B$4:$B$503,_calc!$E$90))&amp;". ")&amp;IF(LEN(IF(LEN(INDEX('Documents'!$D$4:$D$503,_calc!$E$90))=0,"",INDEX('Documents'!$D$4:$D$503,_calc!$E$90)))=0,"","Ref: "&amp;IF(LEN(INDEX('Documents'!$D$4:$D$503,_calc!$E$90))=0,"",INDEX('Documents'!$D$4:$D$503,_calc!$E$90))&amp;". ")&amp;IF(LEN(IF(LEN(INDEX('Documents'!$K$4:$K$503,_calc!$E$90))=0,"",INDEX('Documents'!$K$4:$K$503,_calc!$E$90)))=0,"","On file: "&amp;IF(LEN(INDEX('Documents'!$K$4:$K$503,_calc!$E$90))=0,"",INDEX('Documents'!$K$4:$K$503,_calc!$E$90))&amp;". ")&amp;IF(LEN(IF(LEN(INDEX('Documents'!$L$4:$L$503,_calc!$E$90))=0,"",INDEX('Documents'!$L$4:$L$503,_calc!$E$90)))=0,"","Contractor email: "&amp;IF(LEN(INDEX('Documents'!$L$4:$L$503,_calc!$E$90))=0,"",INDEX('Documents'!$L$4:$L$503,_calc!$E$90))&amp;". ")&amp;IF(LEN(IF(LEN(INDEX('Documents'!$P$4:$P$503,_calc!$E$90))=0,"",INDEX('Documents'!$P$4:$P$503,_calc!$E$90)))=0,"",IF(LEN(INDEX('Documents'!$P$4:$P$503,_calc!$E$90))=0,"",INDEX('Documents'!$P$4:$P$503,_calc!$E$90)))))</f>
        <v/>
      </c>
      <c r="G88" s="43">
        <f>IF(_calc!$E$90="","",IF(LEN(INDEX('Documents'!$O$4:$O$503,_calc!$E$90))=0,"",INDEX('Documents'!$O$4:$O$503,_calc!$E$90)))</f>
        <v/>
      </c>
      <c r="K88" s="43">
        <f>IF(_calc!$E$90="","",IF(LEN(INDEX('Documents'!$M$4:$M$503,_calc!$E$90))=0,"",INDEX('Documents'!$M$4:$M$503,_calc!$E$90)))</f>
        <v/>
      </c>
    </row>
    <row r="89">
      <c r="A89" s="43">
        <f>IF(_calc!$E$91="","",IF(LEN(INDEX('Documents'!$C$4:$C$503,_calc!$E$91))=0,"",INDEX('Documents'!$C$4:$C$503,_calc!$E$91))&amp;" – "&amp;IF(LEN(INDEX('Documents'!$A$4:$A$503,_calc!$E$91))=0,"",INDEX('Documents'!$A$4:$A$503,_calc!$E$91)))</f>
        <v/>
      </c>
      <c r="B89" s="43">
        <f>IF(_calc!$E$91="","",IF(ISNUMBER(INDEX('Documents'!$F$4:$F$503,_calc!$E$91)),TEXT(INDEX('Documents'!$F$4:$F$503,_calc!$E$91),"yyyy-mm-dd"),""))</f>
        <v/>
      </c>
      <c r="C89" s="43">
        <f>IF(_calc!$E$91="","","Contractor document")</f>
        <v/>
      </c>
      <c r="D89" s="43">
        <f>IF(_calc!$E$91="","",IF(ISNUMBER(INDEX('Documents'!$E$4:$E$503,_calc!$E$91)),TEXT(INDEX('Documents'!$E$4:$E$503,_calc!$E$91),"yyyy-mm-dd"),""))</f>
        <v/>
      </c>
      <c r="E89" s="43">
        <f>IF(_calc!$E$91="","",IF(LEN(INDEX('Documents'!$N$4:$N$503,_calc!$E$91))=0,"",INDEX('Documents'!$N$4:$N$503,_calc!$E$91)))</f>
        <v/>
      </c>
      <c r="F89" s="43">
        <f>IF(_calc!$E$91="","",TRIM(IF(LEN(IF(LEN(INDEX('Documents'!$B$4:$B$503,_calc!$E$91))=0,"",INDEX('Documents'!$B$4:$B$503,_calc!$E$91)))=0,"","Trade: "&amp;IF(LEN(INDEX('Documents'!$B$4:$B$503,_calc!$E$91))=0,"",INDEX('Documents'!$B$4:$B$503,_calc!$E$91))&amp;". ")&amp;IF(LEN(IF(LEN(INDEX('Documents'!$D$4:$D$503,_calc!$E$91))=0,"",INDEX('Documents'!$D$4:$D$503,_calc!$E$91)))=0,"","Ref: "&amp;IF(LEN(INDEX('Documents'!$D$4:$D$503,_calc!$E$91))=0,"",INDEX('Documents'!$D$4:$D$503,_calc!$E$91))&amp;". ")&amp;IF(LEN(IF(LEN(INDEX('Documents'!$K$4:$K$503,_calc!$E$91))=0,"",INDEX('Documents'!$K$4:$K$503,_calc!$E$91)))=0,"","On file: "&amp;IF(LEN(INDEX('Documents'!$K$4:$K$503,_calc!$E$91))=0,"",INDEX('Documents'!$K$4:$K$503,_calc!$E$91))&amp;". ")&amp;IF(LEN(IF(LEN(INDEX('Documents'!$L$4:$L$503,_calc!$E$91))=0,"",INDEX('Documents'!$L$4:$L$503,_calc!$E$91)))=0,"","Contractor email: "&amp;IF(LEN(INDEX('Documents'!$L$4:$L$503,_calc!$E$91))=0,"",INDEX('Documents'!$L$4:$L$503,_calc!$E$91))&amp;". ")&amp;IF(LEN(IF(LEN(INDEX('Documents'!$P$4:$P$503,_calc!$E$91))=0,"",INDEX('Documents'!$P$4:$P$503,_calc!$E$91)))=0,"",IF(LEN(INDEX('Documents'!$P$4:$P$503,_calc!$E$91))=0,"",INDEX('Documents'!$P$4:$P$503,_calc!$E$91)))))</f>
        <v/>
      </c>
      <c r="G89" s="43">
        <f>IF(_calc!$E$91="","",IF(LEN(INDEX('Documents'!$O$4:$O$503,_calc!$E$91))=0,"",INDEX('Documents'!$O$4:$O$503,_calc!$E$91)))</f>
        <v/>
      </c>
      <c r="K89" s="43">
        <f>IF(_calc!$E$91="","",IF(LEN(INDEX('Documents'!$M$4:$M$503,_calc!$E$91))=0,"",INDEX('Documents'!$M$4:$M$503,_calc!$E$91)))</f>
        <v/>
      </c>
    </row>
    <row r="90">
      <c r="A90" s="43">
        <f>IF(_calc!$E$92="","",IF(LEN(INDEX('Documents'!$C$4:$C$503,_calc!$E$92))=0,"",INDEX('Documents'!$C$4:$C$503,_calc!$E$92))&amp;" – "&amp;IF(LEN(INDEX('Documents'!$A$4:$A$503,_calc!$E$92))=0,"",INDEX('Documents'!$A$4:$A$503,_calc!$E$92)))</f>
        <v/>
      </c>
      <c r="B90" s="43">
        <f>IF(_calc!$E$92="","",IF(ISNUMBER(INDEX('Documents'!$F$4:$F$503,_calc!$E$92)),TEXT(INDEX('Documents'!$F$4:$F$503,_calc!$E$92),"yyyy-mm-dd"),""))</f>
        <v/>
      </c>
      <c r="C90" s="43">
        <f>IF(_calc!$E$92="","","Contractor document")</f>
        <v/>
      </c>
      <c r="D90" s="43">
        <f>IF(_calc!$E$92="","",IF(ISNUMBER(INDEX('Documents'!$E$4:$E$503,_calc!$E$92)),TEXT(INDEX('Documents'!$E$4:$E$503,_calc!$E$92),"yyyy-mm-dd"),""))</f>
        <v/>
      </c>
      <c r="E90" s="43">
        <f>IF(_calc!$E$92="","",IF(LEN(INDEX('Documents'!$N$4:$N$503,_calc!$E$92))=0,"",INDEX('Documents'!$N$4:$N$503,_calc!$E$92)))</f>
        <v/>
      </c>
      <c r="F90" s="43">
        <f>IF(_calc!$E$92="","",TRIM(IF(LEN(IF(LEN(INDEX('Documents'!$B$4:$B$503,_calc!$E$92))=0,"",INDEX('Documents'!$B$4:$B$503,_calc!$E$92)))=0,"","Trade: "&amp;IF(LEN(INDEX('Documents'!$B$4:$B$503,_calc!$E$92))=0,"",INDEX('Documents'!$B$4:$B$503,_calc!$E$92))&amp;". ")&amp;IF(LEN(IF(LEN(INDEX('Documents'!$D$4:$D$503,_calc!$E$92))=0,"",INDEX('Documents'!$D$4:$D$503,_calc!$E$92)))=0,"","Ref: "&amp;IF(LEN(INDEX('Documents'!$D$4:$D$503,_calc!$E$92))=0,"",INDEX('Documents'!$D$4:$D$503,_calc!$E$92))&amp;". ")&amp;IF(LEN(IF(LEN(INDEX('Documents'!$K$4:$K$503,_calc!$E$92))=0,"",INDEX('Documents'!$K$4:$K$503,_calc!$E$92)))=0,"","On file: "&amp;IF(LEN(INDEX('Documents'!$K$4:$K$503,_calc!$E$92))=0,"",INDEX('Documents'!$K$4:$K$503,_calc!$E$92))&amp;". ")&amp;IF(LEN(IF(LEN(INDEX('Documents'!$L$4:$L$503,_calc!$E$92))=0,"",INDEX('Documents'!$L$4:$L$503,_calc!$E$92)))=0,"","Contractor email: "&amp;IF(LEN(INDEX('Documents'!$L$4:$L$503,_calc!$E$92))=0,"",INDEX('Documents'!$L$4:$L$503,_calc!$E$92))&amp;". ")&amp;IF(LEN(IF(LEN(INDEX('Documents'!$P$4:$P$503,_calc!$E$92))=0,"",INDEX('Documents'!$P$4:$P$503,_calc!$E$92)))=0,"",IF(LEN(INDEX('Documents'!$P$4:$P$503,_calc!$E$92))=0,"",INDEX('Documents'!$P$4:$P$503,_calc!$E$92)))))</f>
        <v/>
      </c>
      <c r="G90" s="43">
        <f>IF(_calc!$E$92="","",IF(LEN(INDEX('Documents'!$O$4:$O$503,_calc!$E$92))=0,"",INDEX('Documents'!$O$4:$O$503,_calc!$E$92)))</f>
        <v/>
      </c>
      <c r="K90" s="43">
        <f>IF(_calc!$E$92="","",IF(LEN(INDEX('Documents'!$M$4:$M$503,_calc!$E$92))=0,"",INDEX('Documents'!$M$4:$M$503,_calc!$E$92)))</f>
        <v/>
      </c>
    </row>
    <row r="91">
      <c r="A91" s="43">
        <f>IF(_calc!$E$93="","",IF(LEN(INDEX('Documents'!$C$4:$C$503,_calc!$E$93))=0,"",INDEX('Documents'!$C$4:$C$503,_calc!$E$93))&amp;" – "&amp;IF(LEN(INDEX('Documents'!$A$4:$A$503,_calc!$E$93))=0,"",INDEX('Documents'!$A$4:$A$503,_calc!$E$93)))</f>
        <v/>
      </c>
      <c r="B91" s="43">
        <f>IF(_calc!$E$93="","",IF(ISNUMBER(INDEX('Documents'!$F$4:$F$503,_calc!$E$93)),TEXT(INDEX('Documents'!$F$4:$F$503,_calc!$E$93),"yyyy-mm-dd"),""))</f>
        <v/>
      </c>
      <c r="C91" s="43">
        <f>IF(_calc!$E$93="","","Contractor document")</f>
        <v/>
      </c>
      <c r="D91" s="43">
        <f>IF(_calc!$E$93="","",IF(ISNUMBER(INDEX('Documents'!$E$4:$E$503,_calc!$E$93)),TEXT(INDEX('Documents'!$E$4:$E$503,_calc!$E$93),"yyyy-mm-dd"),""))</f>
        <v/>
      </c>
      <c r="E91" s="43">
        <f>IF(_calc!$E$93="","",IF(LEN(INDEX('Documents'!$N$4:$N$503,_calc!$E$93))=0,"",INDEX('Documents'!$N$4:$N$503,_calc!$E$93)))</f>
        <v/>
      </c>
      <c r="F91" s="43">
        <f>IF(_calc!$E$93="","",TRIM(IF(LEN(IF(LEN(INDEX('Documents'!$B$4:$B$503,_calc!$E$93))=0,"",INDEX('Documents'!$B$4:$B$503,_calc!$E$93)))=0,"","Trade: "&amp;IF(LEN(INDEX('Documents'!$B$4:$B$503,_calc!$E$93))=0,"",INDEX('Documents'!$B$4:$B$503,_calc!$E$93))&amp;". ")&amp;IF(LEN(IF(LEN(INDEX('Documents'!$D$4:$D$503,_calc!$E$93))=0,"",INDEX('Documents'!$D$4:$D$503,_calc!$E$93)))=0,"","Ref: "&amp;IF(LEN(INDEX('Documents'!$D$4:$D$503,_calc!$E$93))=0,"",INDEX('Documents'!$D$4:$D$503,_calc!$E$93))&amp;". ")&amp;IF(LEN(IF(LEN(INDEX('Documents'!$K$4:$K$503,_calc!$E$93))=0,"",INDEX('Documents'!$K$4:$K$503,_calc!$E$93)))=0,"","On file: "&amp;IF(LEN(INDEX('Documents'!$K$4:$K$503,_calc!$E$93))=0,"",INDEX('Documents'!$K$4:$K$503,_calc!$E$93))&amp;". ")&amp;IF(LEN(IF(LEN(INDEX('Documents'!$L$4:$L$503,_calc!$E$93))=0,"",INDEX('Documents'!$L$4:$L$503,_calc!$E$93)))=0,"","Contractor email: "&amp;IF(LEN(INDEX('Documents'!$L$4:$L$503,_calc!$E$93))=0,"",INDEX('Documents'!$L$4:$L$503,_calc!$E$93))&amp;". ")&amp;IF(LEN(IF(LEN(INDEX('Documents'!$P$4:$P$503,_calc!$E$93))=0,"",INDEX('Documents'!$P$4:$P$503,_calc!$E$93)))=0,"",IF(LEN(INDEX('Documents'!$P$4:$P$503,_calc!$E$93))=0,"",INDEX('Documents'!$P$4:$P$503,_calc!$E$93)))))</f>
        <v/>
      </c>
      <c r="G91" s="43">
        <f>IF(_calc!$E$93="","",IF(LEN(INDEX('Documents'!$O$4:$O$503,_calc!$E$93))=0,"",INDEX('Documents'!$O$4:$O$503,_calc!$E$93)))</f>
        <v/>
      </c>
      <c r="K91" s="43">
        <f>IF(_calc!$E$93="","",IF(LEN(INDEX('Documents'!$M$4:$M$503,_calc!$E$93))=0,"",INDEX('Documents'!$M$4:$M$503,_calc!$E$93)))</f>
        <v/>
      </c>
    </row>
    <row r="92">
      <c r="A92" s="43">
        <f>IF(_calc!$E$94="","",IF(LEN(INDEX('Documents'!$C$4:$C$503,_calc!$E$94))=0,"",INDEX('Documents'!$C$4:$C$503,_calc!$E$94))&amp;" – "&amp;IF(LEN(INDEX('Documents'!$A$4:$A$503,_calc!$E$94))=0,"",INDEX('Documents'!$A$4:$A$503,_calc!$E$94)))</f>
        <v/>
      </c>
      <c r="B92" s="43">
        <f>IF(_calc!$E$94="","",IF(ISNUMBER(INDEX('Documents'!$F$4:$F$503,_calc!$E$94)),TEXT(INDEX('Documents'!$F$4:$F$503,_calc!$E$94),"yyyy-mm-dd"),""))</f>
        <v/>
      </c>
      <c r="C92" s="43">
        <f>IF(_calc!$E$94="","","Contractor document")</f>
        <v/>
      </c>
      <c r="D92" s="43">
        <f>IF(_calc!$E$94="","",IF(ISNUMBER(INDEX('Documents'!$E$4:$E$503,_calc!$E$94)),TEXT(INDEX('Documents'!$E$4:$E$503,_calc!$E$94),"yyyy-mm-dd"),""))</f>
        <v/>
      </c>
      <c r="E92" s="43">
        <f>IF(_calc!$E$94="","",IF(LEN(INDEX('Documents'!$N$4:$N$503,_calc!$E$94))=0,"",INDEX('Documents'!$N$4:$N$503,_calc!$E$94)))</f>
        <v/>
      </c>
      <c r="F92" s="43">
        <f>IF(_calc!$E$94="","",TRIM(IF(LEN(IF(LEN(INDEX('Documents'!$B$4:$B$503,_calc!$E$94))=0,"",INDEX('Documents'!$B$4:$B$503,_calc!$E$94)))=0,"","Trade: "&amp;IF(LEN(INDEX('Documents'!$B$4:$B$503,_calc!$E$94))=0,"",INDEX('Documents'!$B$4:$B$503,_calc!$E$94))&amp;". ")&amp;IF(LEN(IF(LEN(INDEX('Documents'!$D$4:$D$503,_calc!$E$94))=0,"",INDEX('Documents'!$D$4:$D$503,_calc!$E$94)))=0,"","Ref: "&amp;IF(LEN(INDEX('Documents'!$D$4:$D$503,_calc!$E$94))=0,"",INDEX('Documents'!$D$4:$D$503,_calc!$E$94))&amp;". ")&amp;IF(LEN(IF(LEN(INDEX('Documents'!$K$4:$K$503,_calc!$E$94))=0,"",INDEX('Documents'!$K$4:$K$503,_calc!$E$94)))=0,"","On file: "&amp;IF(LEN(INDEX('Documents'!$K$4:$K$503,_calc!$E$94))=0,"",INDEX('Documents'!$K$4:$K$503,_calc!$E$94))&amp;". ")&amp;IF(LEN(IF(LEN(INDEX('Documents'!$L$4:$L$503,_calc!$E$94))=0,"",INDEX('Documents'!$L$4:$L$503,_calc!$E$94)))=0,"","Contractor email: "&amp;IF(LEN(INDEX('Documents'!$L$4:$L$503,_calc!$E$94))=0,"",INDEX('Documents'!$L$4:$L$503,_calc!$E$94))&amp;". ")&amp;IF(LEN(IF(LEN(INDEX('Documents'!$P$4:$P$503,_calc!$E$94))=0,"",INDEX('Documents'!$P$4:$P$503,_calc!$E$94)))=0,"",IF(LEN(INDEX('Documents'!$P$4:$P$503,_calc!$E$94))=0,"",INDEX('Documents'!$P$4:$P$503,_calc!$E$94)))))</f>
        <v/>
      </c>
      <c r="G92" s="43">
        <f>IF(_calc!$E$94="","",IF(LEN(INDEX('Documents'!$O$4:$O$503,_calc!$E$94))=0,"",INDEX('Documents'!$O$4:$O$503,_calc!$E$94)))</f>
        <v/>
      </c>
      <c r="K92" s="43">
        <f>IF(_calc!$E$94="","",IF(LEN(INDEX('Documents'!$M$4:$M$503,_calc!$E$94))=0,"",INDEX('Documents'!$M$4:$M$503,_calc!$E$94)))</f>
        <v/>
      </c>
    </row>
    <row r="93">
      <c r="A93" s="43">
        <f>IF(_calc!$E$95="","",IF(LEN(INDEX('Documents'!$C$4:$C$503,_calc!$E$95))=0,"",INDEX('Documents'!$C$4:$C$503,_calc!$E$95))&amp;" – "&amp;IF(LEN(INDEX('Documents'!$A$4:$A$503,_calc!$E$95))=0,"",INDEX('Documents'!$A$4:$A$503,_calc!$E$95)))</f>
        <v/>
      </c>
      <c r="B93" s="43">
        <f>IF(_calc!$E$95="","",IF(ISNUMBER(INDEX('Documents'!$F$4:$F$503,_calc!$E$95)),TEXT(INDEX('Documents'!$F$4:$F$503,_calc!$E$95),"yyyy-mm-dd"),""))</f>
        <v/>
      </c>
      <c r="C93" s="43">
        <f>IF(_calc!$E$95="","","Contractor document")</f>
        <v/>
      </c>
      <c r="D93" s="43">
        <f>IF(_calc!$E$95="","",IF(ISNUMBER(INDEX('Documents'!$E$4:$E$503,_calc!$E$95)),TEXT(INDEX('Documents'!$E$4:$E$503,_calc!$E$95),"yyyy-mm-dd"),""))</f>
        <v/>
      </c>
      <c r="E93" s="43">
        <f>IF(_calc!$E$95="","",IF(LEN(INDEX('Documents'!$N$4:$N$503,_calc!$E$95))=0,"",INDEX('Documents'!$N$4:$N$503,_calc!$E$95)))</f>
        <v/>
      </c>
      <c r="F93" s="43">
        <f>IF(_calc!$E$95="","",TRIM(IF(LEN(IF(LEN(INDEX('Documents'!$B$4:$B$503,_calc!$E$95))=0,"",INDEX('Documents'!$B$4:$B$503,_calc!$E$95)))=0,"","Trade: "&amp;IF(LEN(INDEX('Documents'!$B$4:$B$503,_calc!$E$95))=0,"",INDEX('Documents'!$B$4:$B$503,_calc!$E$95))&amp;". ")&amp;IF(LEN(IF(LEN(INDEX('Documents'!$D$4:$D$503,_calc!$E$95))=0,"",INDEX('Documents'!$D$4:$D$503,_calc!$E$95)))=0,"","Ref: "&amp;IF(LEN(INDEX('Documents'!$D$4:$D$503,_calc!$E$95))=0,"",INDEX('Documents'!$D$4:$D$503,_calc!$E$95))&amp;". ")&amp;IF(LEN(IF(LEN(INDEX('Documents'!$K$4:$K$503,_calc!$E$95))=0,"",INDEX('Documents'!$K$4:$K$503,_calc!$E$95)))=0,"","On file: "&amp;IF(LEN(INDEX('Documents'!$K$4:$K$503,_calc!$E$95))=0,"",INDEX('Documents'!$K$4:$K$503,_calc!$E$95))&amp;". ")&amp;IF(LEN(IF(LEN(INDEX('Documents'!$L$4:$L$503,_calc!$E$95))=0,"",INDEX('Documents'!$L$4:$L$503,_calc!$E$95)))=0,"","Contractor email: "&amp;IF(LEN(INDEX('Documents'!$L$4:$L$503,_calc!$E$95))=0,"",INDEX('Documents'!$L$4:$L$503,_calc!$E$95))&amp;". ")&amp;IF(LEN(IF(LEN(INDEX('Documents'!$P$4:$P$503,_calc!$E$95))=0,"",INDEX('Documents'!$P$4:$P$503,_calc!$E$95)))=0,"",IF(LEN(INDEX('Documents'!$P$4:$P$503,_calc!$E$95))=0,"",INDEX('Documents'!$P$4:$P$503,_calc!$E$95)))))</f>
        <v/>
      </c>
      <c r="G93" s="43">
        <f>IF(_calc!$E$95="","",IF(LEN(INDEX('Documents'!$O$4:$O$503,_calc!$E$95))=0,"",INDEX('Documents'!$O$4:$O$503,_calc!$E$95)))</f>
        <v/>
      </c>
      <c r="K93" s="43">
        <f>IF(_calc!$E$95="","",IF(LEN(INDEX('Documents'!$M$4:$M$503,_calc!$E$95))=0,"",INDEX('Documents'!$M$4:$M$503,_calc!$E$95)))</f>
        <v/>
      </c>
    </row>
    <row r="94">
      <c r="A94" s="43">
        <f>IF(_calc!$E$96="","",IF(LEN(INDEX('Documents'!$C$4:$C$503,_calc!$E$96))=0,"",INDEX('Documents'!$C$4:$C$503,_calc!$E$96))&amp;" – "&amp;IF(LEN(INDEX('Documents'!$A$4:$A$503,_calc!$E$96))=0,"",INDEX('Documents'!$A$4:$A$503,_calc!$E$96)))</f>
        <v/>
      </c>
      <c r="B94" s="43">
        <f>IF(_calc!$E$96="","",IF(ISNUMBER(INDEX('Documents'!$F$4:$F$503,_calc!$E$96)),TEXT(INDEX('Documents'!$F$4:$F$503,_calc!$E$96),"yyyy-mm-dd"),""))</f>
        <v/>
      </c>
      <c r="C94" s="43">
        <f>IF(_calc!$E$96="","","Contractor document")</f>
        <v/>
      </c>
      <c r="D94" s="43">
        <f>IF(_calc!$E$96="","",IF(ISNUMBER(INDEX('Documents'!$E$4:$E$503,_calc!$E$96)),TEXT(INDEX('Documents'!$E$4:$E$503,_calc!$E$96),"yyyy-mm-dd"),""))</f>
        <v/>
      </c>
      <c r="E94" s="43">
        <f>IF(_calc!$E$96="","",IF(LEN(INDEX('Documents'!$N$4:$N$503,_calc!$E$96))=0,"",INDEX('Documents'!$N$4:$N$503,_calc!$E$96)))</f>
        <v/>
      </c>
      <c r="F94" s="43">
        <f>IF(_calc!$E$96="","",TRIM(IF(LEN(IF(LEN(INDEX('Documents'!$B$4:$B$503,_calc!$E$96))=0,"",INDEX('Documents'!$B$4:$B$503,_calc!$E$96)))=0,"","Trade: "&amp;IF(LEN(INDEX('Documents'!$B$4:$B$503,_calc!$E$96))=0,"",INDEX('Documents'!$B$4:$B$503,_calc!$E$96))&amp;". ")&amp;IF(LEN(IF(LEN(INDEX('Documents'!$D$4:$D$503,_calc!$E$96))=0,"",INDEX('Documents'!$D$4:$D$503,_calc!$E$96)))=0,"","Ref: "&amp;IF(LEN(INDEX('Documents'!$D$4:$D$503,_calc!$E$96))=0,"",INDEX('Documents'!$D$4:$D$503,_calc!$E$96))&amp;". ")&amp;IF(LEN(IF(LEN(INDEX('Documents'!$K$4:$K$503,_calc!$E$96))=0,"",INDEX('Documents'!$K$4:$K$503,_calc!$E$96)))=0,"","On file: "&amp;IF(LEN(INDEX('Documents'!$K$4:$K$503,_calc!$E$96))=0,"",INDEX('Documents'!$K$4:$K$503,_calc!$E$96))&amp;". ")&amp;IF(LEN(IF(LEN(INDEX('Documents'!$L$4:$L$503,_calc!$E$96))=0,"",INDEX('Documents'!$L$4:$L$503,_calc!$E$96)))=0,"","Contractor email: "&amp;IF(LEN(INDEX('Documents'!$L$4:$L$503,_calc!$E$96))=0,"",INDEX('Documents'!$L$4:$L$503,_calc!$E$96))&amp;". ")&amp;IF(LEN(IF(LEN(INDEX('Documents'!$P$4:$P$503,_calc!$E$96))=0,"",INDEX('Documents'!$P$4:$P$503,_calc!$E$96)))=0,"",IF(LEN(INDEX('Documents'!$P$4:$P$503,_calc!$E$96))=0,"",INDEX('Documents'!$P$4:$P$503,_calc!$E$96)))))</f>
        <v/>
      </c>
      <c r="G94" s="43">
        <f>IF(_calc!$E$96="","",IF(LEN(INDEX('Documents'!$O$4:$O$503,_calc!$E$96))=0,"",INDEX('Documents'!$O$4:$O$503,_calc!$E$96)))</f>
        <v/>
      </c>
      <c r="K94" s="43">
        <f>IF(_calc!$E$96="","",IF(LEN(INDEX('Documents'!$M$4:$M$503,_calc!$E$96))=0,"",INDEX('Documents'!$M$4:$M$503,_calc!$E$96)))</f>
        <v/>
      </c>
    </row>
    <row r="95">
      <c r="A95" s="43">
        <f>IF(_calc!$E$97="","",IF(LEN(INDEX('Documents'!$C$4:$C$503,_calc!$E$97))=0,"",INDEX('Documents'!$C$4:$C$503,_calc!$E$97))&amp;" – "&amp;IF(LEN(INDEX('Documents'!$A$4:$A$503,_calc!$E$97))=0,"",INDEX('Documents'!$A$4:$A$503,_calc!$E$97)))</f>
        <v/>
      </c>
      <c r="B95" s="43">
        <f>IF(_calc!$E$97="","",IF(ISNUMBER(INDEX('Documents'!$F$4:$F$503,_calc!$E$97)),TEXT(INDEX('Documents'!$F$4:$F$503,_calc!$E$97),"yyyy-mm-dd"),""))</f>
        <v/>
      </c>
      <c r="C95" s="43">
        <f>IF(_calc!$E$97="","","Contractor document")</f>
        <v/>
      </c>
      <c r="D95" s="43">
        <f>IF(_calc!$E$97="","",IF(ISNUMBER(INDEX('Documents'!$E$4:$E$503,_calc!$E$97)),TEXT(INDEX('Documents'!$E$4:$E$503,_calc!$E$97),"yyyy-mm-dd"),""))</f>
        <v/>
      </c>
      <c r="E95" s="43">
        <f>IF(_calc!$E$97="","",IF(LEN(INDEX('Documents'!$N$4:$N$503,_calc!$E$97))=0,"",INDEX('Documents'!$N$4:$N$503,_calc!$E$97)))</f>
        <v/>
      </c>
      <c r="F95" s="43">
        <f>IF(_calc!$E$97="","",TRIM(IF(LEN(IF(LEN(INDEX('Documents'!$B$4:$B$503,_calc!$E$97))=0,"",INDEX('Documents'!$B$4:$B$503,_calc!$E$97)))=0,"","Trade: "&amp;IF(LEN(INDEX('Documents'!$B$4:$B$503,_calc!$E$97))=0,"",INDEX('Documents'!$B$4:$B$503,_calc!$E$97))&amp;". ")&amp;IF(LEN(IF(LEN(INDEX('Documents'!$D$4:$D$503,_calc!$E$97))=0,"",INDEX('Documents'!$D$4:$D$503,_calc!$E$97)))=0,"","Ref: "&amp;IF(LEN(INDEX('Documents'!$D$4:$D$503,_calc!$E$97))=0,"",INDEX('Documents'!$D$4:$D$503,_calc!$E$97))&amp;". ")&amp;IF(LEN(IF(LEN(INDEX('Documents'!$K$4:$K$503,_calc!$E$97))=0,"",INDEX('Documents'!$K$4:$K$503,_calc!$E$97)))=0,"","On file: "&amp;IF(LEN(INDEX('Documents'!$K$4:$K$503,_calc!$E$97))=0,"",INDEX('Documents'!$K$4:$K$503,_calc!$E$97))&amp;". ")&amp;IF(LEN(IF(LEN(INDEX('Documents'!$L$4:$L$503,_calc!$E$97))=0,"",INDEX('Documents'!$L$4:$L$503,_calc!$E$97)))=0,"","Contractor email: "&amp;IF(LEN(INDEX('Documents'!$L$4:$L$503,_calc!$E$97))=0,"",INDEX('Documents'!$L$4:$L$503,_calc!$E$97))&amp;". ")&amp;IF(LEN(IF(LEN(INDEX('Documents'!$P$4:$P$503,_calc!$E$97))=0,"",INDEX('Documents'!$P$4:$P$503,_calc!$E$97)))=0,"",IF(LEN(INDEX('Documents'!$P$4:$P$503,_calc!$E$97))=0,"",INDEX('Documents'!$P$4:$P$503,_calc!$E$97)))))</f>
        <v/>
      </c>
      <c r="G95" s="43">
        <f>IF(_calc!$E$97="","",IF(LEN(INDEX('Documents'!$O$4:$O$503,_calc!$E$97))=0,"",INDEX('Documents'!$O$4:$O$503,_calc!$E$97)))</f>
        <v/>
      </c>
      <c r="K95" s="43">
        <f>IF(_calc!$E$97="","",IF(LEN(INDEX('Documents'!$M$4:$M$503,_calc!$E$97))=0,"",INDEX('Documents'!$M$4:$M$503,_calc!$E$97)))</f>
        <v/>
      </c>
    </row>
    <row r="96">
      <c r="A96" s="43">
        <f>IF(_calc!$E$98="","",IF(LEN(INDEX('Documents'!$C$4:$C$503,_calc!$E$98))=0,"",INDEX('Documents'!$C$4:$C$503,_calc!$E$98))&amp;" – "&amp;IF(LEN(INDEX('Documents'!$A$4:$A$503,_calc!$E$98))=0,"",INDEX('Documents'!$A$4:$A$503,_calc!$E$98)))</f>
        <v/>
      </c>
      <c r="B96" s="43">
        <f>IF(_calc!$E$98="","",IF(ISNUMBER(INDEX('Documents'!$F$4:$F$503,_calc!$E$98)),TEXT(INDEX('Documents'!$F$4:$F$503,_calc!$E$98),"yyyy-mm-dd"),""))</f>
        <v/>
      </c>
      <c r="C96" s="43">
        <f>IF(_calc!$E$98="","","Contractor document")</f>
        <v/>
      </c>
      <c r="D96" s="43">
        <f>IF(_calc!$E$98="","",IF(ISNUMBER(INDEX('Documents'!$E$4:$E$503,_calc!$E$98)),TEXT(INDEX('Documents'!$E$4:$E$503,_calc!$E$98),"yyyy-mm-dd"),""))</f>
        <v/>
      </c>
      <c r="E96" s="43">
        <f>IF(_calc!$E$98="","",IF(LEN(INDEX('Documents'!$N$4:$N$503,_calc!$E$98))=0,"",INDEX('Documents'!$N$4:$N$503,_calc!$E$98)))</f>
        <v/>
      </c>
      <c r="F96" s="43">
        <f>IF(_calc!$E$98="","",TRIM(IF(LEN(IF(LEN(INDEX('Documents'!$B$4:$B$503,_calc!$E$98))=0,"",INDEX('Documents'!$B$4:$B$503,_calc!$E$98)))=0,"","Trade: "&amp;IF(LEN(INDEX('Documents'!$B$4:$B$503,_calc!$E$98))=0,"",INDEX('Documents'!$B$4:$B$503,_calc!$E$98))&amp;". ")&amp;IF(LEN(IF(LEN(INDEX('Documents'!$D$4:$D$503,_calc!$E$98))=0,"",INDEX('Documents'!$D$4:$D$503,_calc!$E$98)))=0,"","Ref: "&amp;IF(LEN(INDEX('Documents'!$D$4:$D$503,_calc!$E$98))=0,"",INDEX('Documents'!$D$4:$D$503,_calc!$E$98))&amp;". ")&amp;IF(LEN(IF(LEN(INDEX('Documents'!$K$4:$K$503,_calc!$E$98))=0,"",INDEX('Documents'!$K$4:$K$503,_calc!$E$98)))=0,"","On file: "&amp;IF(LEN(INDEX('Documents'!$K$4:$K$503,_calc!$E$98))=0,"",INDEX('Documents'!$K$4:$K$503,_calc!$E$98))&amp;". ")&amp;IF(LEN(IF(LEN(INDEX('Documents'!$L$4:$L$503,_calc!$E$98))=0,"",INDEX('Documents'!$L$4:$L$503,_calc!$E$98)))=0,"","Contractor email: "&amp;IF(LEN(INDEX('Documents'!$L$4:$L$503,_calc!$E$98))=0,"",INDEX('Documents'!$L$4:$L$503,_calc!$E$98))&amp;". ")&amp;IF(LEN(IF(LEN(INDEX('Documents'!$P$4:$P$503,_calc!$E$98))=0,"",INDEX('Documents'!$P$4:$P$503,_calc!$E$98)))=0,"",IF(LEN(INDEX('Documents'!$P$4:$P$503,_calc!$E$98))=0,"",INDEX('Documents'!$P$4:$P$503,_calc!$E$98)))))</f>
        <v/>
      </c>
      <c r="G96" s="43">
        <f>IF(_calc!$E$98="","",IF(LEN(INDEX('Documents'!$O$4:$O$503,_calc!$E$98))=0,"",INDEX('Documents'!$O$4:$O$503,_calc!$E$98)))</f>
        <v/>
      </c>
      <c r="K96" s="43">
        <f>IF(_calc!$E$98="","",IF(LEN(INDEX('Documents'!$M$4:$M$503,_calc!$E$98))=0,"",INDEX('Documents'!$M$4:$M$503,_calc!$E$98)))</f>
        <v/>
      </c>
    </row>
    <row r="97">
      <c r="A97" s="43">
        <f>IF(_calc!$E$99="","",IF(LEN(INDEX('Documents'!$C$4:$C$503,_calc!$E$99))=0,"",INDEX('Documents'!$C$4:$C$503,_calc!$E$99))&amp;" – "&amp;IF(LEN(INDEX('Documents'!$A$4:$A$503,_calc!$E$99))=0,"",INDEX('Documents'!$A$4:$A$503,_calc!$E$99)))</f>
        <v/>
      </c>
      <c r="B97" s="43">
        <f>IF(_calc!$E$99="","",IF(ISNUMBER(INDEX('Documents'!$F$4:$F$503,_calc!$E$99)),TEXT(INDEX('Documents'!$F$4:$F$503,_calc!$E$99),"yyyy-mm-dd"),""))</f>
        <v/>
      </c>
      <c r="C97" s="43">
        <f>IF(_calc!$E$99="","","Contractor document")</f>
        <v/>
      </c>
      <c r="D97" s="43">
        <f>IF(_calc!$E$99="","",IF(ISNUMBER(INDEX('Documents'!$E$4:$E$503,_calc!$E$99)),TEXT(INDEX('Documents'!$E$4:$E$503,_calc!$E$99),"yyyy-mm-dd"),""))</f>
        <v/>
      </c>
      <c r="E97" s="43">
        <f>IF(_calc!$E$99="","",IF(LEN(INDEX('Documents'!$N$4:$N$503,_calc!$E$99))=0,"",INDEX('Documents'!$N$4:$N$503,_calc!$E$99)))</f>
        <v/>
      </c>
      <c r="F97" s="43">
        <f>IF(_calc!$E$99="","",TRIM(IF(LEN(IF(LEN(INDEX('Documents'!$B$4:$B$503,_calc!$E$99))=0,"",INDEX('Documents'!$B$4:$B$503,_calc!$E$99)))=0,"","Trade: "&amp;IF(LEN(INDEX('Documents'!$B$4:$B$503,_calc!$E$99))=0,"",INDEX('Documents'!$B$4:$B$503,_calc!$E$99))&amp;". ")&amp;IF(LEN(IF(LEN(INDEX('Documents'!$D$4:$D$503,_calc!$E$99))=0,"",INDEX('Documents'!$D$4:$D$503,_calc!$E$99)))=0,"","Ref: "&amp;IF(LEN(INDEX('Documents'!$D$4:$D$503,_calc!$E$99))=0,"",INDEX('Documents'!$D$4:$D$503,_calc!$E$99))&amp;". ")&amp;IF(LEN(IF(LEN(INDEX('Documents'!$K$4:$K$503,_calc!$E$99))=0,"",INDEX('Documents'!$K$4:$K$503,_calc!$E$99)))=0,"","On file: "&amp;IF(LEN(INDEX('Documents'!$K$4:$K$503,_calc!$E$99))=0,"",INDEX('Documents'!$K$4:$K$503,_calc!$E$99))&amp;". ")&amp;IF(LEN(IF(LEN(INDEX('Documents'!$L$4:$L$503,_calc!$E$99))=0,"",INDEX('Documents'!$L$4:$L$503,_calc!$E$99)))=0,"","Contractor email: "&amp;IF(LEN(INDEX('Documents'!$L$4:$L$503,_calc!$E$99))=0,"",INDEX('Documents'!$L$4:$L$503,_calc!$E$99))&amp;". ")&amp;IF(LEN(IF(LEN(INDEX('Documents'!$P$4:$P$503,_calc!$E$99))=0,"",INDEX('Documents'!$P$4:$P$503,_calc!$E$99)))=0,"",IF(LEN(INDEX('Documents'!$P$4:$P$503,_calc!$E$99))=0,"",INDEX('Documents'!$P$4:$P$503,_calc!$E$99)))))</f>
        <v/>
      </c>
      <c r="G97" s="43">
        <f>IF(_calc!$E$99="","",IF(LEN(INDEX('Documents'!$O$4:$O$503,_calc!$E$99))=0,"",INDEX('Documents'!$O$4:$O$503,_calc!$E$99)))</f>
        <v/>
      </c>
      <c r="K97" s="43">
        <f>IF(_calc!$E$99="","",IF(LEN(INDEX('Documents'!$M$4:$M$503,_calc!$E$99))=0,"",INDEX('Documents'!$M$4:$M$503,_calc!$E$99)))</f>
        <v/>
      </c>
    </row>
    <row r="98">
      <c r="A98" s="43">
        <f>IF(_calc!$E$100="","",IF(LEN(INDEX('Documents'!$C$4:$C$503,_calc!$E$100))=0,"",INDEX('Documents'!$C$4:$C$503,_calc!$E$100))&amp;" – "&amp;IF(LEN(INDEX('Documents'!$A$4:$A$503,_calc!$E$100))=0,"",INDEX('Documents'!$A$4:$A$503,_calc!$E$100)))</f>
        <v/>
      </c>
      <c r="B98" s="43">
        <f>IF(_calc!$E$100="","",IF(ISNUMBER(INDEX('Documents'!$F$4:$F$503,_calc!$E$100)),TEXT(INDEX('Documents'!$F$4:$F$503,_calc!$E$100),"yyyy-mm-dd"),""))</f>
        <v/>
      </c>
      <c r="C98" s="43">
        <f>IF(_calc!$E$100="","","Contractor document")</f>
        <v/>
      </c>
      <c r="D98" s="43">
        <f>IF(_calc!$E$100="","",IF(ISNUMBER(INDEX('Documents'!$E$4:$E$503,_calc!$E$100)),TEXT(INDEX('Documents'!$E$4:$E$503,_calc!$E$100),"yyyy-mm-dd"),""))</f>
        <v/>
      </c>
      <c r="E98" s="43">
        <f>IF(_calc!$E$100="","",IF(LEN(INDEX('Documents'!$N$4:$N$503,_calc!$E$100))=0,"",INDEX('Documents'!$N$4:$N$503,_calc!$E$100)))</f>
        <v/>
      </c>
      <c r="F98" s="43">
        <f>IF(_calc!$E$100="","",TRIM(IF(LEN(IF(LEN(INDEX('Documents'!$B$4:$B$503,_calc!$E$100))=0,"",INDEX('Documents'!$B$4:$B$503,_calc!$E$100)))=0,"","Trade: "&amp;IF(LEN(INDEX('Documents'!$B$4:$B$503,_calc!$E$100))=0,"",INDEX('Documents'!$B$4:$B$503,_calc!$E$100))&amp;". ")&amp;IF(LEN(IF(LEN(INDEX('Documents'!$D$4:$D$503,_calc!$E$100))=0,"",INDEX('Documents'!$D$4:$D$503,_calc!$E$100)))=0,"","Ref: "&amp;IF(LEN(INDEX('Documents'!$D$4:$D$503,_calc!$E$100))=0,"",INDEX('Documents'!$D$4:$D$503,_calc!$E$100))&amp;". ")&amp;IF(LEN(IF(LEN(INDEX('Documents'!$K$4:$K$503,_calc!$E$100))=0,"",INDEX('Documents'!$K$4:$K$503,_calc!$E$100)))=0,"","On file: "&amp;IF(LEN(INDEX('Documents'!$K$4:$K$503,_calc!$E$100))=0,"",INDEX('Documents'!$K$4:$K$503,_calc!$E$100))&amp;". ")&amp;IF(LEN(IF(LEN(INDEX('Documents'!$L$4:$L$503,_calc!$E$100))=0,"",INDEX('Documents'!$L$4:$L$503,_calc!$E$100)))=0,"","Contractor email: "&amp;IF(LEN(INDEX('Documents'!$L$4:$L$503,_calc!$E$100))=0,"",INDEX('Documents'!$L$4:$L$503,_calc!$E$100))&amp;". ")&amp;IF(LEN(IF(LEN(INDEX('Documents'!$P$4:$P$503,_calc!$E$100))=0,"",INDEX('Documents'!$P$4:$P$503,_calc!$E$100)))=0,"",IF(LEN(INDEX('Documents'!$P$4:$P$503,_calc!$E$100))=0,"",INDEX('Documents'!$P$4:$P$503,_calc!$E$100)))))</f>
        <v/>
      </c>
      <c r="G98" s="43">
        <f>IF(_calc!$E$100="","",IF(LEN(INDEX('Documents'!$O$4:$O$503,_calc!$E$100))=0,"",INDEX('Documents'!$O$4:$O$503,_calc!$E$100)))</f>
        <v/>
      </c>
      <c r="K98" s="43">
        <f>IF(_calc!$E$100="","",IF(LEN(INDEX('Documents'!$M$4:$M$503,_calc!$E$100))=0,"",INDEX('Documents'!$M$4:$M$503,_calc!$E$100)))</f>
        <v/>
      </c>
    </row>
    <row r="99">
      <c r="A99" s="43">
        <f>IF(_calc!$E$101="","",IF(LEN(INDEX('Documents'!$C$4:$C$503,_calc!$E$101))=0,"",INDEX('Documents'!$C$4:$C$503,_calc!$E$101))&amp;" – "&amp;IF(LEN(INDEX('Documents'!$A$4:$A$503,_calc!$E$101))=0,"",INDEX('Documents'!$A$4:$A$503,_calc!$E$101)))</f>
        <v/>
      </c>
      <c r="B99" s="43">
        <f>IF(_calc!$E$101="","",IF(ISNUMBER(INDEX('Documents'!$F$4:$F$503,_calc!$E$101)),TEXT(INDEX('Documents'!$F$4:$F$503,_calc!$E$101),"yyyy-mm-dd"),""))</f>
        <v/>
      </c>
      <c r="C99" s="43">
        <f>IF(_calc!$E$101="","","Contractor document")</f>
        <v/>
      </c>
      <c r="D99" s="43">
        <f>IF(_calc!$E$101="","",IF(ISNUMBER(INDEX('Documents'!$E$4:$E$503,_calc!$E$101)),TEXT(INDEX('Documents'!$E$4:$E$503,_calc!$E$101),"yyyy-mm-dd"),""))</f>
        <v/>
      </c>
      <c r="E99" s="43">
        <f>IF(_calc!$E$101="","",IF(LEN(INDEX('Documents'!$N$4:$N$503,_calc!$E$101))=0,"",INDEX('Documents'!$N$4:$N$503,_calc!$E$101)))</f>
        <v/>
      </c>
      <c r="F99" s="43">
        <f>IF(_calc!$E$101="","",TRIM(IF(LEN(IF(LEN(INDEX('Documents'!$B$4:$B$503,_calc!$E$101))=0,"",INDEX('Documents'!$B$4:$B$503,_calc!$E$101)))=0,"","Trade: "&amp;IF(LEN(INDEX('Documents'!$B$4:$B$503,_calc!$E$101))=0,"",INDEX('Documents'!$B$4:$B$503,_calc!$E$101))&amp;". ")&amp;IF(LEN(IF(LEN(INDEX('Documents'!$D$4:$D$503,_calc!$E$101))=0,"",INDEX('Documents'!$D$4:$D$503,_calc!$E$101)))=0,"","Ref: "&amp;IF(LEN(INDEX('Documents'!$D$4:$D$503,_calc!$E$101))=0,"",INDEX('Documents'!$D$4:$D$503,_calc!$E$101))&amp;". ")&amp;IF(LEN(IF(LEN(INDEX('Documents'!$K$4:$K$503,_calc!$E$101))=0,"",INDEX('Documents'!$K$4:$K$503,_calc!$E$101)))=0,"","On file: "&amp;IF(LEN(INDEX('Documents'!$K$4:$K$503,_calc!$E$101))=0,"",INDEX('Documents'!$K$4:$K$503,_calc!$E$101))&amp;". ")&amp;IF(LEN(IF(LEN(INDEX('Documents'!$L$4:$L$503,_calc!$E$101))=0,"",INDEX('Documents'!$L$4:$L$503,_calc!$E$101)))=0,"","Contractor email: "&amp;IF(LEN(INDEX('Documents'!$L$4:$L$503,_calc!$E$101))=0,"",INDEX('Documents'!$L$4:$L$503,_calc!$E$101))&amp;". ")&amp;IF(LEN(IF(LEN(INDEX('Documents'!$P$4:$P$503,_calc!$E$101))=0,"",INDEX('Documents'!$P$4:$P$503,_calc!$E$101)))=0,"",IF(LEN(INDEX('Documents'!$P$4:$P$503,_calc!$E$101))=0,"",INDEX('Documents'!$P$4:$P$503,_calc!$E$101)))))</f>
        <v/>
      </c>
      <c r="G99" s="43">
        <f>IF(_calc!$E$101="","",IF(LEN(INDEX('Documents'!$O$4:$O$503,_calc!$E$101))=0,"",INDEX('Documents'!$O$4:$O$503,_calc!$E$101)))</f>
        <v/>
      </c>
      <c r="K99" s="43">
        <f>IF(_calc!$E$101="","",IF(LEN(INDEX('Documents'!$M$4:$M$503,_calc!$E$101))=0,"",INDEX('Documents'!$M$4:$M$503,_calc!$E$101)))</f>
        <v/>
      </c>
    </row>
    <row r="100">
      <c r="A100" s="43">
        <f>IF(_calc!$E$102="","",IF(LEN(INDEX('Documents'!$C$4:$C$503,_calc!$E$102))=0,"",INDEX('Documents'!$C$4:$C$503,_calc!$E$102))&amp;" – "&amp;IF(LEN(INDEX('Documents'!$A$4:$A$503,_calc!$E$102))=0,"",INDEX('Documents'!$A$4:$A$503,_calc!$E$102)))</f>
        <v/>
      </c>
      <c r="B100" s="43">
        <f>IF(_calc!$E$102="","",IF(ISNUMBER(INDEX('Documents'!$F$4:$F$503,_calc!$E$102)),TEXT(INDEX('Documents'!$F$4:$F$503,_calc!$E$102),"yyyy-mm-dd"),""))</f>
        <v/>
      </c>
      <c r="C100" s="43">
        <f>IF(_calc!$E$102="","","Contractor document")</f>
        <v/>
      </c>
      <c r="D100" s="43">
        <f>IF(_calc!$E$102="","",IF(ISNUMBER(INDEX('Documents'!$E$4:$E$503,_calc!$E$102)),TEXT(INDEX('Documents'!$E$4:$E$503,_calc!$E$102),"yyyy-mm-dd"),""))</f>
        <v/>
      </c>
      <c r="E100" s="43">
        <f>IF(_calc!$E$102="","",IF(LEN(INDEX('Documents'!$N$4:$N$503,_calc!$E$102))=0,"",INDEX('Documents'!$N$4:$N$503,_calc!$E$102)))</f>
        <v/>
      </c>
      <c r="F100" s="43">
        <f>IF(_calc!$E$102="","",TRIM(IF(LEN(IF(LEN(INDEX('Documents'!$B$4:$B$503,_calc!$E$102))=0,"",INDEX('Documents'!$B$4:$B$503,_calc!$E$102)))=0,"","Trade: "&amp;IF(LEN(INDEX('Documents'!$B$4:$B$503,_calc!$E$102))=0,"",INDEX('Documents'!$B$4:$B$503,_calc!$E$102))&amp;". ")&amp;IF(LEN(IF(LEN(INDEX('Documents'!$D$4:$D$503,_calc!$E$102))=0,"",INDEX('Documents'!$D$4:$D$503,_calc!$E$102)))=0,"","Ref: "&amp;IF(LEN(INDEX('Documents'!$D$4:$D$503,_calc!$E$102))=0,"",INDEX('Documents'!$D$4:$D$503,_calc!$E$102))&amp;". ")&amp;IF(LEN(IF(LEN(INDEX('Documents'!$K$4:$K$503,_calc!$E$102))=0,"",INDEX('Documents'!$K$4:$K$503,_calc!$E$102)))=0,"","On file: "&amp;IF(LEN(INDEX('Documents'!$K$4:$K$503,_calc!$E$102))=0,"",INDEX('Documents'!$K$4:$K$503,_calc!$E$102))&amp;". ")&amp;IF(LEN(IF(LEN(INDEX('Documents'!$L$4:$L$503,_calc!$E$102))=0,"",INDEX('Documents'!$L$4:$L$503,_calc!$E$102)))=0,"","Contractor email: "&amp;IF(LEN(INDEX('Documents'!$L$4:$L$503,_calc!$E$102))=0,"",INDEX('Documents'!$L$4:$L$503,_calc!$E$102))&amp;". ")&amp;IF(LEN(IF(LEN(INDEX('Documents'!$P$4:$P$503,_calc!$E$102))=0,"",INDEX('Documents'!$P$4:$P$503,_calc!$E$102)))=0,"",IF(LEN(INDEX('Documents'!$P$4:$P$503,_calc!$E$102))=0,"",INDEX('Documents'!$P$4:$P$503,_calc!$E$102)))))</f>
        <v/>
      </c>
      <c r="G100" s="43">
        <f>IF(_calc!$E$102="","",IF(LEN(INDEX('Documents'!$O$4:$O$503,_calc!$E$102))=0,"",INDEX('Documents'!$O$4:$O$503,_calc!$E$102)))</f>
        <v/>
      </c>
      <c r="K100" s="43">
        <f>IF(_calc!$E$102="","",IF(LEN(INDEX('Documents'!$M$4:$M$503,_calc!$E$102))=0,"",INDEX('Documents'!$M$4:$M$503,_calc!$E$102)))</f>
        <v/>
      </c>
    </row>
    <row r="101">
      <c r="A101" s="43">
        <f>IF(_calc!$E$103="","",IF(LEN(INDEX('Documents'!$C$4:$C$503,_calc!$E$103))=0,"",INDEX('Documents'!$C$4:$C$503,_calc!$E$103))&amp;" – "&amp;IF(LEN(INDEX('Documents'!$A$4:$A$503,_calc!$E$103))=0,"",INDEX('Documents'!$A$4:$A$503,_calc!$E$103)))</f>
        <v/>
      </c>
      <c r="B101" s="43">
        <f>IF(_calc!$E$103="","",IF(ISNUMBER(INDEX('Documents'!$F$4:$F$503,_calc!$E$103)),TEXT(INDEX('Documents'!$F$4:$F$503,_calc!$E$103),"yyyy-mm-dd"),""))</f>
        <v/>
      </c>
      <c r="C101" s="43">
        <f>IF(_calc!$E$103="","","Contractor document")</f>
        <v/>
      </c>
      <c r="D101" s="43">
        <f>IF(_calc!$E$103="","",IF(ISNUMBER(INDEX('Documents'!$E$4:$E$503,_calc!$E$103)),TEXT(INDEX('Documents'!$E$4:$E$503,_calc!$E$103),"yyyy-mm-dd"),""))</f>
        <v/>
      </c>
      <c r="E101" s="43">
        <f>IF(_calc!$E$103="","",IF(LEN(INDEX('Documents'!$N$4:$N$503,_calc!$E$103))=0,"",INDEX('Documents'!$N$4:$N$503,_calc!$E$103)))</f>
        <v/>
      </c>
      <c r="F101" s="43">
        <f>IF(_calc!$E$103="","",TRIM(IF(LEN(IF(LEN(INDEX('Documents'!$B$4:$B$503,_calc!$E$103))=0,"",INDEX('Documents'!$B$4:$B$503,_calc!$E$103)))=0,"","Trade: "&amp;IF(LEN(INDEX('Documents'!$B$4:$B$503,_calc!$E$103))=0,"",INDEX('Documents'!$B$4:$B$503,_calc!$E$103))&amp;". ")&amp;IF(LEN(IF(LEN(INDEX('Documents'!$D$4:$D$503,_calc!$E$103))=0,"",INDEX('Documents'!$D$4:$D$503,_calc!$E$103)))=0,"","Ref: "&amp;IF(LEN(INDEX('Documents'!$D$4:$D$503,_calc!$E$103))=0,"",INDEX('Documents'!$D$4:$D$503,_calc!$E$103))&amp;". ")&amp;IF(LEN(IF(LEN(INDEX('Documents'!$K$4:$K$503,_calc!$E$103))=0,"",INDEX('Documents'!$K$4:$K$503,_calc!$E$103)))=0,"","On file: "&amp;IF(LEN(INDEX('Documents'!$K$4:$K$503,_calc!$E$103))=0,"",INDEX('Documents'!$K$4:$K$503,_calc!$E$103))&amp;". ")&amp;IF(LEN(IF(LEN(INDEX('Documents'!$L$4:$L$503,_calc!$E$103))=0,"",INDEX('Documents'!$L$4:$L$503,_calc!$E$103)))=0,"","Contractor email: "&amp;IF(LEN(INDEX('Documents'!$L$4:$L$503,_calc!$E$103))=0,"",INDEX('Documents'!$L$4:$L$503,_calc!$E$103))&amp;". ")&amp;IF(LEN(IF(LEN(INDEX('Documents'!$P$4:$P$503,_calc!$E$103))=0,"",INDEX('Documents'!$P$4:$P$503,_calc!$E$103)))=0,"",IF(LEN(INDEX('Documents'!$P$4:$P$503,_calc!$E$103))=0,"",INDEX('Documents'!$P$4:$P$503,_calc!$E$103)))))</f>
        <v/>
      </c>
      <c r="G101" s="43">
        <f>IF(_calc!$E$103="","",IF(LEN(INDEX('Documents'!$O$4:$O$503,_calc!$E$103))=0,"",INDEX('Documents'!$O$4:$O$503,_calc!$E$103)))</f>
        <v/>
      </c>
      <c r="K101" s="43">
        <f>IF(_calc!$E$103="","",IF(LEN(INDEX('Documents'!$M$4:$M$503,_calc!$E$103))=0,"",INDEX('Documents'!$M$4:$M$503,_calc!$E$103)))</f>
        <v/>
      </c>
    </row>
    <row r="102">
      <c r="A102" s="43">
        <f>IF(_calc!$E$104="","",IF(LEN(INDEX('Documents'!$C$4:$C$503,_calc!$E$104))=0,"",INDEX('Documents'!$C$4:$C$503,_calc!$E$104))&amp;" – "&amp;IF(LEN(INDEX('Documents'!$A$4:$A$503,_calc!$E$104))=0,"",INDEX('Documents'!$A$4:$A$503,_calc!$E$104)))</f>
        <v/>
      </c>
      <c r="B102" s="43">
        <f>IF(_calc!$E$104="","",IF(ISNUMBER(INDEX('Documents'!$F$4:$F$503,_calc!$E$104)),TEXT(INDEX('Documents'!$F$4:$F$503,_calc!$E$104),"yyyy-mm-dd"),""))</f>
        <v/>
      </c>
      <c r="C102" s="43">
        <f>IF(_calc!$E$104="","","Contractor document")</f>
        <v/>
      </c>
      <c r="D102" s="43">
        <f>IF(_calc!$E$104="","",IF(ISNUMBER(INDEX('Documents'!$E$4:$E$503,_calc!$E$104)),TEXT(INDEX('Documents'!$E$4:$E$503,_calc!$E$104),"yyyy-mm-dd"),""))</f>
        <v/>
      </c>
      <c r="E102" s="43">
        <f>IF(_calc!$E$104="","",IF(LEN(INDEX('Documents'!$N$4:$N$503,_calc!$E$104))=0,"",INDEX('Documents'!$N$4:$N$503,_calc!$E$104)))</f>
        <v/>
      </c>
      <c r="F102" s="43">
        <f>IF(_calc!$E$104="","",TRIM(IF(LEN(IF(LEN(INDEX('Documents'!$B$4:$B$503,_calc!$E$104))=0,"",INDEX('Documents'!$B$4:$B$503,_calc!$E$104)))=0,"","Trade: "&amp;IF(LEN(INDEX('Documents'!$B$4:$B$503,_calc!$E$104))=0,"",INDEX('Documents'!$B$4:$B$503,_calc!$E$104))&amp;". ")&amp;IF(LEN(IF(LEN(INDEX('Documents'!$D$4:$D$503,_calc!$E$104))=0,"",INDEX('Documents'!$D$4:$D$503,_calc!$E$104)))=0,"","Ref: "&amp;IF(LEN(INDEX('Documents'!$D$4:$D$503,_calc!$E$104))=0,"",INDEX('Documents'!$D$4:$D$503,_calc!$E$104))&amp;". ")&amp;IF(LEN(IF(LEN(INDEX('Documents'!$K$4:$K$503,_calc!$E$104))=0,"",INDEX('Documents'!$K$4:$K$503,_calc!$E$104)))=0,"","On file: "&amp;IF(LEN(INDEX('Documents'!$K$4:$K$503,_calc!$E$104))=0,"",INDEX('Documents'!$K$4:$K$503,_calc!$E$104))&amp;". ")&amp;IF(LEN(IF(LEN(INDEX('Documents'!$L$4:$L$503,_calc!$E$104))=0,"",INDEX('Documents'!$L$4:$L$503,_calc!$E$104)))=0,"","Contractor email: "&amp;IF(LEN(INDEX('Documents'!$L$4:$L$503,_calc!$E$104))=0,"",INDEX('Documents'!$L$4:$L$503,_calc!$E$104))&amp;". ")&amp;IF(LEN(IF(LEN(INDEX('Documents'!$P$4:$P$503,_calc!$E$104))=0,"",INDEX('Documents'!$P$4:$P$503,_calc!$E$104)))=0,"",IF(LEN(INDEX('Documents'!$P$4:$P$503,_calc!$E$104))=0,"",INDEX('Documents'!$P$4:$P$503,_calc!$E$104)))))</f>
        <v/>
      </c>
      <c r="G102" s="43">
        <f>IF(_calc!$E$104="","",IF(LEN(INDEX('Documents'!$O$4:$O$503,_calc!$E$104))=0,"",INDEX('Documents'!$O$4:$O$503,_calc!$E$104)))</f>
        <v/>
      </c>
      <c r="K102" s="43">
        <f>IF(_calc!$E$104="","",IF(LEN(INDEX('Documents'!$M$4:$M$503,_calc!$E$104))=0,"",INDEX('Documents'!$M$4:$M$503,_calc!$E$104)))</f>
        <v/>
      </c>
    </row>
    <row r="103">
      <c r="A103" s="43">
        <f>IF(_calc!$E$105="","",IF(LEN(INDEX('Documents'!$C$4:$C$503,_calc!$E$105))=0,"",INDEX('Documents'!$C$4:$C$503,_calc!$E$105))&amp;" – "&amp;IF(LEN(INDEX('Documents'!$A$4:$A$503,_calc!$E$105))=0,"",INDEX('Documents'!$A$4:$A$503,_calc!$E$105)))</f>
        <v/>
      </c>
      <c r="B103" s="43">
        <f>IF(_calc!$E$105="","",IF(ISNUMBER(INDEX('Documents'!$F$4:$F$503,_calc!$E$105)),TEXT(INDEX('Documents'!$F$4:$F$503,_calc!$E$105),"yyyy-mm-dd"),""))</f>
        <v/>
      </c>
      <c r="C103" s="43">
        <f>IF(_calc!$E$105="","","Contractor document")</f>
        <v/>
      </c>
      <c r="D103" s="43">
        <f>IF(_calc!$E$105="","",IF(ISNUMBER(INDEX('Documents'!$E$4:$E$503,_calc!$E$105)),TEXT(INDEX('Documents'!$E$4:$E$503,_calc!$E$105),"yyyy-mm-dd"),""))</f>
        <v/>
      </c>
      <c r="E103" s="43">
        <f>IF(_calc!$E$105="","",IF(LEN(INDEX('Documents'!$N$4:$N$503,_calc!$E$105))=0,"",INDEX('Documents'!$N$4:$N$503,_calc!$E$105)))</f>
        <v/>
      </c>
      <c r="F103" s="43">
        <f>IF(_calc!$E$105="","",TRIM(IF(LEN(IF(LEN(INDEX('Documents'!$B$4:$B$503,_calc!$E$105))=0,"",INDEX('Documents'!$B$4:$B$503,_calc!$E$105)))=0,"","Trade: "&amp;IF(LEN(INDEX('Documents'!$B$4:$B$503,_calc!$E$105))=0,"",INDEX('Documents'!$B$4:$B$503,_calc!$E$105))&amp;". ")&amp;IF(LEN(IF(LEN(INDEX('Documents'!$D$4:$D$503,_calc!$E$105))=0,"",INDEX('Documents'!$D$4:$D$503,_calc!$E$105)))=0,"","Ref: "&amp;IF(LEN(INDEX('Documents'!$D$4:$D$503,_calc!$E$105))=0,"",INDEX('Documents'!$D$4:$D$503,_calc!$E$105))&amp;". ")&amp;IF(LEN(IF(LEN(INDEX('Documents'!$K$4:$K$503,_calc!$E$105))=0,"",INDEX('Documents'!$K$4:$K$503,_calc!$E$105)))=0,"","On file: "&amp;IF(LEN(INDEX('Documents'!$K$4:$K$503,_calc!$E$105))=0,"",INDEX('Documents'!$K$4:$K$503,_calc!$E$105))&amp;". ")&amp;IF(LEN(IF(LEN(INDEX('Documents'!$L$4:$L$503,_calc!$E$105))=0,"",INDEX('Documents'!$L$4:$L$503,_calc!$E$105)))=0,"","Contractor email: "&amp;IF(LEN(INDEX('Documents'!$L$4:$L$503,_calc!$E$105))=0,"",INDEX('Documents'!$L$4:$L$503,_calc!$E$105))&amp;". ")&amp;IF(LEN(IF(LEN(INDEX('Documents'!$P$4:$P$503,_calc!$E$105))=0,"",INDEX('Documents'!$P$4:$P$503,_calc!$E$105)))=0,"",IF(LEN(INDEX('Documents'!$P$4:$P$503,_calc!$E$105))=0,"",INDEX('Documents'!$P$4:$P$503,_calc!$E$105)))))</f>
        <v/>
      </c>
      <c r="G103" s="43">
        <f>IF(_calc!$E$105="","",IF(LEN(INDEX('Documents'!$O$4:$O$503,_calc!$E$105))=0,"",INDEX('Documents'!$O$4:$O$503,_calc!$E$105)))</f>
        <v/>
      </c>
      <c r="K103" s="43">
        <f>IF(_calc!$E$105="","",IF(LEN(INDEX('Documents'!$M$4:$M$503,_calc!$E$105))=0,"",INDEX('Documents'!$M$4:$M$503,_calc!$E$105)))</f>
        <v/>
      </c>
    </row>
    <row r="104">
      <c r="A104" s="43">
        <f>IF(_calc!$E$106="","",IF(LEN(INDEX('Documents'!$C$4:$C$503,_calc!$E$106))=0,"",INDEX('Documents'!$C$4:$C$503,_calc!$E$106))&amp;" – "&amp;IF(LEN(INDEX('Documents'!$A$4:$A$503,_calc!$E$106))=0,"",INDEX('Documents'!$A$4:$A$503,_calc!$E$106)))</f>
        <v/>
      </c>
      <c r="B104" s="43">
        <f>IF(_calc!$E$106="","",IF(ISNUMBER(INDEX('Documents'!$F$4:$F$503,_calc!$E$106)),TEXT(INDEX('Documents'!$F$4:$F$503,_calc!$E$106),"yyyy-mm-dd"),""))</f>
        <v/>
      </c>
      <c r="C104" s="43">
        <f>IF(_calc!$E$106="","","Contractor document")</f>
        <v/>
      </c>
      <c r="D104" s="43">
        <f>IF(_calc!$E$106="","",IF(ISNUMBER(INDEX('Documents'!$E$4:$E$503,_calc!$E$106)),TEXT(INDEX('Documents'!$E$4:$E$503,_calc!$E$106),"yyyy-mm-dd"),""))</f>
        <v/>
      </c>
      <c r="E104" s="43">
        <f>IF(_calc!$E$106="","",IF(LEN(INDEX('Documents'!$N$4:$N$503,_calc!$E$106))=0,"",INDEX('Documents'!$N$4:$N$503,_calc!$E$106)))</f>
        <v/>
      </c>
      <c r="F104" s="43">
        <f>IF(_calc!$E$106="","",TRIM(IF(LEN(IF(LEN(INDEX('Documents'!$B$4:$B$503,_calc!$E$106))=0,"",INDEX('Documents'!$B$4:$B$503,_calc!$E$106)))=0,"","Trade: "&amp;IF(LEN(INDEX('Documents'!$B$4:$B$503,_calc!$E$106))=0,"",INDEX('Documents'!$B$4:$B$503,_calc!$E$106))&amp;". ")&amp;IF(LEN(IF(LEN(INDEX('Documents'!$D$4:$D$503,_calc!$E$106))=0,"",INDEX('Documents'!$D$4:$D$503,_calc!$E$106)))=0,"","Ref: "&amp;IF(LEN(INDEX('Documents'!$D$4:$D$503,_calc!$E$106))=0,"",INDEX('Documents'!$D$4:$D$503,_calc!$E$106))&amp;". ")&amp;IF(LEN(IF(LEN(INDEX('Documents'!$K$4:$K$503,_calc!$E$106))=0,"",INDEX('Documents'!$K$4:$K$503,_calc!$E$106)))=0,"","On file: "&amp;IF(LEN(INDEX('Documents'!$K$4:$K$503,_calc!$E$106))=0,"",INDEX('Documents'!$K$4:$K$503,_calc!$E$106))&amp;". ")&amp;IF(LEN(IF(LEN(INDEX('Documents'!$L$4:$L$503,_calc!$E$106))=0,"",INDEX('Documents'!$L$4:$L$503,_calc!$E$106)))=0,"","Contractor email: "&amp;IF(LEN(INDEX('Documents'!$L$4:$L$503,_calc!$E$106))=0,"",INDEX('Documents'!$L$4:$L$503,_calc!$E$106))&amp;". ")&amp;IF(LEN(IF(LEN(INDEX('Documents'!$P$4:$P$503,_calc!$E$106))=0,"",INDEX('Documents'!$P$4:$P$503,_calc!$E$106)))=0,"",IF(LEN(INDEX('Documents'!$P$4:$P$503,_calc!$E$106))=0,"",INDEX('Documents'!$P$4:$P$503,_calc!$E$106)))))</f>
        <v/>
      </c>
      <c r="G104" s="43">
        <f>IF(_calc!$E$106="","",IF(LEN(INDEX('Documents'!$O$4:$O$503,_calc!$E$106))=0,"",INDEX('Documents'!$O$4:$O$503,_calc!$E$106)))</f>
        <v/>
      </c>
      <c r="K104" s="43">
        <f>IF(_calc!$E$106="","",IF(LEN(INDEX('Documents'!$M$4:$M$503,_calc!$E$106))=0,"",INDEX('Documents'!$M$4:$M$503,_calc!$E$106)))</f>
        <v/>
      </c>
    </row>
    <row r="105">
      <c r="A105" s="43">
        <f>IF(_calc!$E$107="","",IF(LEN(INDEX('Documents'!$C$4:$C$503,_calc!$E$107))=0,"",INDEX('Documents'!$C$4:$C$503,_calc!$E$107))&amp;" – "&amp;IF(LEN(INDEX('Documents'!$A$4:$A$503,_calc!$E$107))=0,"",INDEX('Documents'!$A$4:$A$503,_calc!$E$107)))</f>
        <v/>
      </c>
      <c r="B105" s="43">
        <f>IF(_calc!$E$107="","",IF(ISNUMBER(INDEX('Documents'!$F$4:$F$503,_calc!$E$107)),TEXT(INDEX('Documents'!$F$4:$F$503,_calc!$E$107),"yyyy-mm-dd"),""))</f>
        <v/>
      </c>
      <c r="C105" s="43">
        <f>IF(_calc!$E$107="","","Contractor document")</f>
        <v/>
      </c>
      <c r="D105" s="43">
        <f>IF(_calc!$E$107="","",IF(ISNUMBER(INDEX('Documents'!$E$4:$E$503,_calc!$E$107)),TEXT(INDEX('Documents'!$E$4:$E$503,_calc!$E$107),"yyyy-mm-dd"),""))</f>
        <v/>
      </c>
      <c r="E105" s="43">
        <f>IF(_calc!$E$107="","",IF(LEN(INDEX('Documents'!$N$4:$N$503,_calc!$E$107))=0,"",INDEX('Documents'!$N$4:$N$503,_calc!$E$107)))</f>
        <v/>
      </c>
      <c r="F105" s="43">
        <f>IF(_calc!$E$107="","",TRIM(IF(LEN(IF(LEN(INDEX('Documents'!$B$4:$B$503,_calc!$E$107))=0,"",INDEX('Documents'!$B$4:$B$503,_calc!$E$107)))=0,"","Trade: "&amp;IF(LEN(INDEX('Documents'!$B$4:$B$503,_calc!$E$107))=0,"",INDEX('Documents'!$B$4:$B$503,_calc!$E$107))&amp;". ")&amp;IF(LEN(IF(LEN(INDEX('Documents'!$D$4:$D$503,_calc!$E$107))=0,"",INDEX('Documents'!$D$4:$D$503,_calc!$E$107)))=0,"","Ref: "&amp;IF(LEN(INDEX('Documents'!$D$4:$D$503,_calc!$E$107))=0,"",INDEX('Documents'!$D$4:$D$503,_calc!$E$107))&amp;". ")&amp;IF(LEN(IF(LEN(INDEX('Documents'!$K$4:$K$503,_calc!$E$107))=0,"",INDEX('Documents'!$K$4:$K$503,_calc!$E$107)))=0,"","On file: "&amp;IF(LEN(INDEX('Documents'!$K$4:$K$503,_calc!$E$107))=0,"",INDEX('Documents'!$K$4:$K$503,_calc!$E$107))&amp;". ")&amp;IF(LEN(IF(LEN(INDEX('Documents'!$L$4:$L$503,_calc!$E$107))=0,"",INDEX('Documents'!$L$4:$L$503,_calc!$E$107)))=0,"","Contractor email: "&amp;IF(LEN(INDEX('Documents'!$L$4:$L$503,_calc!$E$107))=0,"",INDEX('Documents'!$L$4:$L$503,_calc!$E$107))&amp;". ")&amp;IF(LEN(IF(LEN(INDEX('Documents'!$P$4:$P$503,_calc!$E$107))=0,"",INDEX('Documents'!$P$4:$P$503,_calc!$E$107)))=0,"",IF(LEN(INDEX('Documents'!$P$4:$P$503,_calc!$E$107))=0,"",INDEX('Documents'!$P$4:$P$503,_calc!$E$107)))))</f>
        <v/>
      </c>
      <c r="G105" s="43">
        <f>IF(_calc!$E$107="","",IF(LEN(INDEX('Documents'!$O$4:$O$503,_calc!$E$107))=0,"",INDEX('Documents'!$O$4:$O$503,_calc!$E$107)))</f>
        <v/>
      </c>
      <c r="K105" s="43">
        <f>IF(_calc!$E$107="","",IF(LEN(INDEX('Documents'!$M$4:$M$503,_calc!$E$107))=0,"",INDEX('Documents'!$M$4:$M$503,_calc!$E$107)))</f>
        <v/>
      </c>
    </row>
    <row r="106">
      <c r="A106" s="43">
        <f>IF(_calc!$E$108="","",IF(LEN(INDEX('Documents'!$C$4:$C$503,_calc!$E$108))=0,"",INDEX('Documents'!$C$4:$C$503,_calc!$E$108))&amp;" – "&amp;IF(LEN(INDEX('Documents'!$A$4:$A$503,_calc!$E$108))=0,"",INDEX('Documents'!$A$4:$A$503,_calc!$E$108)))</f>
        <v/>
      </c>
      <c r="B106" s="43">
        <f>IF(_calc!$E$108="","",IF(ISNUMBER(INDEX('Documents'!$F$4:$F$503,_calc!$E$108)),TEXT(INDEX('Documents'!$F$4:$F$503,_calc!$E$108),"yyyy-mm-dd"),""))</f>
        <v/>
      </c>
      <c r="C106" s="43">
        <f>IF(_calc!$E$108="","","Contractor document")</f>
        <v/>
      </c>
      <c r="D106" s="43">
        <f>IF(_calc!$E$108="","",IF(ISNUMBER(INDEX('Documents'!$E$4:$E$503,_calc!$E$108)),TEXT(INDEX('Documents'!$E$4:$E$503,_calc!$E$108),"yyyy-mm-dd"),""))</f>
        <v/>
      </c>
      <c r="E106" s="43">
        <f>IF(_calc!$E$108="","",IF(LEN(INDEX('Documents'!$N$4:$N$503,_calc!$E$108))=0,"",INDEX('Documents'!$N$4:$N$503,_calc!$E$108)))</f>
        <v/>
      </c>
      <c r="F106" s="43">
        <f>IF(_calc!$E$108="","",TRIM(IF(LEN(IF(LEN(INDEX('Documents'!$B$4:$B$503,_calc!$E$108))=0,"",INDEX('Documents'!$B$4:$B$503,_calc!$E$108)))=0,"","Trade: "&amp;IF(LEN(INDEX('Documents'!$B$4:$B$503,_calc!$E$108))=0,"",INDEX('Documents'!$B$4:$B$503,_calc!$E$108))&amp;". ")&amp;IF(LEN(IF(LEN(INDEX('Documents'!$D$4:$D$503,_calc!$E$108))=0,"",INDEX('Documents'!$D$4:$D$503,_calc!$E$108)))=0,"","Ref: "&amp;IF(LEN(INDEX('Documents'!$D$4:$D$503,_calc!$E$108))=0,"",INDEX('Documents'!$D$4:$D$503,_calc!$E$108))&amp;". ")&amp;IF(LEN(IF(LEN(INDEX('Documents'!$K$4:$K$503,_calc!$E$108))=0,"",INDEX('Documents'!$K$4:$K$503,_calc!$E$108)))=0,"","On file: "&amp;IF(LEN(INDEX('Documents'!$K$4:$K$503,_calc!$E$108))=0,"",INDEX('Documents'!$K$4:$K$503,_calc!$E$108))&amp;". ")&amp;IF(LEN(IF(LEN(INDEX('Documents'!$L$4:$L$503,_calc!$E$108))=0,"",INDEX('Documents'!$L$4:$L$503,_calc!$E$108)))=0,"","Contractor email: "&amp;IF(LEN(INDEX('Documents'!$L$4:$L$503,_calc!$E$108))=0,"",INDEX('Documents'!$L$4:$L$503,_calc!$E$108))&amp;". ")&amp;IF(LEN(IF(LEN(INDEX('Documents'!$P$4:$P$503,_calc!$E$108))=0,"",INDEX('Documents'!$P$4:$P$503,_calc!$E$108)))=0,"",IF(LEN(INDEX('Documents'!$P$4:$P$503,_calc!$E$108))=0,"",INDEX('Documents'!$P$4:$P$503,_calc!$E$108)))))</f>
        <v/>
      </c>
      <c r="G106" s="43">
        <f>IF(_calc!$E$108="","",IF(LEN(INDEX('Documents'!$O$4:$O$503,_calc!$E$108))=0,"",INDEX('Documents'!$O$4:$O$503,_calc!$E$108)))</f>
        <v/>
      </c>
      <c r="K106" s="43">
        <f>IF(_calc!$E$108="","",IF(LEN(INDEX('Documents'!$M$4:$M$503,_calc!$E$108))=0,"",INDEX('Documents'!$M$4:$M$503,_calc!$E$108)))</f>
        <v/>
      </c>
    </row>
    <row r="107">
      <c r="A107" s="43">
        <f>IF(_calc!$E$109="","",IF(LEN(INDEX('Documents'!$C$4:$C$503,_calc!$E$109))=0,"",INDEX('Documents'!$C$4:$C$503,_calc!$E$109))&amp;" – "&amp;IF(LEN(INDEX('Documents'!$A$4:$A$503,_calc!$E$109))=0,"",INDEX('Documents'!$A$4:$A$503,_calc!$E$109)))</f>
        <v/>
      </c>
      <c r="B107" s="43">
        <f>IF(_calc!$E$109="","",IF(ISNUMBER(INDEX('Documents'!$F$4:$F$503,_calc!$E$109)),TEXT(INDEX('Documents'!$F$4:$F$503,_calc!$E$109),"yyyy-mm-dd"),""))</f>
        <v/>
      </c>
      <c r="C107" s="43">
        <f>IF(_calc!$E$109="","","Contractor document")</f>
        <v/>
      </c>
      <c r="D107" s="43">
        <f>IF(_calc!$E$109="","",IF(ISNUMBER(INDEX('Documents'!$E$4:$E$503,_calc!$E$109)),TEXT(INDEX('Documents'!$E$4:$E$503,_calc!$E$109),"yyyy-mm-dd"),""))</f>
        <v/>
      </c>
      <c r="E107" s="43">
        <f>IF(_calc!$E$109="","",IF(LEN(INDEX('Documents'!$N$4:$N$503,_calc!$E$109))=0,"",INDEX('Documents'!$N$4:$N$503,_calc!$E$109)))</f>
        <v/>
      </c>
      <c r="F107" s="43">
        <f>IF(_calc!$E$109="","",TRIM(IF(LEN(IF(LEN(INDEX('Documents'!$B$4:$B$503,_calc!$E$109))=0,"",INDEX('Documents'!$B$4:$B$503,_calc!$E$109)))=0,"","Trade: "&amp;IF(LEN(INDEX('Documents'!$B$4:$B$503,_calc!$E$109))=0,"",INDEX('Documents'!$B$4:$B$503,_calc!$E$109))&amp;". ")&amp;IF(LEN(IF(LEN(INDEX('Documents'!$D$4:$D$503,_calc!$E$109))=0,"",INDEX('Documents'!$D$4:$D$503,_calc!$E$109)))=0,"","Ref: "&amp;IF(LEN(INDEX('Documents'!$D$4:$D$503,_calc!$E$109))=0,"",INDEX('Documents'!$D$4:$D$503,_calc!$E$109))&amp;". ")&amp;IF(LEN(IF(LEN(INDEX('Documents'!$K$4:$K$503,_calc!$E$109))=0,"",INDEX('Documents'!$K$4:$K$503,_calc!$E$109)))=0,"","On file: "&amp;IF(LEN(INDEX('Documents'!$K$4:$K$503,_calc!$E$109))=0,"",INDEX('Documents'!$K$4:$K$503,_calc!$E$109))&amp;". ")&amp;IF(LEN(IF(LEN(INDEX('Documents'!$L$4:$L$503,_calc!$E$109))=0,"",INDEX('Documents'!$L$4:$L$503,_calc!$E$109)))=0,"","Contractor email: "&amp;IF(LEN(INDEX('Documents'!$L$4:$L$503,_calc!$E$109))=0,"",INDEX('Documents'!$L$4:$L$503,_calc!$E$109))&amp;". ")&amp;IF(LEN(IF(LEN(INDEX('Documents'!$P$4:$P$503,_calc!$E$109))=0,"",INDEX('Documents'!$P$4:$P$503,_calc!$E$109)))=0,"",IF(LEN(INDEX('Documents'!$P$4:$P$503,_calc!$E$109))=0,"",INDEX('Documents'!$P$4:$P$503,_calc!$E$109)))))</f>
        <v/>
      </c>
      <c r="G107" s="43">
        <f>IF(_calc!$E$109="","",IF(LEN(INDEX('Documents'!$O$4:$O$503,_calc!$E$109))=0,"",INDEX('Documents'!$O$4:$O$503,_calc!$E$109)))</f>
        <v/>
      </c>
      <c r="K107" s="43">
        <f>IF(_calc!$E$109="","",IF(LEN(INDEX('Documents'!$M$4:$M$503,_calc!$E$109))=0,"",INDEX('Documents'!$M$4:$M$503,_calc!$E$109)))</f>
        <v/>
      </c>
    </row>
    <row r="108">
      <c r="A108" s="43">
        <f>IF(_calc!$E$110="","",IF(LEN(INDEX('Documents'!$C$4:$C$503,_calc!$E$110))=0,"",INDEX('Documents'!$C$4:$C$503,_calc!$E$110))&amp;" – "&amp;IF(LEN(INDEX('Documents'!$A$4:$A$503,_calc!$E$110))=0,"",INDEX('Documents'!$A$4:$A$503,_calc!$E$110)))</f>
        <v/>
      </c>
      <c r="B108" s="43">
        <f>IF(_calc!$E$110="","",IF(ISNUMBER(INDEX('Documents'!$F$4:$F$503,_calc!$E$110)),TEXT(INDEX('Documents'!$F$4:$F$503,_calc!$E$110),"yyyy-mm-dd"),""))</f>
        <v/>
      </c>
      <c r="C108" s="43">
        <f>IF(_calc!$E$110="","","Contractor document")</f>
        <v/>
      </c>
      <c r="D108" s="43">
        <f>IF(_calc!$E$110="","",IF(ISNUMBER(INDEX('Documents'!$E$4:$E$503,_calc!$E$110)),TEXT(INDEX('Documents'!$E$4:$E$503,_calc!$E$110),"yyyy-mm-dd"),""))</f>
        <v/>
      </c>
      <c r="E108" s="43">
        <f>IF(_calc!$E$110="","",IF(LEN(INDEX('Documents'!$N$4:$N$503,_calc!$E$110))=0,"",INDEX('Documents'!$N$4:$N$503,_calc!$E$110)))</f>
        <v/>
      </c>
      <c r="F108" s="43">
        <f>IF(_calc!$E$110="","",TRIM(IF(LEN(IF(LEN(INDEX('Documents'!$B$4:$B$503,_calc!$E$110))=0,"",INDEX('Documents'!$B$4:$B$503,_calc!$E$110)))=0,"","Trade: "&amp;IF(LEN(INDEX('Documents'!$B$4:$B$503,_calc!$E$110))=0,"",INDEX('Documents'!$B$4:$B$503,_calc!$E$110))&amp;". ")&amp;IF(LEN(IF(LEN(INDEX('Documents'!$D$4:$D$503,_calc!$E$110))=0,"",INDEX('Documents'!$D$4:$D$503,_calc!$E$110)))=0,"","Ref: "&amp;IF(LEN(INDEX('Documents'!$D$4:$D$503,_calc!$E$110))=0,"",INDEX('Documents'!$D$4:$D$503,_calc!$E$110))&amp;". ")&amp;IF(LEN(IF(LEN(INDEX('Documents'!$K$4:$K$503,_calc!$E$110))=0,"",INDEX('Documents'!$K$4:$K$503,_calc!$E$110)))=0,"","On file: "&amp;IF(LEN(INDEX('Documents'!$K$4:$K$503,_calc!$E$110))=0,"",INDEX('Documents'!$K$4:$K$503,_calc!$E$110))&amp;". ")&amp;IF(LEN(IF(LEN(INDEX('Documents'!$L$4:$L$503,_calc!$E$110))=0,"",INDEX('Documents'!$L$4:$L$503,_calc!$E$110)))=0,"","Contractor email: "&amp;IF(LEN(INDEX('Documents'!$L$4:$L$503,_calc!$E$110))=0,"",INDEX('Documents'!$L$4:$L$503,_calc!$E$110))&amp;". ")&amp;IF(LEN(IF(LEN(INDEX('Documents'!$P$4:$P$503,_calc!$E$110))=0,"",INDEX('Documents'!$P$4:$P$503,_calc!$E$110)))=0,"",IF(LEN(INDEX('Documents'!$P$4:$P$503,_calc!$E$110))=0,"",INDEX('Documents'!$P$4:$P$503,_calc!$E$110)))))</f>
        <v/>
      </c>
      <c r="G108" s="43">
        <f>IF(_calc!$E$110="","",IF(LEN(INDEX('Documents'!$O$4:$O$503,_calc!$E$110))=0,"",INDEX('Documents'!$O$4:$O$503,_calc!$E$110)))</f>
        <v/>
      </c>
      <c r="K108" s="43">
        <f>IF(_calc!$E$110="","",IF(LEN(INDEX('Documents'!$M$4:$M$503,_calc!$E$110))=0,"",INDEX('Documents'!$M$4:$M$503,_calc!$E$110)))</f>
        <v/>
      </c>
    </row>
    <row r="109">
      <c r="A109" s="43">
        <f>IF(_calc!$E$111="","",IF(LEN(INDEX('Documents'!$C$4:$C$503,_calc!$E$111))=0,"",INDEX('Documents'!$C$4:$C$503,_calc!$E$111))&amp;" – "&amp;IF(LEN(INDEX('Documents'!$A$4:$A$503,_calc!$E$111))=0,"",INDEX('Documents'!$A$4:$A$503,_calc!$E$111)))</f>
        <v/>
      </c>
      <c r="B109" s="43">
        <f>IF(_calc!$E$111="","",IF(ISNUMBER(INDEX('Documents'!$F$4:$F$503,_calc!$E$111)),TEXT(INDEX('Documents'!$F$4:$F$503,_calc!$E$111),"yyyy-mm-dd"),""))</f>
        <v/>
      </c>
      <c r="C109" s="43">
        <f>IF(_calc!$E$111="","","Contractor document")</f>
        <v/>
      </c>
      <c r="D109" s="43">
        <f>IF(_calc!$E$111="","",IF(ISNUMBER(INDEX('Documents'!$E$4:$E$503,_calc!$E$111)),TEXT(INDEX('Documents'!$E$4:$E$503,_calc!$E$111),"yyyy-mm-dd"),""))</f>
        <v/>
      </c>
      <c r="E109" s="43">
        <f>IF(_calc!$E$111="","",IF(LEN(INDEX('Documents'!$N$4:$N$503,_calc!$E$111))=0,"",INDEX('Documents'!$N$4:$N$503,_calc!$E$111)))</f>
        <v/>
      </c>
      <c r="F109" s="43">
        <f>IF(_calc!$E$111="","",TRIM(IF(LEN(IF(LEN(INDEX('Documents'!$B$4:$B$503,_calc!$E$111))=0,"",INDEX('Documents'!$B$4:$B$503,_calc!$E$111)))=0,"","Trade: "&amp;IF(LEN(INDEX('Documents'!$B$4:$B$503,_calc!$E$111))=0,"",INDEX('Documents'!$B$4:$B$503,_calc!$E$111))&amp;". ")&amp;IF(LEN(IF(LEN(INDEX('Documents'!$D$4:$D$503,_calc!$E$111))=0,"",INDEX('Documents'!$D$4:$D$503,_calc!$E$111)))=0,"","Ref: "&amp;IF(LEN(INDEX('Documents'!$D$4:$D$503,_calc!$E$111))=0,"",INDEX('Documents'!$D$4:$D$503,_calc!$E$111))&amp;". ")&amp;IF(LEN(IF(LEN(INDEX('Documents'!$K$4:$K$503,_calc!$E$111))=0,"",INDEX('Documents'!$K$4:$K$503,_calc!$E$111)))=0,"","On file: "&amp;IF(LEN(INDEX('Documents'!$K$4:$K$503,_calc!$E$111))=0,"",INDEX('Documents'!$K$4:$K$503,_calc!$E$111))&amp;". ")&amp;IF(LEN(IF(LEN(INDEX('Documents'!$L$4:$L$503,_calc!$E$111))=0,"",INDEX('Documents'!$L$4:$L$503,_calc!$E$111)))=0,"","Contractor email: "&amp;IF(LEN(INDEX('Documents'!$L$4:$L$503,_calc!$E$111))=0,"",INDEX('Documents'!$L$4:$L$503,_calc!$E$111))&amp;". ")&amp;IF(LEN(IF(LEN(INDEX('Documents'!$P$4:$P$503,_calc!$E$111))=0,"",INDEX('Documents'!$P$4:$P$503,_calc!$E$111)))=0,"",IF(LEN(INDEX('Documents'!$P$4:$P$503,_calc!$E$111))=0,"",INDEX('Documents'!$P$4:$P$503,_calc!$E$111)))))</f>
        <v/>
      </c>
      <c r="G109" s="43">
        <f>IF(_calc!$E$111="","",IF(LEN(INDEX('Documents'!$O$4:$O$503,_calc!$E$111))=0,"",INDEX('Documents'!$O$4:$O$503,_calc!$E$111)))</f>
        <v/>
      </c>
      <c r="K109" s="43">
        <f>IF(_calc!$E$111="","",IF(LEN(INDEX('Documents'!$M$4:$M$503,_calc!$E$111))=0,"",INDEX('Documents'!$M$4:$M$503,_calc!$E$111)))</f>
        <v/>
      </c>
    </row>
    <row r="110">
      <c r="A110" s="43">
        <f>IF(_calc!$E$112="","",IF(LEN(INDEX('Documents'!$C$4:$C$503,_calc!$E$112))=0,"",INDEX('Documents'!$C$4:$C$503,_calc!$E$112))&amp;" – "&amp;IF(LEN(INDEX('Documents'!$A$4:$A$503,_calc!$E$112))=0,"",INDEX('Documents'!$A$4:$A$503,_calc!$E$112)))</f>
        <v/>
      </c>
      <c r="B110" s="43">
        <f>IF(_calc!$E$112="","",IF(ISNUMBER(INDEX('Documents'!$F$4:$F$503,_calc!$E$112)),TEXT(INDEX('Documents'!$F$4:$F$503,_calc!$E$112),"yyyy-mm-dd"),""))</f>
        <v/>
      </c>
      <c r="C110" s="43">
        <f>IF(_calc!$E$112="","","Contractor document")</f>
        <v/>
      </c>
      <c r="D110" s="43">
        <f>IF(_calc!$E$112="","",IF(ISNUMBER(INDEX('Documents'!$E$4:$E$503,_calc!$E$112)),TEXT(INDEX('Documents'!$E$4:$E$503,_calc!$E$112),"yyyy-mm-dd"),""))</f>
        <v/>
      </c>
      <c r="E110" s="43">
        <f>IF(_calc!$E$112="","",IF(LEN(INDEX('Documents'!$N$4:$N$503,_calc!$E$112))=0,"",INDEX('Documents'!$N$4:$N$503,_calc!$E$112)))</f>
        <v/>
      </c>
      <c r="F110" s="43">
        <f>IF(_calc!$E$112="","",TRIM(IF(LEN(IF(LEN(INDEX('Documents'!$B$4:$B$503,_calc!$E$112))=0,"",INDEX('Documents'!$B$4:$B$503,_calc!$E$112)))=0,"","Trade: "&amp;IF(LEN(INDEX('Documents'!$B$4:$B$503,_calc!$E$112))=0,"",INDEX('Documents'!$B$4:$B$503,_calc!$E$112))&amp;". ")&amp;IF(LEN(IF(LEN(INDEX('Documents'!$D$4:$D$503,_calc!$E$112))=0,"",INDEX('Documents'!$D$4:$D$503,_calc!$E$112)))=0,"","Ref: "&amp;IF(LEN(INDEX('Documents'!$D$4:$D$503,_calc!$E$112))=0,"",INDEX('Documents'!$D$4:$D$503,_calc!$E$112))&amp;". ")&amp;IF(LEN(IF(LEN(INDEX('Documents'!$K$4:$K$503,_calc!$E$112))=0,"",INDEX('Documents'!$K$4:$K$503,_calc!$E$112)))=0,"","On file: "&amp;IF(LEN(INDEX('Documents'!$K$4:$K$503,_calc!$E$112))=0,"",INDEX('Documents'!$K$4:$K$503,_calc!$E$112))&amp;". ")&amp;IF(LEN(IF(LEN(INDEX('Documents'!$L$4:$L$503,_calc!$E$112))=0,"",INDEX('Documents'!$L$4:$L$503,_calc!$E$112)))=0,"","Contractor email: "&amp;IF(LEN(INDEX('Documents'!$L$4:$L$503,_calc!$E$112))=0,"",INDEX('Documents'!$L$4:$L$503,_calc!$E$112))&amp;". ")&amp;IF(LEN(IF(LEN(INDEX('Documents'!$P$4:$P$503,_calc!$E$112))=0,"",INDEX('Documents'!$P$4:$P$503,_calc!$E$112)))=0,"",IF(LEN(INDEX('Documents'!$P$4:$P$503,_calc!$E$112))=0,"",INDEX('Documents'!$P$4:$P$503,_calc!$E$112)))))</f>
        <v/>
      </c>
      <c r="G110" s="43">
        <f>IF(_calc!$E$112="","",IF(LEN(INDEX('Documents'!$O$4:$O$503,_calc!$E$112))=0,"",INDEX('Documents'!$O$4:$O$503,_calc!$E$112)))</f>
        <v/>
      </c>
      <c r="K110" s="43">
        <f>IF(_calc!$E$112="","",IF(LEN(INDEX('Documents'!$M$4:$M$503,_calc!$E$112))=0,"",INDEX('Documents'!$M$4:$M$503,_calc!$E$112)))</f>
        <v/>
      </c>
    </row>
    <row r="111">
      <c r="A111" s="43">
        <f>IF(_calc!$E$113="","",IF(LEN(INDEX('Documents'!$C$4:$C$503,_calc!$E$113))=0,"",INDEX('Documents'!$C$4:$C$503,_calc!$E$113))&amp;" – "&amp;IF(LEN(INDEX('Documents'!$A$4:$A$503,_calc!$E$113))=0,"",INDEX('Documents'!$A$4:$A$503,_calc!$E$113)))</f>
        <v/>
      </c>
      <c r="B111" s="43">
        <f>IF(_calc!$E$113="","",IF(ISNUMBER(INDEX('Documents'!$F$4:$F$503,_calc!$E$113)),TEXT(INDEX('Documents'!$F$4:$F$503,_calc!$E$113),"yyyy-mm-dd"),""))</f>
        <v/>
      </c>
      <c r="C111" s="43">
        <f>IF(_calc!$E$113="","","Contractor document")</f>
        <v/>
      </c>
      <c r="D111" s="43">
        <f>IF(_calc!$E$113="","",IF(ISNUMBER(INDEX('Documents'!$E$4:$E$503,_calc!$E$113)),TEXT(INDEX('Documents'!$E$4:$E$503,_calc!$E$113),"yyyy-mm-dd"),""))</f>
        <v/>
      </c>
      <c r="E111" s="43">
        <f>IF(_calc!$E$113="","",IF(LEN(INDEX('Documents'!$N$4:$N$503,_calc!$E$113))=0,"",INDEX('Documents'!$N$4:$N$503,_calc!$E$113)))</f>
        <v/>
      </c>
      <c r="F111" s="43">
        <f>IF(_calc!$E$113="","",TRIM(IF(LEN(IF(LEN(INDEX('Documents'!$B$4:$B$503,_calc!$E$113))=0,"",INDEX('Documents'!$B$4:$B$503,_calc!$E$113)))=0,"","Trade: "&amp;IF(LEN(INDEX('Documents'!$B$4:$B$503,_calc!$E$113))=0,"",INDEX('Documents'!$B$4:$B$503,_calc!$E$113))&amp;". ")&amp;IF(LEN(IF(LEN(INDEX('Documents'!$D$4:$D$503,_calc!$E$113))=0,"",INDEX('Documents'!$D$4:$D$503,_calc!$E$113)))=0,"","Ref: "&amp;IF(LEN(INDEX('Documents'!$D$4:$D$503,_calc!$E$113))=0,"",INDEX('Documents'!$D$4:$D$503,_calc!$E$113))&amp;". ")&amp;IF(LEN(IF(LEN(INDEX('Documents'!$K$4:$K$503,_calc!$E$113))=0,"",INDEX('Documents'!$K$4:$K$503,_calc!$E$113)))=0,"","On file: "&amp;IF(LEN(INDEX('Documents'!$K$4:$K$503,_calc!$E$113))=0,"",INDEX('Documents'!$K$4:$K$503,_calc!$E$113))&amp;". ")&amp;IF(LEN(IF(LEN(INDEX('Documents'!$L$4:$L$503,_calc!$E$113))=0,"",INDEX('Documents'!$L$4:$L$503,_calc!$E$113)))=0,"","Contractor email: "&amp;IF(LEN(INDEX('Documents'!$L$4:$L$503,_calc!$E$113))=0,"",INDEX('Documents'!$L$4:$L$503,_calc!$E$113))&amp;". ")&amp;IF(LEN(IF(LEN(INDEX('Documents'!$P$4:$P$503,_calc!$E$113))=0,"",INDEX('Documents'!$P$4:$P$503,_calc!$E$113)))=0,"",IF(LEN(INDEX('Documents'!$P$4:$P$503,_calc!$E$113))=0,"",INDEX('Documents'!$P$4:$P$503,_calc!$E$113)))))</f>
        <v/>
      </c>
      <c r="G111" s="43">
        <f>IF(_calc!$E$113="","",IF(LEN(INDEX('Documents'!$O$4:$O$503,_calc!$E$113))=0,"",INDEX('Documents'!$O$4:$O$503,_calc!$E$113)))</f>
        <v/>
      </c>
      <c r="K111" s="43">
        <f>IF(_calc!$E$113="","",IF(LEN(INDEX('Documents'!$M$4:$M$503,_calc!$E$113))=0,"",INDEX('Documents'!$M$4:$M$503,_calc!$E$113)))</f>
        <v/>
      </c>
    </row>
    <row r="112">
      <c r="A112" s="43">
        <f>IF(_calc!$E$114="","",IF(LEN(INDEX('Documents'!$C$4:$C$503,_calc!$E$114))=0,"",INDEX('Documents'!$C$4:$C$503,_calc!$E$114))&amp;" – "&amp;IF(LEN(INDEX('Documents'!$A$4:$A$503,_calc!$E$114))=0,"",INDEX('Documents'!$A$4:$A$503,_calc!$E$114)))</f>
        <v/>
      </c>
      <c r="B112" s="43">
        <f>IF(_calc!$E$114="","",IF(ISNUMBER(INDEX('Documents'!$F$4:$F$503,_calc!$E$114)),TEXT(INDEX('Documents'!$F$4:$F$503,_calc!$E$114),"yyyy-mm-dd"),""))</f>
        <v/>
      </c>
      <c r="C112" s="43">
        <f>IF(_calc!$E$114="","","Contractor document")</f>
        <v/>
      </c>
      <c r="D112" s="43">
        <f>IF(_calc!$E$114="","",IF(ISNUMBER(INDEX('Documents'!$E$4:$E$503,_calc!$E$114)),TEXT(INDEX('Documents'!$E$4:$E$503,_calc!$E$114),"yyyy-mm-dd"),""))</f>
        <v/>
      </c>
      <c r="E112" s="43">
        <f>IF(_calc!$E$114="","",IF(LEN(INDEX('Documents'!$N$4:$N$503,_calc!$E$114))=0,"",INDEX('Documents'!$N$4:$N$503,_calc!$E$114)))</f>
        <v/>
      </c>
      <c r="F112" s="43">
        <f>IF(_calc!$E$114="","",TRIM(IF(LEN(IF(LEN(INDEX('Documents'!$B$4:$B$503,_calc!$E$114))=0,"",INDEX('Documents'!$B$4:$B$503,_calc!$E$114)))=0,"","Trade: "&amp;IF(LEN(INDEX('Documents'!$B$4:$B$503,_calc!$E$114))=0,"",INDEX('Documents'!$B$4:$B$503,_calc!$E$114))&amp;". ")&amp;IF(LEN(IF(LEN(INDEX('Documents'!$D$4:$D$503,_calc!$E$114))=0,"",INDEX('Documents'!$D$4:$D$503,_calc!$E$114)))=0,"","Ref: "&amp;IF(LEN(INDEX('Documents'!$D$4:$D$503,_calc!$E$114))=0,"",INDEX('Documents'!$D$4:$D$503,_calc!$E$114))&amp;". ")&amp;IF(LEN(IF(LEN(INDEX('Documents'!$K$4:$K$503,_calc!$E$114))=0,"",INDEX('Documents'!$K$4:$K$503,_calc!$E$114)))=0,"","On file: "&amp;IF(LEN(INDEX('Documents'!$K$4:$K$503,_calc!$E$114))=0,"",INDEX('Documents'!$K$4:$K$503,_calc!$E$114))&amp;". ")&amp;IF(LEN(IF(LEN(INDEX('Documents'!$L$4:$L$503,_calc!$E$114))=0,"",INDEX('Documents'!$L$4:$L$503,_calc!$E$114)))=0,"","Contractor email: "&amp;IF(LEN(INDEX('Documents'!$L$4:$L$503,_calc!$E$114))=0,"",INDEX('Documents'!$L$4:$L$503,_calc!$E$114))&amp;". ")&amp;IF(LEN(IF(LEN(INDEX('Documents'!$P$4:$P$503,_calc!$E$114))=0,"",INDEX('Documents'!$P$4:$P$503,_calc!$E$114)))=0,"",IF(LEN(INDEX('Documents'!$P$4:$P$503,_calc!$E$114))=0,"",INDEX('Documents'!$P$4:$P$503,_calc!$E$114)))))</f>
        <v/>
      </c>
      <c r="G112" s="43">
        <f>IF(_calc!$E$114="","",IF(LEN(INDEX('Documents'!$O$4:$O$503,_calc!$E$114))=0,"",INDEX('Documents'!$O$4:$O$503,_calc!$E$114)))</f>
        <v/>
      </c>
      <c r="K112" s="43">
        <f>IF(_calc!$E$114="","",IF(LEN(INDEX('Documents'!$M$4:$M$503,_calc!$E$114))=0,"",INDEX('Documents'!$M$4:$M$503,_calc!$E$114)))</f>
        <v/>
      </c>
    </row>
    <row r="113">
      <c r="A113" s="43">
        <f>IF(_calc!$E$115="","",IF(LEN(INDEX('Documents'!$C$4:$C$503,_calc!$E$115))=0,"",INDEX('Documents'!$C$4:$C$503,_calc!$E$115))&amp;" – "&amp;IF(LEN(INDEX('Documents'!$A$4:$A$503,_calc!$E$115))=0,"",INDEX('Documents'!$A$4:$A$503,_calc!$E$115)))</f>
        <v/>
      </c>
      <c r="B113" s="43">
        <f>IF(_calc!$E$115="","",IF(ISNUMBER(INDEX('Documents'!$F$4:$F$503,_calc!$E$115)),TEXT(INDEX('Documents'!$F$4:$F$503,_calc!$E$115),"yyyy-mm-dd"),""))</f>
        <v/>
      </c>
      <c r="C113" s="43">
        <f>IF(_calc!$E$115="","","Contractor document")</f>
        <v/>
      </c>
      <c r="D113" s="43">
        <f>IF(_calc!$E$115="","",IF(ISNUMBER(INDEX('Documents'!$E$4:$E$503,_calc!$E$115)),TEXT(INDEX('Documents'!$E$4:$E$503,_calc!$E$115),"yyyy-mm-dd"),""))</f>
        <v/>
      </c>
      <c r="E113" s="43">
        <f>IF(_calc!$E$115="","",IF(LEN(INDEX('Documents'!$N$4:$N$503,_calc!$E$115))=0,"",INDEX('Documents'!$N$4:$N$503,_calc!$E$115)))</f>
        <v/>
      </c>
      <c r="F113" s="43">
        <f>IF(_calc!$E$115="","",TRIM(IF(LEN(IF(LEN(INDEX('Documents'!$B$4:$B$503,_calc!$E$115))=0,"",INDEX('Documents'!$B$4:$B$503,_calc!$E$115)))=0,"","Trade: "&amp;IF(LEN(INDEX('Documents'!$B$4:$B$503,_calc!$E$115))=0,"",INDEX('Documents'!$B$4:$B$503,_calc!$E$115))&amp;". ")&amp;IF(LEN(IF(LEN(INDEX('Documents'!$D$4:$D$503,_calc!$E$115))=0,"",INDEX('Documents'!$D$4:$D$503,_calc!$E$115)))=0,"","Ref: "&amp;IF(LEN(INDEX('Documents'!$D$4:$D$503,_calc!$E$115))=0,"",INDEX('Documents'!$D$4:$D$503,_calc!$E$115))&amp;". ")&amp;IF(LEN(IF(LEN(INDEX('Documents'!$K$4:$K$503,_calc!$E$115))=0,"",INDEX('Documents'!$K$4:$K$503,_calc!$E$115)))=0,"","On file: "&amp;IF(LEN(INDEX('Documents'!$K$4:$K$503,_calc!$E$115))=0,"",INDEX('Documents'!$K$4:$K$503,_calc!$E$115))&amp;". ")&amp;IF(LEN(IF(LEN(INDEX('Documents'!$L$4:$L$503,_calc!$E$115))=0,"",INDEX('Documents'!$L$4:$L$503,_calc!$E$115)))=0,"","Contractor email: "&amp;IF(LEN(INDEX('Documents'!$L$4:$L$503,_calc!$E$115))=0,"",INDEX('Documents'!$L$4:$L$503,_calc!$E$115))&amp;". ")&amp;IF(LEN(IF(LEN(INDEX('Documents'!$P$4:$P$503,_calc!$E$115))=0,"",INDEX('Documents'!$P$4:$P$503,_calc!$E$115)))=0,"",IF(LEN(INDEX('Documents'!$P$4:$P$503,_calc!$E$115))=0,"",INDEX('Documents'!$P$4:$P$503,_calc!$E$115)))))</f>
        <v/>
      </c>
      <c r="G113" s="43">
        <f>IF(_calc!$E$115="","",IF(LEN(INDEX('Documents'!$O$4:$O$503,_calc!$E$115))=0,"",INDEX('Documents'!$O$4:$O$503,_calc!$E$115)))</f>
        <v/>
      </c>
      <c r="K113" s="43">
        <f>IF(_calc!$E$115="","",IF(LEN(INDEX('Documents'!$M$4:$M$503,_calc!$E$115))=0,"",INDEX('Documents'!$M$4:$M$503,_calc!$E$115)))</f>
        <v/>
      </c>
    </row>
    <row r="114">
      <c r="A114" s="43">
        <f>IF(_calc!$E$116="","",IF(LEN(INDEX('Documents'!$C$4:$C$503,_calc!$E$116))=0,"",INDEX('Documents'!$C$4:$C$503,_calc!$E$116))&amp;" – "&amp;IF(LEN(INDEX('Documents'!$A$4:$A$503,_calc!$E$116))=0,"",INDEX('Documents'!$A$4:$A$503,_calc!$E$116)))</f>
        <v/>
      </c>
      <c r="B114" s="43">
        <f>IF(_calc!$E$116="","",IF(ISNUMBER(INDEX('Documents'!$F$4:$F$503,_calc!$E$116)),TEXT(INDEX('Documents'!$F$4:$F$503,_calc!$E$116),"yyyy-mm-dd"),""))</f>
        <v/>
      </c>
      <c r="C114" s="43">
        <f>IF(_calc!$E$116="","","Contractor document")</f>
        <v/>
      </c>
      <c r="D114" s="43">
        <f>IF(_calc!$E$116="","",IF(ISNUMBER(INDEX('Documents'!$E$4:$E$503,_calc!$E$116)),TEXT(INDEX('Documents'!$E$4:$E$503,_calc!$E$116),"yyyy-mm-dd"),""))</f>
        <v/>
      </c>
      <c r="E114" s="43">
        <f>IF(_calc!$E$116="","",IF(LEN(INDEX('Documents'!$N$4:$N$503,_calc!$E$116))=0,"",INDEX('Documents'!$N$4:$N$503,_calc!$E$116)))</f>
        <v/>
      </c>
      <c r="F114" s="43">
        <f>IF(_calc!$E$116="","",TRIM(IF(LEN(IF(LEN(INDEX('Documents'!$B$4:$B$503,_calc!$E$116))=0,"",INDEX('Documents'!$B$4:$B$503,_calc!$E$116)))=0,"","Trade: "&amp;IF(LEN(INDEX('Documents'!$B$4:$B$503,_calc!$E$116))=0,"",INDEX('Documents'!$B$4:$B$503,_calc!$E$116))&amp;". ")&amp;IF(LEN(IF(LEN(INDEX('Documents'!$D$4:$D$503,_calc!$E$116))=0,"",INDEX('Documents'!$D$4:$D$503,_calc!$E$116)))=0,"","Ref: "&amp;IF(LEN(INDEX('Documents'!$D$4:$D$503,_calc!$E$116))=0,"",INDEX('Documents'!$D$4:$D$503,_calc!$E$116))&amp;". ")&amp;IF(LEN(IF(LEN(INDEX('Documents'!$K$4:$K$503,_calc!$E$116))=0,"",INDEX('Documents'!$K$4:$K$503,_calc!$E$116)))=0,"","On file: "&amp;IF(LEN(INDEX('Documents'!$K$4:$K$503,_calc!$E$116))=0,"",INDEX('Documents'!$K$4:$K$503,_calc!$E$116))&amp;". ")&amp;IF(LEN(IF(LEN(INDEX('Documents'!$L$4:$L$503,_calc!$E$116))=0,"",INDEX('Documents'!$L$4:$L$503,_calc!$E$116)))=0,"","Contractor email: "&amp;IF(LEN(INDEX('Documents'!$L$4:$L$503,_calc!$E$116))=0,"",INDEX('Documents'!$L$4:$L$503,_calc!$E$116))&amp;". ")&amp;IF(LEN(IF(LEN(INDEX('Documents'!$P$4:$P$503,_calc!$E$116))=0,"",INDEX('Documents'!$P$4:$P$503,_calc!$E$116)))=0,"",IF(LEN(INDEX('Documents'!$P$4:$P$503,_calc!$E$116))=0,"",INDEX('Documents'!$P$4:$P$503,_calc!$E$116)))))</f>
        <v/>
      </c>
      <c r="G114" s="43">
        <f>IF(_calc!$E$116="","",IF(LEN(INDEX('Documents'!$O$4:$O$503,_calc!$E$116))=0,"",INDEX('Documents'!$O$4:$O$503,_calc!$E$116)))</f>
        <v/>
      </c>
      <c r="K114" s="43">
        <f>IF(_calc!$E$116="","",IF(LEN(INDEX('Documents'!$M$4:$M$503,_calc!$E$116))=0,"",INDEX('Documents'!$M$4:$M$503,_calc!$E$116)))</f>
        <v/>
      </c>
    </row>
    <row r="115">
      <c r="A115" s="43">
        <f>IF(_calc!$E$117="","",IF(LEN(INDEX('Documents'!$C$4:$C$503,_calc!$E$117))=0,"",INDEX('Documents'!$C$4:$C$503,_calc!$E$117))&amp;" – "&amp;IF(LEN(INDEX('Documents'!$A$4:$A$503,_calc!$E$117))=0,"",INDEX('Documents'!$A$4:$A$503,_calc!$E$117)))</f>
        <v/>
      </c>
      <c r="B115" s="43">
        <f>IF(_calc!$E$117="","",IF(ISNUMBER(INDEX('Documents'!$F$4:$F$503,_calc!$E$117)),TEXT(INDEX('Documents'!$F$4:$F$503,_calc!$E$117),"yyyy-mm-dd"),""))</f>
        <v/>
      </c>
      <c r="C115" s="43">
        <f>IF(_calc!$E$117="","","Contractor document")</f>
        <v/>
      </c>
      <c r="D115" s="43">
        <f>IF(_calc!$E$117="","",IF(ISNUMBER(INDEX('Documents'!$E$4:$E$503,_calc!$E$117)),TEXT(INDEX('Documents'!$E$4:$E$503,_calc!$E$117),"yyyy-mm-dd"),""))</f>
        <v/>
      </c>
      <c r="E115" s="43">
        <f>IF(_calc!$E$117="","",IF(LEN(INDEX('Documents'!$N$4:$N$503,_calc!$E$117))=0,"",INDEX('Documents'!$N$4:$N$503,_calc!$E$117)))</f>
        <v/>
      </c>
      <c r="F115" s="43">
        <f>IF(_calc!$E$117="","",TRIM(IF(LEN(IF(LEN(INDEX('Documents'!$B$4:$B$503,_calc!$E$117))=0,"",INDEX('Documents'!$B$4:$B$503,_calc!$E$117)))=0,"","Trade: "&amp;IF(LEN(INDEX('Documents'!$B$4:$B$503,_calc!$E$117))=0,"",INDEX('Documents'!$B$4:$B$503,_calc!$E$117))&amp;". ")&amp;IF(LEN(IF(LEN(INDEX('Documents'!$D$4:$D$503,_calc!$E$117))=0,"",INDEX('Documents'!$D$4:$D$503,_calc!$E$117)))=0,"","Ref: "&amp;IF(LEN(INDEX('Documents'!$D$4:$D$503,_calc!$E$117))=0,"",INDEX('Documents'!$D$4:$D$503,_calc!$E$117))&amp;". ")&amp;IF(LEN(IF(LEN(INDEX('Documents'!$K$4:$K$503,_calc!$E$117))=0,"",INDEX('Documents'!$K$4:$K$503,_calc!$E$117)))=0,"","On file: "&amp;IF(LEN(INDEX('Documents'!$K$4:$K$503,_calc!$E$117))=0,"",INDEX('Documents'!$K$4:$K$503,_calc!$E$117))&amp;". ")&amp;IF(LEN(IF(LEN(INDEX('Documents'!$L$4:$L$503,_calc!$E$117))=0,"",INDEX('Documents'!$L$4:$L$503,_calc!$E$117)))=0,"","Contractor email: "&amp;IF(LEN(INDEX('Documents'!$L$4:$L$503,_calc!$E$117))=0,"",INDEX('Documents'!$L$4:$L$503,_calc!$E$117))&amp;". ")&amp;IF(LEN(IF(LEN(INDEX('Documents'!$P$4:$P$503,_calc!$E$117))=0,"",INDEX('Documents'!$P$4:$P$503,_calc!$E$117)))=0,"",IF(LEN(INDEX('Documents'!$P$4:$P$503,_calc!$E$117))=0,"",INDEX('Documents'!$P$4:$P$503,_calc!$E$117)))))</f>
        <v/>
      </c>
      <c r="G115" s="43">
        <f>IF(_calc!$E$117="","",IF(LEN(INDEX('Documents'!$O$4:$O$503,_calc!$E$117))=0,"",INDEX('Documents'!$O$4:$O$503,_calc!$E$117)))</f>
        <v/>
      </c>
      <c r="K115" s="43">
        <f>IF(_calc!$E$117="","",IF(LEN(INDEX('Documents'!$M$4:$M$503,_calc!$E$117))=0,"",INDEX('Documents'!$M$4:$M$503,_calc!$E$117)))</f>
        <v/>
      </c>
    </row>
    <row r="116">
      <c r="A116" s="43">
        <f>IF(_calc!$E$118="","",IF(LEN(INDEX('Documents'!$C$4:$C$503,_calc!$E$118))=0,"",INDEX('Documents'!$C$4:$C$503,_calc!$E$118))&amp;" – "&amp;IF(LEN(INDEX('Documents'!$A$4:$A$503,_calc!$E$118))=0,"",INDEX('Documents'!$A$4:$A$503,_calc!$E$118)))</f>
        <v/>
      </c>
      <c r="B116" s="43">
        <f>IF(_calc!$E$118="","",IF(ISNUMBER(INDEX('Documents'!$F$4:$F$503,_calc!$E$118)),TEXT(INDEX('Documents'!$F$4:$F$503,_calc!$E$118),"yyyy-mm-dd"),""))</f>
        <v/>
      </c>
      <c r="C116" s="43">
        <f>IF(_calc!$E$118="","","Contractor document")</f>
        <v/>
      </c>
      <c r="D116" s="43">
        <f>IF(_calc!$E$118="","",IF(ISNUMBER(INDEX('Documents'!$E$4:$E$503,_calc!$E$118)),TEXT(INDEX('Documents'!$E$4:$E$503,_calc!$E$118),"yyyy-mm-dd"),""))</f>
        <v/>
      </c>
      <c r="E116" s="43">
        <f>IF(_calc!$E$118="","",IF(LEN(INDEX('Documents'!$N$4:$N$503,_calc!$E$118))=0,"",INDEX('Documents'!$N$4:$N$503,_calc!$E$118)))</f>
        <v/>
      </c>
      <c r="F116" s="43">
        <f>IF(_calc!$E$118="","",TRIM(IF(LEN(IF(LEN(INDEX('Documents'!$B$4:$B$503,_calc!$E$118))=0,"",INDEX('Documents'!$B$4:$B$503,_calc!$E$118)))=0,"","Trade: "&amp;IF(LEN(INDEX('Documents'!$B$4:$B$503,_calc!$E$118))=0,"",INDEX('Documents'!$B$4:$B$503,_calc!$E$118))&amp;". ")&amp;IF(LEN(IF(LEN(INDEX('Documents'!$D$4:$D$503,_calc!$E$118))=0,"",INDEX('Documents'!$D$4:$D$503,_calc!$E$118)))=0,"","Ref: "&amp;IF(LEN(INDEX('Documents'!$D$4:$D$503,_calc!$E$118))=0,"",INDEX('Documents'!$D$4:$D$503,_calc!$E$118))&amp;". ")&amp;IF(LEN(IF(LEN(INDEX('Documents'!$K$4:$K$503,_calc!$E$118))=0,"",INDEX('Documents'!$K$4:$K$503,_calc!$E$118)))=0,"","On file: "&amp;IF(LEN(INDEX('Documents'!$K$4:$K$503,_calc!$E$118))=0,"",INDEX('Documents'!$K$4:$K$503,_calc!$E$118))&amp;". ")&amp;IF(LEN(IF(LEN(INDEX('Documents'!$L$4:$L$503,_calc!$E$118))=0,"",INDEX('Documents'!$L$4:$L$503,_calc!$E$118)))=0,"","Contractor email: "&amp;IF(LEN(INDEX('Documents'!$L$4:$L$503,_calc!$E$118))=0,"",INDEX('Documents'!$L$4:$L$503,_calc!$E$118))&amp;". ")&amp;IF(LEN(IF(LEN(INDEX('Documents'!$P$4:$P$503,_calc!$E$118))=0,"",INDEX('Documents'!$P$4:$P$503,_calc!$E$118)))=0,"",IF(LEN(INDEX('Documents'!$P$4:$P$503,_calc!$E$118))=0,"",INDEX('Documents'!$P$4:$P$503,_calc!$E$118)))))</f>
        <v/>
      </c>
      <c r="G116" s="43">
        <f>IF(_calc!$E$118="","",IF(LEN(INDEX('Documents'!$O$4:$O$503,_calc!$E$118))=0,"",INDEX('Documents'!$O$4:$O$503,_calc!$E$118)))</f>
        <v/>
      </c>
      <c r="K116" s="43">
        <f>IF(_calc!$E$118="","",IF(LEN(INDEX('Documents'!$M$4:$M$503,_calc!$E$118))=0,"",INDEX('Documents'!$M$4:$M$503,_calc!$E$118)))</f>
        <v/>
      </c>
    </row>
    <row r="117">
      <c r="A117" s="43">
        <f>IF(_calc!$E$119="","",IF(LEN(INDEX('Documents'!$C$4:$C$503,_calc!$E$119))=0,"",INDEX('Documents'!$C$4:$C$503,_calc!$E$119))&amp;" – "&amp;IF(LEN(INDEX('Documents'!$A$4:$A$503,_calc!$E$119))=0,"",INDEX('Documents'!$A$4:$A$503,_calc!$E$119)))</f>
        <v/>
      </c>
      <c r="B117" s="43">
        <f>IF(_calc!$E$119="","",IF(ISNUMBER(INDEX('Documents'!$F$4:$F$503,_calc!$E$119)),TEXT(INDEX('Documents'!$F$4:$F$503,_calc!$E$119),"yyyy-mm-dd"),""))</f>
        <v/>
      </c>
      <c r="C117" s="43">
        <f>IF(_calc!$E$119="","","Contractor document")</f>
        <v/>
      </c>
      <c r="D117" s="43">
        <f>IF(_calc!$E$119="","",IF(ISNUMBER(INDEX('Documents'!$E$4:$E$503,_calc!$E$119)),TEXT(INDEX('Documents'!$E$4:$E$503,_calc!$E$119),"yyyy-mm-dd"),""))</f>
        <v/>
      </c>
      <c r="E117" s="43">
        <f>IF(_calc!$E$119="","",IF(LEN(INDEX('Documents'!$N$4:$N$503,_calc!$E$119))=0,"",INDEX('Documents'!$N$4:$N$503,_calc!$E$119)))</f>
        <v/>
      </c>
      <c r="F117" s="43">
        <f>IF(_calc!$E$119="","",TRIM(IF(LEN(IF(LEN(INDEX('Documents'!$B$4:$B$503,_calc!$E$119))=0,"",INDEX('Documents'!$B$4:$B$503,_calc!$E$119)))=0,"","Trade: "&amp;IF(LEN(INDEX('Documents'!$B$4:$B$503,_calc!$E$119))=0,"",INDEX('Documents'!$B$4:$B$503,_calc!$E$119))&amp;". ")&amp;IF(LEN(IF(LEN(INDEX('Documents'!$D$4:$D$503,_calc!$E$119))=0,"",INDEX('Documents'!$D$4:$D$503,_calc!$E$119)))=0,"","Ref: "&amp;IF(LEN(INDEX('Documents'!$D$4:$D$503,_calc!$E$119))=0,"",INDEX('Documents'!$D$4:$D$503,_calc!$E$119))&amp;". ")&amp;IF(LEN(IF(LEN(INDEX('Documents'!$K$4:$K$503,_calc!$E$119))=0,"",INDEX('Documents'!$K$4:$K$503,_calc!$E$119)))=0,"","On file: "&amp;IF(LEN(INDEX('Documents'!$K$4:$K$503,_calc!$E$119))=0,"",INDEX('Documents'!$K$4:$K$503,_calc!$E$119))&amp;". ")&amp;IF(LEN(IF(LEN(INDEX('Documents'!$L$4:$L$503,_calc!$E$119))=0,"",INDEX('Documents'!$L$4:$L$503,_calc!$E$119)))=0,"","Contractor email: "&amp;IF(LEN(INDEX('Documents'!$L$4:$L$503,_calc!$E$119))=0,"",INDEX('Documents'!$L$4:$L$503,_calc!$E$119))&amp;". ")&amp;IF(LEN(IF(LEN(INDEX('Documents'!$P$4:$P$503,_calc!$E$119))=0,"",INDEX('Documents'!$P$4:$P$503,_calc!$E$119)))=0,"",IF(LEN(INDEX('Documents'!$P$4:$P$503,_calc!$E$119))=0,"",INDEX('Documents'!$P$4:$P$503,_calc!$E$119)))))</f>
        <v/>
      </c>
      <c r="G117" s="43">
        <f>IF(_calc!$E$119="","",IF(LEN(INDEX('Documents'!$O$4:$O$503,_calc!$E$119))=0,"",INDEX('Documents'!$O$4:$O$503,_calc!$E$119)))</f>
        <v/>
      </c>
      <c r="K117" s="43">
        <f>IF(_calc!$E$119="","",IF(LEN(INDEX('Documents'!$M$4:$M$503,_calc!$E$119))=0,"",INDEX('Documents'!$M$4:$M$503,_calc!$E$119)))</f>
        <v/>
      </c>
    </row>
    <row r="118">
      <c r="A118" s="43">
        <f>IF(_calc!$E$120="","",IF(LEN(INDEX('Documents'!$C$4:$C$503,_calc!$E$120))=0,"",INDEX('Documents'!$C$4:$C$503,_calc!$E$120))&amp;" – "&amp;IF(LEN(INDEX('Documents'!$A$4:$A$503,_calc!$E$120))=0,"",INDEX('Documents'!$A$4:$A$503,_calc!$E$120)))</f>
        <v/>
      </c>
      <c r="B118" s="43">
        <f>IF(_calc!$E$120="","",IF(ISNUMBER(INDEX('Documents'!$F$4:$F$503,_calc!$E$120)),TEXT(INDEX('Documents'!$F$4:$F$503,_calc!$E$120),"yyyy-mm-dd"),""))</f>
        <v/>
      </c>
      <c r="C118" s="43">
        <f>IF(_calc!$E$120="","","Contractor document")</f>
        <v/>
      </c>
      <c r="D118" s="43">
        <f>IF(_calc!$E$120="","",IF(ISNUMBER(INDEX('Documents'!$E$4:$E$503,_calc!$E$120)),TEXT(INDEX('Documents'!$E$4:$E$503,_calc!$E$120),"yyyy-mm-dd"),""))</f>
        <v/>
      </c>
      <c r="E118" s="43">
        <f>IF(_calc!$E$120="","",IF(LEN(INDEX('Documents'!$N$4:$N$503,_calc!$E$120))=0,"",INDEX('Documents'!$N$4:$N$503,_calc!$E$120)))</f>
        <v/>
      </c>
      <c r="F118" s="43">
        <f>IF(_calc!$E$120="","",TRIM(IF(LEN(IF(LEN(INDEX('Documents'!$B$4:$B$503,_calc!$E$120))=0,"",INDEX('Documents'!$B$4:$B$503,_calc!$E$120)))=0,"","Trade: "&amp;IF(LEN(INDEX('Documents'!$B$4:$B$503,_calc!$E$120))=0,"",INDEX('Documents'!$B$4:$B$503,_calc!$E$120))&amp;". ")&amp;IF(LEN(IF(LEN(INDEX('Documents'!$D$4:$D$503,_calc!$E$120))=0,"",INDEX('Documents'!$D$4:$D$503,_calc!$E$120)))=0,"","Ref: "&amp;IF(LEN(INDEX('Documents'!$D$4:$D$503,_calc!$E$120))=0,"",INDEX('Documents'!$D$4:$D$503,_calc!$E$120))&amp;". ")&amp;IF(LEN(IF(LEN(INDEX('Documents'!$K$4:$K$503,_calc!$E$120))=0,"",INDEX('Documents'!$K$4:$K$503,_calc!$E$120)))=0,"","On file: "&amp;IF(LEN(INDEX('Documents'!$K$4:$K$503,_calc!$E$120))=0,"",INDEX('Documents'!$K$4:$K$503,_calc!$E$120))&amp;". ")&amp;IF(LEN(IF(LEN(INDEX('Documents'!$L$4:$L$503,_calc!$E$120))=0,"",INDEX('Documents'!$L$4:$L$503,_calc!$E$120)))=0,"","Contractor email: "&amp;IF(LEN(INDEX('Documents'!$L$4:$L$503,_calc!$E$120))=0,"",INDEX('Documents'!$L$4:$L$503,_calc!$E$120))&amp;". ")&amp;IF(LEN(IF(LEN(INDEX('Documents'!$P$4:$P$503,_calc!$E$120))=0,"",INDEX('Documents'!$P$4:$P$503,_calc!$E$120)))=0,"",IF(LEN(INDEX('Documents'!$P$4:$P$503,_calc!$E$120))=0,"",INDEX('Documents'!$P$4:$P$503,_calc!$E$120)))))</f>
        <v/>
      </c>
      <c r="G118" s="43">
        <f>IF(_calc!$E$120="","",IF(LEN(INDEX('Documents'!$O$4:$O$503,_calc!$E$120))=0,"",INDEX('Documents'!$O$4:$O$503,_calc!$E$120)))</f>
        <v/>
      </c>
      <c r="K118" s="43">
        <f>IF(_calc!$E$120="","",IF(LEN(INDEX('Documents'!$M$4:$M$503,_calc!$E$120))=0,"",INDEX('Documents'!$M$4:$M$503,_calc!$E$120)))</f>
        <v/>
      </c>
    </row>
    <row r="119">
      <c r="A119" s="43">
        <f>IF(_calc!$E$121="","",IF(LEN(INDEX('Documents'!$C$4:$C$503,_calc!$E$121))=0,"",INDEX('Documents'!$C$4:$C$503,_calc!$E$121))&amp;" – "&amp;IF(LEN(INDEX('Documents'!$A$4:$A$503,_calc!$E$121))=0,"",INDEX('Documents'!$A$4:$A$503,_calc!$E$121)))</f>
        <v/>
      </c>
      <c r="B119" s="43">
        <f>IF(_calc!$E$121="","",IF(ISNUMBER(INDEX('Documents'!$F$4:$F$503,_calc!$E$121)),TEXT(INDEX('Documents'!$F$4:$F$503,_calc!$E$121),"yyyy-mm-dd"),""))</f>
        <v/>
      </c>
      <c r="C119" s="43">
        <f>IF(_calc!$E$121="","","Contractor document")</f>
        <v/>
      </c>
      <c r="D119" s="43">
        <f>IF(_calc!$E$121="","",IF(ISNUMBER(INDEX('Documents'!$E$4:$E$503,_calc!$E$121)),TEXT(INDEX('Documents'!$E$4:$E$503,_calc!$E$121),"yyyy-mm-dd"),""))</f>
        <v/>
      </c>
      <c r="E119" s="43">
        <f>IF(_calc!$E$121="","",IF(LEN(INDEX('Documents'!$N$4:$N$503,_calc!$E$121))=0,"",INDEX('Documents'!$N$4:$N$503,_calc!$E$121)))</f>
        <v/>
      </c>
      <c r="F119" s="43">
        <f>IF(_calc!$E$121="","",TRIM(IF(LEN(IF(LEN(INDEX('Documents'!$B$4:$B$503,_calc!$E$121))=0,"",INDEX('Documents'!$B$4:$B$503,_calc!$E$121)))=0,"","Trade: "&amp;IF(LEN(INDEX('Documents'!$B$4:$B$503,_calc!$E$121))=0,"",INDEX('Documents'!$B$4:$B$503,_calc!$E$121))&amp;". ")&amp;IF(LEN(IF(LEN(INDEX('Documents'!$D$4:$D$503,_calc!$E$121))=0,"",INDEX('Documents'!$D$4:$D$503,_calc!$E$121)))=0,"","Ref: "&amp;IF(LEN(INDEX('Documents'!$D$4:$D$503,_calc!$E$121))=0,"",INDEX('Documents'!$D$4:$D$503,_calc!$E$121))&amp;". ")&amp;IF(LEN(IF(LEN(INDEX('Documents'!$K$4:$K$503,_calc!$E$121))=0,"",INDEX('Documents'!$K$4:$K$503,_calc!$E$121)))=0,"","On file: "&amp;IF(LEN(INDEX('Documents'!$K$4:$K$503,_calc!$E$121))=0,"",INDEX('Documents'!$K$4:$K$503,_calc!$E$121))&amp;". ")&amp;IF(LEN(IF(LEN(INDEX('Documents'!$L$4:$L$503,_calc!$E$121))=0,"",INDEX('Documents'!$L$4:$L$503,_calc!$E$121)))=0,"","Contractor email: "&amp;IF(LEN(INDEX('Documents'!$L$4:$L$503,_calc!$E$121))=0,"",INDEX('Documents'!$L$4:$L$503,_calc!$E$121))&amp;". ")&amp;IF(LEN(IF(LEN(INDEX('Documents'!$P$4:$P$503,_calc!$E$121))=0,"",INDEX('Documents'!$P$4:$P$503,_calc!$E$121)))=0,"",IF(LEN(INDEX('Documents'!$P$4:$P$503,_calc!$E$121))=0,"",INDEX('Documents'!$P$4:$P$503,_calc!$E$121)))))</f>
        <v/>
      </c>
      <c r="G119" s="43">
        <f>IF(_calc!$E$121="","",IF(LEN(INDEX('Documents'!$O$4:$O$503,_calc!$E$121))=0,"",INDEX('Documents'!$O$4:$O$503,_calc!$E$121)))</f>
        <v/>
      </c>
      <c r="K119" s="43">
        <f>IF(_calc!$E$121="","",IF(LEN(INDEX('Documents'!$M$4:$M$503,_calc!$E$121))=0,"",INDEX('Documents'!$M$4:$M$503,_calc!$E$121)))</f>
        <v/>
      </c>
    </row>
    <row r="120">
      <c r="A120" s="43">
        <f>IF(_calc!$E$122="","",IF(LEN(INDEX('Documents'!$C$4:$C$503,_calc!$E$122))=0,"",INDEX('Documents'!$C$4:$C$503,_calc!$E$122))&amp;" – "&amp;IF(LEN(INDEX('Documents'!$A$4:$A$503,_calc!$E$122))=0,"",INDEX('Documents'!$A$4:$A$503,_calc!$E$122)))</f>
        <v/>
      </c>
      <c r="B120" s="43">
        <f>IF(_calc!$E$122="","",IF(ISNUMBER(INDEX('Documents'!$F$4:$F$503,_calc!$E$122)),TEXT(INDEX('Documents'!$F$4:$F$503,_calc!$E$122),"yyyy-mm-dd"),""))</f>
        <v/>
      </c>
      <c r="C120" s="43">
        <f>IF(_calc!$E$122="","","Contractor document")</f>
        <v/>
      </c>
      <c r="D120" s="43">
        <f>IF(_calc!$E$122="","",IF(ISNUMBER(INDEX('Documents'!$E$4:$E$503,_calc!$E$122)),TEXT(INDEX('Documents'!$E$4:$E$503,_calc!$E$122),"yyyy-mm-dd"),""))</f>
        <v/>
      </c>
      <c r="E120" s="43">
        <f>IF(_calc!$E$122="","",IF(LEN(INDEX('Documents'!$N$4:$N$503,_calc!$E$122))=0,"",INDEX('Documents'!$N$4:$N$503,_calc!$E$122)))</f>
        <v/>
      </c>
      <c r="F120" s="43">
        <f>IF(_calc!$E$122="","",TRIM(IF(LEN(IF(LEN(INDEX('Documents'!$B$4:$B$503,_calc!$E$122))=0,"",INDEX('Documents'!$B$4:$B$503,_calc!$E$122)))=0,"","Trade: "&amp;IF(LEN(INDEX('Documents'!$B$4:$B$503,_calc!$E$122))=0,"",INDEX('Documents'!$B$4:$B$503,_calc!$E$122))&amp;". ")&amp;IF(LEN(IF(LEN(INDEX('Documents'!$D$4:$D$503,_calc!$E$122))=0,"",INDEX('Documents'!$D$4:$D$503,_calc!$E$122)))=0,"","Ref: "&amp;IF(LEN(INDEX('Documents'!$D$4:$D$503,_calc!$E$122))=0,"",INDEX('Documents'!$D$4:$D$503,_calc!$E$122))&amp;". ")&amp;IF(LEN(IF(LEN(INDEX('Documents'!$K$4:$K$503,_calc!$E$122))=0,"",INDEX('Documents'!$K$4:$K$503,_calc!$E$122)))=0,"","On file: "&amp;IF(LEN(INDEX('Documents'!$K$4:$K$503,_calc!$E$122))=0,"",INDEX('Documents'!$K$4:$K$503,_calc!$E$122))&amp;". ")&amp;IF(LEN(IF(LEN(INDEX('Documents'!$L$4:$L$503,_calc!$E$122))=0,"",INDEX('Documents'!$L$4:$L$503,_calc!$E$122)))=0,"","Contractor email: "&amp;IF(LEN(INDEX('Documents'!$L$4:$L$503,_calc!$E$122))=0,"",INDEX('Documents'!$L$4:$L$503,_calc!$E$122))&amp;". ")&amp;IF(LEN(IF(LEN(INDEX('Documents'!$P$4:$P$503,_calc!$E$122))=0,"",INDEX('Documents'!$P$4:$P$503,_calc!$E$122)))=0,"",IF(LEN(INDEX('Documents'!$P$4:$P$503,_calc!$E$122))=0,"",INDEX('Documents'!$P$4:$P$503,_calc!$E$122)))))</f>
        <v/>
      </c>
      <c r="G120" s="43">
        <f>IF(_calc!$E$122="","",IF(LEN(INDEX('Documents'!$O$4:$O$503,_calc!$E$122))=0,"",INDEX('Documents'!$O$4:$O$503,_calc!$E$122)))</f>
        <v/>
      </c>
      <c r="K120" s="43">
        <f>IF(_calc!$E$122="","",IF(LEN(INDEX('Documents'!$M$4:$M$503,_calc!$E$122))=0,"",INDEX('Documents'!$M$4:$M$503,_calc!$E$122)))</f>
        <v/>
      </c>
    </row>
    <row r="121">
      <c r="A121" s="43">
        <f>IF(_calc!$E$123="","",IF(LEN(INDEX('Documents'!$C$4:$C$503,_calc!$E$123))=0,"",INDEX('Documents'!$C$4:$C$503,_calc!$E$123))&amp;" – "&amp;IF(LEN(INDEX('Documents'!$A$4:$A$503,_calc!$E$123))=0,"",INDEX('Documents'!$A$4:$A$503,_calc!$E$123)))</f>
        <v/>
      </c>
      <c r="B121" s="43">
        <f>IF(_calc!$E$123="","",IF(ISNUMBER(INDEX('Documents'!$F$4:$F$503,_calc!$E$123)),TEXT(INDEX('Documents'!$F$4:$F$503,_calc!$E$123),"yyyy-mm-dd"),""))</f>
        <v/>
      </c>
      <c r="C121" s="43">
        <f>IF(_calc!$E$123="","","Contractor document")</f>
        <v/>
      </c>
      <c r="D121" s="43">
        <f>IF(_calc!$E$123="","",IF(ISNUMBER(INDEX('Documents'!$E$4:$E$503,_calc!$E$123)),TEXT(INDEX('Documents'!$E$4:$E$503,_calc!$E$123),"yyyy-mm-dd"),""))</f>
        <v/>
      </c>
      <c r="E121" s="43">
        <f>IF(_calc!$E$123="","",IF(LEN(INDEX('Documents'!$N$4:$N$503,_calc!$E$123))=0,"",INDEX('Documents'!$N$4:$N$503,_calc!$E$123)))</f>
        <v/>
      </c>
      <c r="F121" s="43">
        <f>IF(_calc!$E$123="","",TRIM(IF(LEN(IF(LEN(INDEX('Documents'!$B$4:$B$503,_calc!$E$123))=0,"",INDEX('Documents'!$B$4:$B$503,_calc!$E$123)))=0,"","Trade: "&amp;IF(LEN(INDEX('Documents'!$B$4:$B$503,_calc!$E$123))=0,"",INDEX('Documents'!$B$4:$B$503,_calc!$E$123))&amp;". ")&amp;IF(LEN(IF(LEN(INDEX('Documents'!$D$4:$D$503,_calc!$E$123))=0,"",INDEX('Documents'!$D$4:$D$503,_calc!$E$123)))=0,"","Ref: "&amp;IF(LEN(INDEX('Documents'!$D$4:$D$503,_calc!$E$123))=0,"",INDEX('Documents'!$D$4:$D$503,_calc!$E$123))&amp;". ")&amp;IF(LEN(IF(LEN(INDEX('Documents'!$K$4:$K$503,_calc!$E$123))=0,"",INDEX('Documents'!$K$4:$K$503,_calc!$E$123)))=0,"","On file: "&amp;IF(LEN(INDEX('Documents'!$K$4:$K$503,_calc!$E$123))=0,"",INDEX('Documents'!$K$4:$K$503,_calc!$E$123))&amp;". ")&amp;IF(LEN(IF(LEN(INDEX('Documents'!$L$4:$L$503,_calc!$E$123))=0,"",INDEX('Documents'!$L$4:$L$503,_calc!$E$123)))=0,"","Contractor email: "&amp;IF(LEN(INDEX('Documents'!$L$4:$L$503,_calc!$E$123))=0,"",INDEX('Documents'!$L$4:$L$503,_calc!$E$123))&amp;". ")&amp;IF(LEN(IF(LEN(INDEX('Documents'!$P$4:$P$503,_calc!$E$123))=0,"",INDEX('Documents'!$P$4:$P$503,_calc!$E$123)))=0,"",IF(LEN(INDEX('Documents'!$P$4:$P$503,_calc!$E$123))=0,"",INDEX('Documents'!$P$4:$P$503,_calc!$E$123)))))</f>
        <v/>
      </c>
      <c r="G121" s="43">
        <f>IF(_calc!$E$123="","",IF(LEN(INDEX('Documents'!$O$4:$O$503,_calc!$E$123))=0,"",INDEX('Documents'!$O$4:$O$503,_calc!$E$123)))</f>
        <v/>
      </c>
      <c r="K121" s="43">
        <f>IF(_calc!$E$123="","",IF(LEN(INDEX('Documents'!$M$4:$M$503,_calc!$E$123))=0,"",INDEX('Documents'!$M$4:$M$503,_calc!$E$123)))</f>
        <v/>
      </c>
    </row>
    <row r="122">
      <c r="A122" s="43">
        <f>IF(_calc!$E$124="","",IF(LEN(INDEX('Documents'!$C$4:$C$503,_calc!$E$124))=0,"",INDEX('Documents'!$C$4:$C$503,_calc!$E$124))&amp;" – "&amp;IF(LEN(INDEX('Documents'!$A$4:$A$503,_calc!$E$124))=0,"",INDEX('Documents'!$A$4:$A$503,_calc!$E$124)))</f>
        <v/>
      </c>
      <c r="B122" s="43">
        <f>IF(_calc!$E$124="","",IF(ISNUMBER(INDEX('Documents'!$F$4:$F$503,_calc!$E$124)),TEXT(INDEX('Documents'!$F$4:$F$503,_calc!$E$124),"yyyy-mm-dd"),""))</f>
        <v/>
      </c>
      <c r="C122" s="43">
        <f>IF(_calc!$E$124="","","Contractor document")</f>
        <v/>
      </c>
      <c r="D122" s="43">
        <f>IF(_calc!$E$124="","",IF(ISNUMBER(INDEX('Documents'!$E$4:$E$503,_calc!$E$124)),TEXT(INDEX('Documents'!$E$4:$E$503,_calc!$E$124),"yyyy-mm-dd"),""))</f>
        <v/>
      </c>
      <c r="E122" s="43">
        <f>IF(_calc!$E$124="","",IF(LEN(INDEX('Documents'!$N$4:$N$503,_calc!$E$124))=0,"",INDEX('Documents'!$N$4:$N$503,_calc!$E$124)))</f>
        <v/>
      </c>
      <c r="F122" s="43">
        <f>IF(_calc!$E$124="","",TRIM(IF(LEN(IF(LEN(INDEX('Documents'!$B$4:$B$503,_calc!$E$124))=0,"",INDEX('Documents'!$B$4:$B$503,_calc!$E$124)))=0,"","Trade: "&amp;IF(LEN(INDEX('Documents'!$B$4:$B$503,_calc!$E$124))=0,"",INDEX('Documents'!$B$4:$B$503,_calc!$E$124))&amp;". ")&amp;IF(LEN(IF(LEN(INDEX('Documents'!$D$4:$D$503,_calc!$E$124))=0,"",INDEX('Documents'!$D$4:$D$503,_calc!$E$124)))=0,"","Ref: "&amp;IF(LEN(INDEX('Documents'!$D$4:$D$503,_calc!$E$124))=0,"",INDEX('Documents'!$D$4:$D$503,_calc!$E$124))&amp;". ")&amp;IF(LEN(IF(LEN(INDEX('Documents'!$K$4:$K$503,_calc!$E$124))=0,"",INDEX('Documents'!$K$4:$K$503,_calc!$E$124)))=0,"","On file: "&amp;IF(LEN(INDEX('Documents'!$K$4:$K$503,_calc!$E$124))=0,"",INDEX('Documents'!$K$4:$K$503,_calc!$E$124))&amp;". ")&amp;IF(LEN(IF(LEN(INDEX('Documents'!$L$4:$L$503,_calc!$E$124))=0,"",INDEX('Documents'!$L$4:$L$503,_calc!$E$124)))=0,"","Contractor email: "&amp;IF(LEN(INDEX('Documents'!$L$4:$L$503,_calc!$E$124))=0,"",INDEX('Documents'!$L$4:$L$503,_calc!$E$124))&amp;". ")&amp;IF(LEN(IF(LEN(INDEX('Documents'!$P$4:$P$503,_calc!$E$124))=0,"",INDEX('Documents'!$P$4:$P$503,_calc!$E$124)))=0,"",IF(LEN(INDEX('Documents'!$P$4:$P$503,_calc!$E$124))=0,"",INDEX('Documents'!$P$4:$P$503,_calc!$E$124)))))</f>
        <v/>
      </c>
      <c r="G122" s="43">
        <f>IF(_calc!$E$124="","",IF(LEN(INDEX('Documents'!$O$4:$O$503,_calc!$E$124))=0,"",INDEX('Documents'!$O$4:$O$503,_calc!$E$124)))</f>
        <v/>
      </c>
      <c r="K122" s="43">
        <f>IF(_calc!$E$124="","",IF(LEN(INDEX('Documents'!$M$4:$M$503,_calc!$E$124))=0,"",INDEX('Documents'!$M$4:$M$503,_calc!$E$124)))</f>
        <v/>
      </c>
    </row>
    <row r="123">
      <c r="A123" s="43">
        <f>IF(_calc!$E$125="","",IF(LEN(INDEX('Documents'!$C$4:$C$503,_calc!$E$125))=0,"",INDEX('Documents'!$C$4:$C$503,_calc!$E$125))&amp;" – "&amp;IF(LEN(INDEX('Documents'!$A$4:$A$503,_calc!$E$125))=0,"",INDEX('Documents'!$A$4:$A$503,_calc!$E$125)))</f>
        <v/>
      </c>
      <c r="B123" s="43">
        <f>IF(_calc!$E$125="","",IF(ISNUMBER(INDEX('Documents'!$F$4:$F$503,_calc!$E$125)),TEXT(INDEX('Documents'!$F$4:$F$503,_calc!$E$125),"yyyy-mm-dd"),""))</f>
        <v/>
      </c>
      <c r="C123" s="43">
        <f>IF(_calc!$E$125="","","Contractor document")</f>
        <v/>
      </c>
      <c r="D123" s="43">
        <f>IF(_calc!$E$125="","",IF(ISNUMBER(INDEX('Documents'!$E$4:$E$503,_calc!$E$125)),TEXT(INDEX('Documents'!$E$4:$E$503,_calc!$E$125),"yyyy-mm-dd"),""))</f>
        <v/>
      </c>
      <c r="E123" s="43">
        <f>IF(_calc!$E$125="","",IF(LEN(INDEX('Documents'!$N$4:$N$503,_calc!$E$125))=0,"",INDEX('Documents'!$N$4:$N$503,_calc!$E$125)))</f>
        <v/>
      </c>
      <c r="F123" s="43">
        <f>IF(_calc!$E$125="","",TRIM(IF(LEN(IF(LEN(INDEX('Documents'!$B$4:$B$503,_calc!$E$125))=0,"",INDEX('Documents'!$B$4:$B$503,_calc!$E$125)))=0,"","Trade: "&amp;IF(LEN(INDEX('Documents'!$B$4:$B$503,_calc!$E$125))=0,"",INDEX('Documents'!$B$4:$B$503,_calc!$E$125))&amp;". ")&amp;IF(LEN(IF(LEN(INDEX('Documents'!$D$4:$D$503,_calc!$E$125))=0,"",INDEX('Documents'!$D$4:$D$503,_calc!$E$125)))=0,"","Ref: "&amp;IF(LEN(INDEX('Documents'!$D$4:$D$503,_calc!$E$125))=0,"",INDEX('Documents'!$D$4:$D$503,_calc!$E$125))&amp;". ")&amp;IF(LEN(IF(LEN(INDEX('Documents'!$K$4:$K$503,_calc!$E$125))=0,"",INDEX('Documents'!$K$4:$K$503,_calc!$E$125)))=0,"","On file: "&amp;IF(LEN(INDEX('Documents'!$K$4:$K$503,_calc!$E$125))=0,"",INDEX('Documents'!$K$4:$K$503,_calc!$E$125))&amp;". ")&amp;IF(LEN(IF(LEN(INDEX('Documents'!$L$4:$L$503,_calc!$E$125))=0,"",INDEX('Documents'!$L$4:$L$503,_calc!$E$125)))=0,"","Contractor email: "&amp;IF(LEN(INDEX('Documents'!$L$4:$L$503,_calc!$E$125))=0,"",INDEX('Documents'!$L$4:$L$503,_calc!$E$125))&amp;". ")&amp;IF(LEN(IF(LEN(INDEX('Documents'!$P$4:$P$503,_calc!$E$125))=0,"",INDEX('Documents'!$P$4:$P$503,_calc!$E$125)))=0,"",IF(LEN(INDEX('Documents'!$P$4:$P$503,_calc!$E$125))=0,"",INDEX('Documents'!$P$4:$P$503,_calc!$E$125)))))</f>
        <v/>
      </c>
      <c r="G123" s="43">
        <f>IF(_calc!$E$125="","",IF(LEN(INDEX('Documents'!$O$4:$O$503,_calc!$E$125))=0,"",INDEX('Documents'!$O$4:$O$503,_calc!$E$125)))</f>
        <v/>
      </c>
      <c r="K123" s="43">
        <f>IF(_calc!$E$125="","",IF(LEN(INDEX('Documents'!$M$4:$M$503,_calc!$E$125))=0,"",INDEX('Documents'!$M$4:$M$503,_calc!$E$125)))</f>
        <v/>
      </c>
    </row>
    <row r="124">
      <c r="A124" s="43">
        <f>IF(_calc!$E$126="","",IF(LEN(INDEX('Documents'!$C$4:$C$503,_calc!$E$126))=0,"",INDEX('Documents'!$C$4:$C$503,_calc!$E$126))&amp;" – "&amp;IF(LEN(INDEX('Documents'!$A$4:$A$503,_calc!$E$126))=0,"",INDEX('Documents'!$A$4:$A$503,_calc!$E$126)))</f>
        <v/>
      </c>
      <c r="B124" s="43">
        <f>IF(_calc!$E$126="","",IF(ISNUMBER(INDEX('Documents'!$F$4:$F$503,_calc!$E$126)),TEXT(INDEX('Documents'!$F$4:$F$503,_calc!$E$126),"yyyy-mm-dd"),""))</f>
        <v/>
      </c>
      <c r="C124" s="43">
        <f>IF(_calc!$E$126="","","Contractor document")</f>
        <v/>
      </c>
      <c r="D124" s="43">
        <f>IF(_calc!$E$126="","",IF(ISNUMBER(INDEX('Documents'!$E$4:$E$503,_calc!$E$126)),TEXT(INDEX('Documents'!$E$4:$E$503,_calc!$E$126),"yyyy-mm-dd"),""))</f>
        <v/>
      </c>
      <c r="E124" s="43">
        <f>IF(_calc!$E$126="","",IF(LEN(INDEX('Documents'!$N$4:$N$503,_calc!$E$126))=0,"",INDEX('Documents'!$N$4:$N$503,_calc!$E$126)))</f>
        <v/>
      </c>
      <c r="F124" s="43">
        <f>IF(_calc!$E$126="","",TRIM(IF(LEN(IF(LEN(INDEX('Documents'!$B$4:$B$503,_calc!$E$126))=0,"",INDEX('Documents'!$B$4:$B$503,_calc!$E$126)))=0,"","Trade: "&amp;IF(LEN(INDEX('Documents'!$B$4:$B$503,_calc!$E$126))=0,"",INDEX('Documents'!$B$4:$B$503,_calc!$E$126))&amp;". ")&amp;IF(LEN(IF(LEN(INDEX('Documents'!$D$4:$D$503,_calc!$E$126))=0,"",INDEX('Documents'!$D$4:$D$503,_calc!$E$126)))=0,"","Ref: "&amp;IF(LEN(INDEX('Documents'!$D$4:$D$503,_calc!$E$126))=0,"",INDEX('Documents'!$D$4:$D$503,_calc!$E$126))&amp;". ")&amp;IF(LEN(IF(LEN(INDEX('Documents'!$K$4:$K$503,_calc!$E$126))=0,"",INDEX('Documents'!$K$4:$K$503,_calc!$E$126)))=0,"","On file: "&amp;IF(LEN(INDEX('Documents'!$K$4:$K$503,_calc!$E$126))=0,"",INDEX('Documents'!$K$4:$K$503,_calc!$E$126))&amp;". ")&amp;IF(LEN(IF(LEN(INDEX('Documents'!$L$4:$L$503,_calc!$E$126))=0,"",INDEX('Documents'!$L$4:$L$503,_calc!$E$126)))=0,"","Contractor email: "&amp;IF(LEN(INDEX('Documents'!$L$4:$L$503,_calc!$E$126))=0,"",INDEX('Documents'!$L$4:$L$503,_calc!$E$126))&amp;". ")&amp;IF(LEN(IF(LEN(INDEX('Documents'!$P$4:$P$503,_calc!$E$126))=0,"",INDEX('Documents'!$P$4:$P$503,_calc!$E$126)))=0,"",IF(LEN(INDEX('Documents'!$P$4:$P$503,_calc!$E$126))=0,"",INDEX('Documents'!$P$4:$P$503,_calc!$E$126)))))</f>
        <v/>
      </c>
      <c r="G124" s="43">
        <f>IF(_calc!$E$126="","",IF(LEN(INDEX('Documents'!$O$4:$O$503,_calc!$E$126))=0,"",INDEX('Documents'!$O$4:$O$503,_calc!$E$126)))</f>
        <v/>
      </c>
      <c r="K124" s="43">
        <f>IF(_calc!$E$126="","",IF(LEN(INDEX('Documents'!$M$4:$M$503,_calc!$E$126))=0,"",INDEX('Documents'!$M$4:$M$503,_calc!$E$126)))</f>
        <v/>
      </c>
    </row>
    <row r="125">
      <c r="A125" s="43">
        <f>IF(_calc!$E$127="","",IF(LEN(INDEX('Documents'!$C$4:$C$503,_calc!$E$127))=0,"",INDEX('Documents'!$C$4:$C$503,_calc!$E$127))&amp;" – "&amp;IF(LEN(INDEX('Documents'!$A$4:$A$503,_calc!$E$127))=0,"",INDEX('Documents'!$A$4:$A$503,_calc!$E$127)))</f>
        <v/>
      </c>
      <c r="B125" s="43">
        <f>IF(_calc!$E$127="","",IF(ISNUMBER(INDEX('Documents'!$F$4:$F$503,_calc!$E$127)),TEXT(INDEX('Documents'!$F$4:$F$503,_calc!$E$127),"yyyy-mm-dd"),""))</f>
        <v/>
      </c>
      <c r="C125" s="43">
        <f>IF(_calc!$E$127="","","Contractor document")</f>
        <v/>
      </c>
      <c r="D125" s="43">
        <f>IF(_calc!$E$127="","",IF(ISNUMBER(INDEX('Documents'!$E$4:$E$503,_calc!$E$127)),TEXT(INDEX('Documents'!$E$4:$E$503,_calc!$E$127),"yyyy-mm-dd"),""))</f>
        <v/>
      </c>
      <c r="E125" s="43">
        <f>IF(_calc!$E$127="","",IF(LEN(INDEX('Documents'!$N$4:$N$503,_calc!$E$127))=0,"",INDEX('Documents'!$N$4:$N$503,_calc!$E$127)))</f>
        <v/>
      </c>
      <c r="F125" s="43">
        <f>IF(_calc!$E$127="","",TRIM(IF(LEN(IF(LEN(INDEX('Documents'!$B$4:$B$503,_calc!$E$127))=0,"",INDEX('Documents'!$B$4:$B$503,_calc!$E$127)))=0,"","Trade: "&amp;IF(LEN(INDEX('Documents'!$B$4:$B$503,_calc!$E$127))=0,"",INDEX('Documents'!$B$4:$B$503,_calc!$E$127))&amp;". ")&amp;IF(LEN(IF(LEN(INDEX('Documents'!$D$4:$D$503,_calc!$E$127))=0,"",INDEX('Documents'!$D$4:$D$503,_calc!$E$127)))=0,"","Ref: "&amp;IF(LEN(INDEX('Documents'!$D$4:$D$503,_calc!$E$127))=0,"",INDEX('Documents'!$D$4:$D$503,_calc!$E$127))&amp;". ")&amp;IF(LEN(IF(LEN(INDEX('Documents'!$K$4:$K$503,_calc!$E$127))=0,"",INDEX('Documents'!$K$4:$K$503,_calc!$E$127)))=0,"","On file: "&amp;IF(LEN(INDEX('Documents'!$K$4:$K$503,_calc!$E$127))=0,"",INDEX('Documents'!$K$4:$K$503,_calc!$E$127))&amp;". ")&amp;IF(LEN(IF(LEN(INDEX('Documents'!$L$4:$L$503,_calc!$E$127))=0,"",INDEX('Documents'!$L$4:$L$503,_calc!$E$127)))=0,"","Contractor email: "&amp;IF(LEN(INDEX('Documents'!$L$4:$L$503,_calc!$E$127))=0,"",INDEX('Documents'!$L$4:$L$503,_calc!$E$127))&amp;". ")&amp;IF(LEN(IF(LEN(INDEX('Documents'!$P$4:$P$503,_calc!$E$127))=0,"",INDEX('Documents'!$P$4:$P$503,_calc!$E$127)))=0,"",IF(LEN(INDEX('Documents'!$P$4:$P$503,_calc!$E$127))=0,"",INDEX('Documents'!$P$4:$P$503,_calc!$E$127)))))</f>
        <v/>
      </c>
      <c r="G125" s="43">
        <f>IF(_calc!$E$127="","",IF(LEN(INDEX('Documents'!$O$4:$O$503,_calc!$E$127))=0,"",INDEX('Documents'!$O$4:$O$503,_calc!$E$127)))</f>
        <v/>
      </c>
      <c r="K125" s="43">
        <f>IF(_calc!$E$127="","",IF(LEN(INDEX('Documents'!$M$4:$M$503,_calc!$E$127))=0,"",INDEX('Documents'!$M$4:$M$503,_calc!$E$127)))</f>
        <v/>
      </c>
    </row>
    <row r="126">
      <c r="A126" s="43">
        <f>IF(_calc!$E$128="","",IF(LEN(INDEX('Documents'!$C$4:$C$503,_calc!$E$128))=0,"",INDEX('Documents'!$C$4:$C$503,_calc!$E$128))&amp;" – "&amp;IF(LEN(INDEX('Documents'!$A$4:$A$503,_calc!$E$128))=0,"",INDEX('Documents'!$A$4:$A$503,_calc!$E$128)))</f>
        <v/>
      </c>
      <c r="B126" s="43">
        <f>IF(_calc!$E$128="","",IF(ISNUMBER(INDEX('Documents'!$F$4:$F$503,_calc!$E$128)),TEXT(INDEX('Documents'!$F$4:$F$503,_calc!$E$128),"yyyy-mm-dd"),""))</f>
        <v/>
      </c>
      <c r="C126" s="43">
        <f>IF(_calc!$E$128="","","Contractor document")</f>
        <v/>
      </c>
      <c r="D126" s="43">
        <f>IF(_calc!$E$128="","",IF(ISNUMBER(INDEX('Documents'!$E$4:$E$503,_calc!$E$128)),TEXT(INDEX('Documents'!$E$4:$E$503,_calc!$E$128),"yyyy-mm-dd"),""))</f>
        <v/>
      </c>
      <c r="E126" s="43">
        <f>IF(_calc!$E$128="","",IF(LEN(INDEX('Documents'!$N$4:$N$503,_calc!$E$128))=0,"",INDEX('Documents'!$N$4:$N$503,_calc!$E$128)))</f>
        <v/>
      </c>
      <c r="F126" s="43">
        <f>IF(_calc!$E$128="","",TRIM(IF(LEN(IF(LEN(INDEX('Documents'!$B$4:$B$503,_calc!$E$128))=0,"",INDEX('Documents'!$B$4:$B$503,_calc!$E$128)))=0,"","Trade: "&amp;IF(LEN(INDEX('Documents'!$B$4:$B$503,_calc!$E$128))=0,"",INDEX('Documents'!$B$4:$B$503,_calc!$E$128))&amp;". ")&amp;IF(LEN(IF(LEN(INDEX('Documents'!$D$4:$D$503,_calc!$E$128))=0,"",INDEX('Documents'!$D$4:$D$503,_calc!$E$128)))=0,"","Ref: "&amp;IF(LEN(INDEX('Documents'!$D$4:$D$503,_calc!$E$128))=0,"",INDEX('Documents'!$D$4:$D$503,_calc!$E$128))&amp;". ")&amp;IF(LEN(IF(LEN(INDEX('Documents'!$K$4:$K$503,_calc!$E$128))=0,"",INDEX('Documents'!$K$4:$K$503,_calc!$E$128)))=0,"","On file: "&amp;IF(LEN(INDEX('Documents'!$K$4:$K$503,_calc!$E$128))=0,"",INDEX('Documents'!$K$4:$K$503,_calc!$E$128))&amp;". ")&amp;IF(LEN(IF(LEN(INDEX('Documents'!$L$4:$L$503,_calc!$E$128))=0,"",INDEX('Documents'!$L$4:$L$503,_calc!$E$128)))=0,"","Contractor email: "&amp;IF(LEN(INDEX('Documents'!$L$4:$L$503,_calc!$E$128))=0,"",INDEX('Documents'!$L$4:$L$503,_calc!$E$128))&amp;". ")&amp;IF(LEN(IF(LEN(INDEX('Documents'!$P$4:$P$503,_calc!$E$128))=0,"",INDEX('Documents'!$P$4:$P$503,_calc!$E$128)))=0,"",IF(LEN(INDEX('Documents'!$P$4:$P$503,_calc!$E$128))=0,"",INDEX('Documents'!$P$4:$P$503,_calc!$E$128)))))</f>
        <v/>
      </c>
      <c r="G126" s="43">
        <f>IF(_calc!$E$128="","",IF(LEN(INDEX('Documents'!$O$4:$O$503,_calc!$E$128))=0,"",INDEX('Documents'!$O$4:$O$503,_calc!$E$128)))</f>
        <v/>
      </c>
      <c r="K126" s="43">
        <f>IF(_calc!$E$128="","",IF(LEN(INDEX('Documents'!$M$4:$M$503,_calc!$E$128))=0,"",INDEX('Documents'!$M$4:$M$503,_calc!$E$128)))</f>
        <v/>
      </c>
    </row>
    <row r="127">
      <c r="A127" s="43">
        <f>IF(_calc!$E$129="","",IF(LEN(INDEX('Documents'!$C$4:$C$503,_calc!$E$129))=0,"",INDEX('Documents'!$C$4:$C$503,_calc!$E$129))&amp;" – "&amp;IF(LEN(INDEX('Documents'!$A$4:$A$503,_calc!$E$129))=0,"",INDEX('Documents'!$A$4:$A$503,_calc!$E$129)))</f>
        <v/>
      </c>
      <c r="B127" s="43">
        <f>IF(_calc!$E$129="","",IF(ISNUMBER(INDEX('Documents'!$F$4:$F$503,_calc!$E$129)),TEXT(INDEX('Documents'!$F$4:$F$503,_calc!$E$129),"yyyy-mm-dd"),""))</f>
        <v/>
      </c>
      <c r="C127" s="43">
        <f>IF(_calc!$E$129="","","Contractor document")</f>
        <v/>
      </c>
      <c r="D127" s="43">
        <f>IF(_calc!$E$129="","",IF(ISNUMBER(INDEX('Documents'!$E$4:$E$503,_calc!$E$129)),TEXT(INDEX('Documents'!$E$4:$E$503,_calc!$E$129),"yyyy-mm-dd"),""))</f>
        <v/>
      </c>
      <c r="E127" s="43">
        <f>IF(_calc!$E$129="","",IF(LEN(INDEX('Documents'!$N$4:$N$503,_calc!$E$129))=0,"",INDEX('Documents'!$N$4:$N$503,_calc!$E$129)))</f>
        <v/>
      </c>
      <c r="F127" s="43">
        <f>IF(_calc!$E$129="","",TRIM(IF(LEN(IF(LEN(INDEX('Documents'!$B$4:$B$503,_calc!$E$129))=0,"",INDEX('Documents'!$B$4:$B$503,_calc!$E$129)))=0,"","Trade: "&amp;IF(LEN(INDEX('Documents'!$B$4:$B$503,_calc!$E$129))=0,"",INDEX('Documents'!$B$4:$B$503,_calc!$E$129))&amp;". ")&amp;IF(LEN(IF(LEN(INDEX('Documents'!$D$4:$D$503,_calc!$E$129))=0,"",INDEX('Documents'!$D$4:$D$503,_calc!$E$129)))=0,"","Ref: "&amp;IF(LEN(INDEX('Documents'!$D$4:$D$503,_calc!$E$129))=0,"",INDEX('Documents'!$D$4:$D$503,_calc!$E$129))&amp;". ")&amp;IF(LEN(IF(LEN(INDEX('Documents'!$K$4:$K$503,_calc!$E$129))=0,"",INDEX('Documents'!$K$4:$K$503,_calc!$E$129)))=0,"","On file: "&amp;IF(LEN(INDEX('Documents'!$K$4:$K$503,_calc!$E$129))=0,"",INDEX('Documents'!$K$4:$K$503,_calc!$E$129))&amp;". ")&amp;IF(LEN(IF(LEN(INDEX('Documents'!$L$4:$L$503,_calc!$E$129))=0,"",INDEX('Documents'!$L$4:$L$503,_calc!$E$129)))=0,"","Contractor email: "&amp;IF(LEN(INDEX('Documents'!$L$4:$L$503,_calc!$E$129))=0,"",INDEX('Documents'!$L$4:$L$503,_calc!$E$129))&amp;". ")&amp;IF(LEN(IF(LEN(INDEX('Documents'!$P$4:$P$503,_calc!$E$129))=0,"",INDEX('Documents'!$P$4:$P$503,_calc!$E$129)))=0,"",IF(LEN(INDEX('Documents'!$P$4:$P$503,_calc!$E$129))=0,"",INDEX('Documents'!$P$4:$P$503,_calc!$E$129)))))</f>
        <v/>
      </c>
      <c r="G127" s="43">
        <f>IF(_calc!$E$129="","",IF(LEN(INDEX('Documents'!$O$4:$O$503,_calc!$E$129))=0,"",INDEX('Documents'!$O$4:$O$503,_calc!$E$129)))</f>
        <v/>
      </c>
      <c r="K127" s="43">
        <f>IF(_calc!$E$129="","",IF(LEN(INDEX('Documents'!$M$4:$M$503,_calc!$E$129))=0,"",INDEX('Documents'!$M$4:$M$503,_calc!$E$129)))</f>
        <v/>
      </c>
    </row>
    <row r="128">
      <c r="A128" s="43">
        <f>IF(_calc!$E$130="","",IF(LEN(INDEX('Documents'!$C$4:$C$503,_calc!$E$130))=0,"",INDEX('Documents'!$C$4:$C$503,_calc!$E$130))&amp;" – "&amp;IF(LEN(INDEX('Documents'!$A$4:$A$503,_calc!$E$130))=0,"",INDEX('Documents'!$A$4:$A$503,_calc!$E$130)))</f>
        <v/>
      </c>
      <c r="B128" s="43">
        <f>IF(_calc!$E$130="","",IF(ISNUMBER(INDEX('Documents'!$F$4:$F$503,_calc!$E$130)),TEXT(INDEX('Documents'!$F$4:$F$503,_calc!$E$130),"yyyy-mm-dd"),""))</f>
        <v/>
      </c>
      <c r="C128" s="43">
        <f>IF(_calc!$E$130="","","Contractor document")</f>
        <v/>
      </c>
      <c r="D128" s="43">
        <f>IF(_calc!$E$130="","",IF(ISNUMBER(INDEX('Documents'!$E$4:$E$503,_calc!$E$130)),TEXT(INDEX('Documents'!$E$4:$E$503,_calc!$E$130),"yyyy-mm-dd"),""))</f>
        <v/>
      </c>
      <c r="E128" s="43">
        <f>IF(_calc!$E$130="","",IF(LEN(INDEX('Documents'!$N$4:$N$503,_calc!$E$130))=0,"",INDEX('Documents'!$N$4:$N$503,_calc!$E$130)))</f>
        <v/>
      </c>
      <c r="F128" s="43">
        <f>IF(_calc!$E$130="","",TRIM(IF(LEN(IF(LEN(INDEX('Documents'!$B$4:$B$503,_calc!$E$130))=0,"",INDEX('Documents'!$B$4:$B$503,_calc!$E$130)))=0,"","Trade: "&amp;IF(LEN(INDEX('Documents'!$B$4:$B$503,_calc!$E$130))=0,"",INDEX('Documents'!$B$4:$B$503,_calc!$E$130))&amp;". ")&amp;IF(LEN(IF(LEN(INDEX('Documents'!$D$4:$D$503,_calc!$E$130))=0,"",INDEX('Documents'!$D$4:$D$503,_calc!$E$130)))=0,"","Ref: "&amp;IF(LEN(INDEX('Documents'!$D$4:$D$503,_calc!$E$130))=0,"",INDEX('Documents'!$D$4:$D$503,_calc!$E$130))&amp;". ")&amp;IF(LEN(IF(LEN(INDEX('Documents'!$K$4:$K$503,_calc!$E$130))=0,"",INDEX('Documents'!$K$4:$K$503,_calc!$E$130)))=0,"","On file: "&amp;IF(LEN(INDEX('Documents'!$K$4:$K$503,_calc!$E$130))=0,"",INDEX('Documents'!$K$4:$K$503,_calc!$E$130))&amp;". ")&amp;IF(LEN(IF(LEN(INDEX('Documents'!$L$4:$L$503,_calc!$E$130))=0,"",INDEX('Documents'!$L$4:$L$503,_calc!$E$130)))=0,"","Contractor email: "&amp;IF(LEN(INDEX('Documents'!$L$4:$L$503,_calc!$E$130))=0,"",INDEX('Documents'!$L$4:$L$503,_calc!$E$130))&amp;". ")&amp;IF(LEN(IF(LEN(INDEX('Documents'!$P$4:$P$503,_calc!$E$130))=0,"",INDEX('Documents'!$P$4:$P$503,_calc!$E$130)))=0,"",IF(LEN(INDEX('Documents'!$P$4:$P$503,_calc!$E$130))=0,"",INDEX('Documents'!$P$4:$P$503,_calc!$E$130)))))</f>
        <v/>
      </c>
      <c r="G128" s="43">
        <f>IF(_calc!$E$130="","",IF(LEN(INDEX('Documents'!$O$4:$O$503,_calc!$E$130))=0,"",INDEX('Documents'!$O$4:$O$503,_calc!$E$130)))</f>
        <v/>
      </c>
      <c r="K128" s="43">
        <f>IF(_calc!$E$130="","",IF(LEN(INDEX('Documents'!$M$4:$M$503,_calc!$E$130))=0,"",INDEX('Documents'!$M$4:$M$503,_calc!$E$130)))</f>
        <v/>
      </c>
    </row>
    <row r="129">
      <c r="A129" s="43">
        <f>IF(_calc!$E$131="","",IF(LEN(INDEX('Documents'!$C$4:$C$503,_calc!$E$131))=0,"",INDEX('Documents'!$C$4:$C$503,_calc!$E$131))&amp;" – "&amp;IF(LEN(INDEX('Documents'!$A$4:$A$503,_calc!$E$131))=0,"",INDEX('Documents'!$A$4:$A$503,_calc!$E$131)))</f>
        <v/>
      </c>
      <c r="B129" s="43">
        <f>IF(_calc!$E$131="","",IF(ISNUMBER(INDEX('Documents'!$F$4:$F$503,_calc!$E$131)),TEXT(INDEX('Documents'!$F$4:$F$503,_calc!$E$131),"yyyy-mm-dd"),""))</f>
        <v/>
      </c>
      <c r="C129" s="43">
        <f>IF(_calc!$E$131="","","Contractor document")</f>
        <v/>
      </c>
      <c r="D129" s="43">
        <f>IF(_calc!$E$131="","",IF(ISNUMBER(INDEX('Documents'!$E$4:$E$503,_calc!$E$131)),TEXT(INDEX('Documents'!$E$4:$E$503,_calc!$E$131),"yyyy-mm-dd"),""))</f>
        <v/>
      </c>
      <c r="E129" s="43">
        <f>IF(_calc!$E$131="","",IF(LEN(INDEX('Documents'!$N$4:$N$503,_calc!$E$131))=0,"",INDEX('Documents'!$N$4:$N$503,_calc!$E$131)))</f>
        <v/>
      </c>
      <c r="F129" s="43">
        <f>IF(_calc!$E$131="","",TRIM(IF(LEN(IF(LEN(INDEX('Documents'!$B$4:$B$503,_calc!$E$131))=0,"",INDEX('Documents'!$B$4:$B$503,_calc!$E$131)))=0,"","Trade: "&amp;IF(LEN(INDEX('Documents'!$B$4:$B$503,_calc!$E$131))=0,"",INDEX('Documents'!$B$4:$B$503,_calc!$E$131))&amp;". ")&amp;IF(LEN(IF(LEN(INDEX('Documents'!$D$4:$D$503,_calc!$E$131))=0,"",INDEX('Documents'!$D$4:$D$503,_calc!$E$131)))=0,"","Ref: "&amp;IF(LEN(INDEX('Documents'!$D$4:$D$503,_calc!$E$131))=0,"",INDEX('Documents'!$D$4:$D$503,_calc!$E$131))&amp;". ")&amp;IF(LEN(IF(LEN(INDEX('Documents'!$K$4:$K$503,_calc!$E$131))=0,"",INDEX('Documents'!$K$4:$K$503,_calc!$E$131)))=0,"","On file: "&amp;IF(LEN(INDEX('Documents'!$K$4:$K$503,_calc!$E$131))=0,"",INDEX('Documents'!$K$4:$K$503,_calc!$E$131))&amp;". ")&amp;IF(LEN(IF(LEN(INDEX('Documents'!$L$4:$L$503,_calc!$E$131))=0,"",INDEX('Documents'!$L$4:$L$503,_calc!$E$131)))=0,"","Contractor email: "&amp;IF(LEN(INDEX('Documents'!$L$4:$L$503,_calc!$E$131))=0,"",INDEX('Documents'!$L$4:$L$503,_calc!$E$131))&amp;". ")&amp;IF(LEN(IF(LEN(INDEX('Documents'!$P$4:$P$503,_calc!$E$131))=0,"",INDEX('Documents'!$P$4:$P$503,_calc!$E$131)))=0,"",IF(LEN(INDEX('Documents'!$P$4:$P$503,_calc!$E$131))=0,"",INDEX('Documents'!$P$4:$P$503,_calc!$E$131)))))</f>
        <v/>
      </c>
      <c r="G129" s="43">
        <f>IF(_calc!$E$131="","",IF(LEN(INDEX('Documents'!$O$4:$O$503,_calc!$E$131))=0,"",INDEX('Documents'!$O$4:$O$503,_calc!$E$131)))</f>
        <v/>
      </c>
      <c r="K129" s="43">
        <f>IF(_calc!$E$131="","",IF(LEN(INDEX('Documents'!$M$4:$M$503,_calc!$E$131))=0,"",INDEX('Documents'!$M$4:$M$503,_calc!$E$131)))</f>
        <v/>
      </c>
    </row>
    <row r="130">
      <c r="A130" s="43">
        <f>IF(_calc!$E$132="","",IF(LEN(INDEX('Documents'!$C$4:$C$503,_calc!$E$132))=0,"",INDEX('Documents'!$C$4:$C$503,_calc!$E$132))&amp;" – "&amp;IF(LEN(INDEX('Documents'!$A$4:$A$503,_calc!$E$132))=0,"",INDEX('Documents'!$A$4:$A$503,_calc!$E$132)))</f>
        <v/>
      </c>
      <c r="B130" s="43">
        <f>IF(_calc!$E$132="","",IF(ISNUMBER(INDEX('Documents'!$F$4:$F$503,_calc!$E$132)),TEXT(INDEX('Documents'!$F$4:$F$503,_calc!$E$132),"yyyy-mm-dd"),""))</f>
        <v/>
      </c>
      <c r="C130" s="43">
        <f>IF(_calc!$E$132="","","Contractor document")</f>
        <v/>
      </c>
      <c r="D130" s="43">
        <f>IF(_calc!$E$132="","",IF(ISNUMBER(INDEX('Documents'!$E$4:$E$503,_calc!$E$132)),TEXT(INDEX('Documents'!$E$4:$E$503,_calc!$E$132),"yyyy-mm-dd"),""))</f>
        <v/>
      </c>
      <c r="E130" s="43">
        <f>IF(_calc!$E$132="","",IF(LEN(INDEX('Documents'!$N$4:$N$503,_calc!$E$132))=0,"",INDEX('Documents'!$N$4:$N$503,_calc!$E$132)))</f>
        <v/>
      </c>
      <c r="F130" s="43">
        <f>IF(_calc!$E$132="","",TRIM(IF(LEN(IF(LEN(INDEX('Documents'!$B$4:$B$503,_calc!$E$132))=0,"",INDEX('Documents'!$B$4:$B$503,_calc!$E$132)))=0,"","Trade: "&amp;IF(LEN(INDEX('Documents'!$B$4:$B$503,_calc!$E$132))=0,"",INDEX('Documents'!$B$4:$B$503,_calc!$E$132))&amp;". ")&amp;IF(LEN(IF(LEN(INDEX('Documents'!$D$4:$D$503,_calc!$E$132))=0,"",INDEX('Documents'!$D$4:$D$503,_calc!$E$132)))=0,"","Ref: "&amp;IF(LEN(INDEX('Documents'!$D$4:$D$503,_calc!$E$132))=0,"",INDEX('Documents'!$D$4:$D$503,_calc!$E$132))&amp;". ")&amp;IF(LEN(IF(LEN(INDEX('Documents'!$K$4:$K$503,_calc!$E$132))=0,"",INDEX('Documents'!$K$4:$K$503,_calc!$E$132)))=0,"","On file: "&amp;IF(LEN(INDEX('Documents'!$K$4:$K$503,_calc!$E$132))=0,"",INDEX('Documents'!$K$4:$K$503,_calc!$E$132))&amp;". ")&amp;IF(LEN(IF(LEN(INDEX('Documents'!$L$4:$L$503,_calc!$E$132))=0,"",INDEX('Documents'!$L$4:$L$503,_calc!$E$132)))=0,"","Contractor email: "&amp;IF(LEN(INDEX('Documents'!$L$4:$L$503,_calc!$E$132))=0,"",INDEX('Documents'!$L$4:$L$503,_calc!$E$132))&amp;". ")&amp;IF(LEN(IF(LEN(INDEX('Documents'!$P$4:$P$503,_calc!$E$132))=0,"",INDEX('Documents'!$P$4:$P$503,_calc!$E$132)))=0,"",IF(LEN(INDEX('Documents'!$P$4:$P$503,_calc!$E$132))=0,"",INDEX('Documents'!$P$4:$P$503,_calc!$E$132)))))</f>
        <v/>
      </c>
      <c r="G130" s="43">
        <f>IF(_calc!$E$132="","",IF(LEN(INDEX('Documents'!$O$4:$O$503,_calc!$E$132))=0,"",INDEX('Documents'!$O$4:$O$503,_calc!$E$132)))</f>
        <v/>
      </c>
      <c r="K130" s="43">
        <f>IF(_calc!$E$132="","",IF(LEN(INDEX('Documents'!$M$4:$M$503,_calc!$E$132))=0,"",INDEX('Documents'!$M$4:$M$503,_calc!$E$132)))</f>
        <v/>
      </c>
    </row>
    <row r="131">
      <c r="A131" s="43">
        <f>IF(_calc!$E$133="","",IF(LEN(INDEX('Documents'!$C$4:$C$503,_calc!$E$133))=0,"",INDEX('Documents'!$C$4:$C$503,_calc!$E$133))&amp;" – "&amp;IF(LEN(INDEX('Documents'!$A$4:$A$503,_calc!$E$133))=0,"",INDEX('Documents'!$A$4:$A$503,_calc!$E$133)))</f>
        <v/>
      </c>
      <c r="B131" s="43">
        <f>IF(_calc!$E$133="","",IF(ISNUMBER(INDEX('Documents'!$F$4:$F$503,_calc!$E$133)),TEXT(INDEX('Documents'!$F$4:$F$503,_calc!$E$133),"yyyy-mm-dd"),""))</f>
        <v/>
      </c>
      <c r="C131" s="43">
        <f>IF(_calc!$E$133="","","Contractor document")</f>
        <v/>
      </c>
      <c r="D131" s="43">
        <f>IF(_calc!$E$133="","",IF(ISNUMBER(INDEX('Documents'!$E$4:$E$503,_calc!$E$133)),TEXT(INDEX('Documents'!$E$4:$E$503,_calc!$E$133),"yyyy-mm-dd"),""))</f>
        <v/>
      </c>
      <c r="E131" s="43">
        <f>IF(_calc!$E$133="","",IF(LEN(INDEX('Documents'!$N$4:$N$503,_calc!$E$133))=0,"",INDEX('Documents'!$N$4:$N$503,_calc!$E$133)))</f>
        <v/>
      </c>
      <c r="F131" s="43">
        <f>IF(_calc!$E$133="","",TRIM(IF(LEN(IF(LEN(INDEX('Documents'!$B$4:$B$503,_calc!$E$133))=0,"",INDEX('Documents'!$B$4:$B$503,_calc!$E$133)))=0,"","Trade: "&amp;IF(LEN(INDEX('Documents'!$B$4:$B$503,_calc!$E$133))=0,"",INDEX('Documents'!$B$4:$B$503,_calc!$E$133))&amp;". ")&amp;IF(LEN(IF(LEN(INDEX('Documents'!$D$4:$D$503,_calc!$E$133))=0,"",INDEX('Documents'!$D$4:$D$503,_calc!$E$133)))=0,"","Ref: "&amp;IF(LEN(INDEX('Documents'!$D$4:$D$503,_calc!$E$133))=0,"",INDEX('Documents'!$D$4:$D$503,_calc!$E$133))&amp;". ")&amp;IF(LEN(IF(LEN(INDEX('Documents'!$K$4:$K$503,_calc!$E$133))=0,"",INDEX('Documents'!$K$4:$K$503,_calc!$E$133)))=0,"","On file: "&amp;IF(LEN(INDEX('Documents'!$K$4:$K$503,_calc!$E$133))=0,"",INDEX('Documents'!$K$4:$K$503,_calc!$E$133))&amp;". ")&amp;IF(LEN(IF(LEN(INDEX('Documents'!$L$4:$L$503,_calc!$E$133))=0,"",INDEX('Documents'!$L$4:$L$503,_calc!$E$133)))=0,"","Contractor email: "&amp;IF(LEN(INDEX('Documents'!$L$4:$L$503,_calc!$E$133))=0,"",INDEX('Documents'!$L$4:$L$503,_calc!$E$133))&amp;". ")&amp;IF(LEN(IF(LEN(INDEX('Documents'!$P$4:$P$503,_calc!$E$133))=0,"",INDEX('Documents'!$P$4:$P$503,_calc!$E$133)))=0,"",IF(LEN(INDEX('Documents'!$P$4:$P$503,_calc!$E$133))=0,"",INDEX('Documents'!$P$4:$P$503,_calc!$E$133)))))</f>
        <v/>
      </c>
      <c r="G131" s="43">
        <f>IF(_calc!$E$133="","",IF(LEN(INDEX('Documents'!$O$4:$O$503,_calc!$E$133))=0,"",INDEX('Documents'!$O$4:$O$503,_calc!$E$133)))</f>
        <v/>
      </c>
      <c r="K131" s="43">
        <f>IF(_calc!$E$133="","",IF(LEN(INDEX('Documents'!$M$4:$M$503,_calc!$E$133))=0,"",INDEX('Documents'!$M$4:$M$503,_calc!$E$133)))</f>
        <v/>
      </c>
    </row>
    <row r="132">
      <c r="A132" s="43">
        <f>IF(_calc!$E$134="","",IF(LEN(INDEX('Documents'!$C$4:$C$503,_calc!$E$134))=0,"",INDEX('Documents'!$C$4:$C$503,_calc!$E$134))&amp;" – "&amp;IF(LEN(INDEX('Documents'!$A$4:$A$503,_calc!$E$134))=0,"",INDEX('Documents'!$A$4:$A$503,_calc!$E$134)))</f>
        <v/>
      </c>
      <c r="B132" s="43">
        <f>IF(_calc!$E$134="","",IF(ISNUMBER(INDEX('Documents'!$F$4:$F$503,_calc!$E$134)),TEXT(INDEX('Documents'!$F$4:$F$503,_calc!$E$134),"yyyy-mm-dd"),""))</f>
        <v/>
      </c>
      <c r="C132" s="43">
        <f>IF(_calc!$E$134="","","Contractor document")</f>
        <v/>
      </c>
      <c r="D132" s="43">
        <f>IF(_calc!$E$134="","",IF(ISNUMBER(INDEX('Documents'!$E$4:$E$503,_calc!$E$134)),TEXT(INDEX('Documents'!$E$4:$E$503,_calc!$E$134),"yyyy-mm-dd"),""))</f>
        <v/>
      </c>
      <c r="E132" s="43">
        <f>IF(_calc!$E$134="","",IF(LEN(INDEX('Documents'!$N$4:$N$503,_calc!$E$134))=0,"",INDEX('Documents'!$N$4:$N$503,_calc!$E$134)))</f>
        <v/>
      </c>
      <c r="F132" s="43">
        <f>IF(_calc!$E$134="","",TRIM(IF(LEN(IF(LEN(INDEX('Documents'!$B$4:$B$503,_calc!$E$134))=0,"",INDEX('Documents'!$B$4:$B$503,_calc!$E$134)))=0,"","Trade: "&amp;IF(LEN(INDEX('Documents'!$B$4:$B$503,_calc!$E$134))=0,"",INDEX('Documents'!$B$4:$B$503,_calc!$E$134))&amp;". ")&amp;IF(LEN(IF(LEN(INDEX('Documents'!$D$4:$D$503,_calc!$E$134))=0,"",INDEX('Documents'!$D$4:$D$503,_calc!$E$134)))=0,"","Ref: "&amp;IF(LEN(INDEX('Documents'!$D$4:$D$503,_calc!$E$134))=0,"",INDEX('Documents'!$D$4:$D$503,_calc!$E$134))&amp;". ")&amp;IF(LEN(IF(LEN(INDEX('Documents'!$K$4:$K$503,_calc!$E$134))=0,"",INDEX('Documents'!$K$4:$K$503,_calc!$E$134)))=0,"","On file: "&amp;IF(LEN(INDEX('Documents'!$K$4:$K$503,_calc!$E$134))=0,"",INDEX('Documents'!$K$4:$K$503,_calc!$E$134))&amp;". ")&amp;IF(LEN(IF(LEN(INDEX('Documents'!$L$4:$L$503,_calc!$E$134))=0,"",INDEX('Documents'!$L$4:$L$503,_calc!$E$134)))=0,"","Contractor email: "&amp;IF(LEN(INDEX('Documents'!$L$4:$L$503,_calc!$E$134))=0,"",INDEX('Documents'!$L$4:$L$503,_calc!$E$134))&amp;". ")&amp;IF(LEN(IF(LEN(INDEX('Documents'!$P$4:$P$503,_calc!$E$134))=0,"",INDEX('Documents'!$P$4:$P$503,_calc!$E$134)))=0,"",IF(LEN(INDEX('Documents'!$P$4:$P$503,_calc!$E$134))=0,"",INDEX('Documents'!$P$4:$P$503,_calc!$E$134)))))</f>
        <v/>
      </c>
      <c r="G132" s="43">
        <f>IF(_calc!$E$134="","",IF(LEN(INDEX('Documents'!$O$4:$O$503,_calc!$E$134))=0,"",INDEX('Documents'!$O$4:$O$503,_calc!$E$134)))</f>
        <v/>
      </c>
      <c r="K132" s="43">
        <f>IF(_calc!$E$134="","",IF(LEN(INDEX('Documents'!$M$4:$M$503,_calc!$E$134))=0,"",INDEX('Documents'!$M$4:$M$503,_calc!$E$134)))</f>
        <v/>
      </c>
    </row>
    <row r="133">
      <c r="A133" s="43">
        <f>IF(_calc!$E$135="","",IF(LEN(INDEX('Documents'!$C$4:$C$503,_calc!$E$135))=0,"",INDEX('Documents'!$C$4:$C$503,_calc!$E$135))&amp;" – "&amp;IF(LEN(INDEX('Documents'!$A$4:$A$503,_calc!$E$135))=0,"",INDEX('Documents'!$A$4:$A$503,_calc!$E$135)))</f>
        <v/>
      </c>
      <c r="B133" s="43">
        <f>IF(_calc!$E$135="","",IF(ISNUMBER(INDEX('Documents'!$F$4:$F$503,_calc!$E$135)),TEXT(INDEX('Documents'!$F$4:$F$503,_calc!$E$135),"yyyy-mm-dd"),""))</f>
        <v/>
      </c>
      <c r="C133" s="43">
        <f>IF(_calc!$E$135="","","Contractor document")</f>
        <v/>
      </c>
      <c r="D133" s="43">
        <f>IF(_calc!$E$135="","",IF(ISNUMBER(INDEX('Documents'!$E$4:$E$503,_calc!$E$135)),TEXT(INDEX('Documents'!$E$4:$E$503,_calc!$E$135),"yyyy-mm-dd"),""))</f>
        <v/>
      </c>
      <c r="E133" s="43">
        <f>IF(_calc!$E$135="","",IF(LEN(INDEX('Documents'!$N$4:$N$503,_calc!$E$135))=0,"",INDEX('Documents'!$N$4:$N$503,_calc!$E$135)))</f>
        <v/>
      </c>
      <c r="F133" s="43">
        <f>IF(_calc!$E$135="","",TRIM(IF(LEN(IF(LEN(INDEX('Documents'!$B$4:$B$503,_calc!$E$135))=0,"",INDEX('Documents'!$B$4:$B$503,_calc!$E$135)))=0,"","Trade: "&amp;IF(LEN(INDEX('Documents'!$B$4:$B$503,_calc!$E$135))=0,"",INDEX('Documents'!$B$4:$B$503,_calc!$E$135))&amp;". ")&amp;IF(LEN(IF(LEN(INDEX('Documents'!$D$4:$D$503,_calc!$E$135))=0,"",INDEX('Documents'!$D$4:$D$503,_calc!$E$135)))=0,"","Ref: "&amp;IF(LEN(INDEX('Documents'!$D$4:$D$503,_calc!$E$135))=0,"",INDEX('Documents'!$D$4:$D$503,_calc!$E$135))&amp;". ")&amp;IF(LEN(IF(LEN(INDEX('Documents'!$K$4:$K$503,_calc!$E$135))=0,"",INDEX('Documents'!$K$4:$K$503,_calc!$E$135)))=0,"","On file: "&amp;IF(LEN(INDEX('Documents'!$K$4:$K$503,_calc!$E$135))=0,"",INDEX('Documents'!$K$4:$K$503,_calc!$E$135))&amp;". ")&amp;IF(LEN(IF(LEN(INDEX('Documents'!$L$4:$L$503,_calc!$E$135))=0,"",INDEX('Documents'!$L$4:$L$503,_calc!$E$135)))=0,"","Contractor email: "&amp;IF(LEN(INDEX('Documents'!$L$4:$L$503,_calc!$E$135))=0,"",INDEX('Documents'!$L$4:$L$503,_calc!$E$135))&amp;". ")&amp;IF(LEN(IF(LEN(INDEX('Documents'!$P$4:$P$503,_calc!$E$135))=0,"",INDEX('Documents'!$P$4:$P$503,_calc!$E$135)))=0,"",IF(LEN(INDEX('Documents'!$P$4:$P$503,_calc!$E$135))=0,"",INDEX('Documents'!$P$4:$P$503,_calc!$E$135)))))</f>
        <v/>
      </c>
      <c r="G133" s="43">
        <f>IF(_calc!$E$135="","",IF(LEN(INDEX('Documents'!$O$4:$O$503,_calc!$E$135))=0,"",INDEX('Documents'!$O$4:$O$503,_calc!$E$135)))</f>
        <v/>
      </c>
      <c r="K133" s="43">
        <f>IF(_calc!$E$135="","",IF(LEN(INDEX('Documents'!$M$4:$M$503,_calc!$E$135))=0,"",INDEX('Documents'!$M$4:$M$503,_calc!$E$135)))</f>
        <v/>
      </c>
    </row>
    <row r="134">
      <c r="A134" s="43">
        <f>IF(_calc!$E$136="","",IF(LEN(INDEX('Documents'!$C$4:$C$503,_calc!$E$136))=0,"",INDEX('Documents'!$C$4:$C$503,_calc!$E$136))&amp;" – "&amp;IF(LEN(INDEX('Documents'!$A$4:$A$503,_calc!$E$136))=0,"",INDEX('Documents'!$A$4:$A$503,_calc!$E$136)))</f>
        <v/>
      </c>
      <c r="B134" s="43">
        <f>IF(_calc!$E$136="","",IF(ISNUMBER(INDEX('Documents'!$F$4:$F$503,_calc!$E$136)),TEXT(INDEX('Documents'!$F$4:$F$503,_calc!$E$136),"yyyy-mm-dd"),""))</f>
        <v/>
      </c>
      <c r="C134" s="43">
        <f>IF(_calc!$E$136="","","Contractor document")</f>
        <v/>
      </c>
      <c r="D134" s="43">
        <f>IF(_calc!$E$136="","",IF(ISNUMBER(INDEX('Documents'!$E$4:$E$503,_calc!$E$136)),TEXT(INDEX('Documents'!$E$4:$E$503,_calc!$E$136),"yyyy-mm-dd"),""))</f>
        <v/>
      </c>
      <c r="E134" s="43">
        <f>IF(_calc!$E$136="","",IF(LEN(INDEX('Documents'!$N$4:$N$503,_calc!$E$136))=0,"",INDEX('Documents'!$N$4:$N$503,_calc!$E$136)))</f>
        <v/>
      </c>
      <c r="F134" s="43">
        <f>IF(_calc!$E$136="","",TRIM(IF(LEN(IF(LEN(INDEX('Documents'!$B$4:$B$503,_calc!$E$136))=0,"",INDEX('Documents'!$B$4:$B$503,_calc!$E$136)))=0,"","Trade: "&amp;IF(LEN(INDEX('Documents'!$B$4:$B$503,_calc!$E$136))=0,"",INDEX('Documents'!$B$4:$B$503,_calc!$E$136))&amp;". ")&amp;IF(LEN(IF(LEN(INDEX('Documents'!$D$4:$D$503,_calc!$E$136))=0,"",INDEX('Documents'!$D$4:$D$503,_calc!$E$136)))=0,"","Ref: "&amp;IF(LEN(INDEX('Documents'!$D$4:$D$503,_calc!$E$136))=0,"",INDEX('Documents'!$D$4:$D$503,_calc!$E$136))&amp;". ")&amp;IF(LEN(IF(LEN(INDEX('Documents'!$K$4:$K$503,_calc!$E$136))=0,"",INDEX('Documents'!$K$4:$K$503,_calc!$E$136)))=0,"","On file: "&amp;IF(LEN(INDEX('Documents'!$K$4:$K$503,_calc!$E$136))=0,"",INDEX('Documents'!$K$4:$K$503,_calc!$E$136))&amp;". ")&amp;IF(LEN(IF(LEN(INDEX('Documents'!$L$4:$L$503,_calc!$E$136))=0,"",INDEX('Documents'!$L$4:$L$503,_calc!$E$136)))=0,"","Contractor email: "&amp;IF(LEN(INDEX('Documents'!$L$4:$L$503,_calc!$E$136))=0,"",INDEX('Documents'!$L$4:$L$503,_calc!$E$136))&amp;". ")&amp;IF(LEN(IF(LEN(INDEX('Documents'!$P$4:$P$503,_calc!$E$136))=0,"",INDEX('Documents'!$P$4:$P$503,_calc!$E$136)))=0,"",IF(LEN(INDEX('Documents'!$P$4:$P$503,_calc!$E$136))=0,"",INDEX('Documents'!$P$4:$P$503,_calc!$E$136)))))</f>
        <v/>
      </c>
      <c r="G134" s="43">
        <f>IF(_calc!$E$136="","",IF(LEN(INDEX('Documents'!$O$4:$O$503,_calc!$E$136))=0,"",INDEX('Documents'!$O$4:$O$503,_calc!$E$136)))</f>
        <v/>
      </c>
      <c r="K134" s="43">
        <f>IF(_calc!$E$136="","",IF(LEN(INDEX('Documents'!$M$4:$M$503,_calc!$E$136))=0,"",INDEX('Documents'!$M$4:$M$503,_calc!$E$136)))</f>
        <v/>
      </c>
    </row>
    <row r="135">
      <c r="A135" s="43">
        <f>IF(_calc!$E$137="","",IF(LEN(INDEX('Documents'!$C$4:$C$503,_calc!$E$137))=0,"",INDEX('Documents'!$C$4:$C$503,_calc!$E$137))&amp;" – "&amp;IF(LEN(INDEX('Documents'!$A$4:$A$503,_calc!$E$137))=0,"",INDEX('Documents'!$A$4:$A$503,_calc!$E$137)))</f>
        <v/>
      </c>
      <c r="B135" s="43">
        <f>IF(_calc!$E$137="","",IF(ISNUMBER(INDEX('Documents'!$F$4:$F$503,_calc!$E$137)),TEXT(INDEX('Documents'!$F$4:$F$503,_calc!$E$137),"yyyy-mm-dd"),""))</f>
        <v/>
      </c>
      <c r="C135" s="43">
        <f>IF(_calc!$E$137="","","Contractor document")</f>
        <v/>
      </c>
      <c r="D135" s="43">
        <f>IF(_calc!$E$137="","",IF(ISNUMBER(INDEX('Documents'!$E$4:$E$503,_calc!$E$137)),TEXT(INDEX('Documents'!$E$4:$E$503,_calc!$E$137),"yyyy-mm-dd"),""))</f>
        <v/>
      </c>
      <c r="E135" s="43">
        <f>IF(_calc!$E$137="","",IF(LEN(INDEX('Documents'!$N$4:$N$503,_calc!$E$137))=0,"",INDEX('Documents'!$N$4:$N$503,_calc!$E$137)))</f>
        <v/>
      </c>
      <c r="F135" s="43">
        <f>IF(_calc!$E$137="","",TRIM(IF(LEN(IF(LEN(INDEX('Documents'!$B$4:$B$503,_calc!$E$137))=0,"",INDEX('Documents'!$B$4:$B$503,_calc!$E$137)))=0,"","Trade: "&amp;IF(LEN(INDEX('Documents'!$B$4:$B$503,_calc!$E$137))=0,"",INDEX('Documents'!$B$4:$B$503,_calc!$E$137))&amp;". ")&amp;IF(LEN(IF(LEN(INDEX('Documents'!$D$4:$D$503,_calc!$E$137))=0,"",INDEX('Documents'!$D$4:$D$503,_calc!$E$137)))=0,"","Ref: "&amp;IF(LEN(INDEX('Documents'!$D$4:$D$503,_calc!$E$137))=0,"",INDEX('Documents'!$D$4:$D$503,_calc!$E$137))&amp;". ")&amp;IF(LEN(IF(LEN(INDEX('Documents'!$K$4:$K$503,_calc!$E$137))=0,"",INDEX('Documents'!$K$4:$K$503,_calc!$E$137)))=0,"","On file: "&amp;IF(LEN(INDEX('Documents'!$K$4:$K$503,_calc!$E$137))=0,"",INDEX('Documents'!$K$4:$K$503,_calc!$E$137))&amp;". ")&amp;IF(LEN(IF(LEN(INDEX('Documents'!$L$4:$L$503,_calc!$E$137))=0,"",INDEX('Documents'!$L$4:$L$503,_calc!$E$137)))=0,"","Contractor email: "&amp;IF(LEN(INDEX('Documents'!$L$4:$L$503,_calc!$E$137))=0,"",INDEX('Documents'!$L$4:$L$503,_calc!$E$137))&amp;". ")&amp;IF(LEN(IF(LEN(INDEX('Documents'!$P$4:$P$503,_calc!$E$137))=0,"",INDEX('Documents'!$P$4:$P$503,_calc!$E$137)))=0,"",IF(LEN(INDEX('Documents'!$P$4:$P$503,_calc!$E$137))=0,"",INDEX('Documents'!$P$4:$P$503,_calc!$E$137)))))</f>
        <v/>
      </c>
      <c r="G135" s="43">
        <f>IF(_calc!$E$137="","",IF(LEN(INDEX('Documents'!$O$4:$O$503,_calc!$E$137))=0,"",INDEX('Documents'!$O$4:$O$503,_calc!$E$137)))</f>
        <v/>
      </c>
      <c r="K135" s="43">
        <f>IF(_calc!$E$137="","",IF(LEN(INDEX('Documents'!$M$4:$M$503,_calc!$E$137))=0,"",INDEX('Documents'!$M$4:$M$503,_calc!$E$137)))</f>
        <v/>
      </c>
    </row>
    <row r="136">
      <c r="A136" s="43">
        <f>IF(_calc!$E$138="","",IF(LEN(INDEX('Documents'!$C$4:$C$503,_calc!$E$138))=0,"",INDEX('Documents'!$C$4:$C$503,_calc!$E$138))&amp;" – "&amp;IF(LEN(INDEX('Documents'!$A$4:$A$503,_calc!$E$138))=0,"",INDEX('Documents'!$A$4:$A$503,_calc!$E$138)))</f>
        <v/>
      </c>
      <c r="B136" s="43">
        <f>IF(_calc!$E$138="","",IF(ISNUMBER(INDEX('Documents'!$F$4:$F$503,_calc!$E$138)),TEXT(INDEX('Documents'!$F$4:$F$503,_calc!$E$138),"yyyy-mm-dd"),""))</f>
        <v/>
      </c>
      <c r="C136" s="43">
        <f>IF(_calc!$E$138="","","Contractor document")</f>
        <v/>
      </c>
      <c r="D136" s="43">
        <f>IF(_calc!$E$138="","",IF(ISNUMBER(INDEX('Documents'!$E$4:$E$503,_calc!$E$138)),TEXT(INDEX('Documents'!$E$4:$E$503,_calc!$E$138),"yyyy-mm-dd"),""))</f>
        <v/>
      </c>
      <c r="E136" s="43">
        <f>IF(_calc!$E$138="","",IF(LEN(INDEX('Documents'!$N$4:$N$503,_calc!$E$138))=0,"",INDEX('Documents'!$N$4:$N$503,_calc!$E$138)))</f>
        <v/>
      </c>
      <c r="F136" s="43">
        <f>IF(_calc!$E$138="","",TRIM(IF(LEN(IF(LEN(INDEX('Documents'!$B$4:$B$503,_calc!$E$138))=0,"",INDEX('Documents'!$B$4:$B$503,_calc!$E$138)))=0,"","Trade: "&amp;IF(LEN(INDEX('Documents'!$B$4:$B$503,_calc!$E$138))=0,"",INDEX('Documents'!$B$4:$B$503,_calc!$E$138))&amp;". ")&amp;IF(LEN(IF(LEN(INDEX('Documents'!$D$4:$D$503,_calc!$E$138))=0,"",INDEX('Documents'!$D$4:$D$503,_calc!$E$138)))=0,"","Ref: "&amp;IF(LEN(INDEX('Documents'!$D$4:$D$503,_calc!$E$138))=0,"",INDEX('Documents'!$D$4:$D$503,_calc!$E$138))&amp;". ")&amp;IF(LEN(IF(LEN(INDEX('Documents'!$K$4:$K$503,_calc!$E$138))=0,"",INDEX('Documents'!$K$4:$K$503,_calc!$E$138)))=0,"","On file: "&amp;IF(LEN(INDEX('Documents'!$K$4:$K$503,_calc!$E$138))=0,"",INDEX('Documents'!$K$4:$K$503,_calc!$E$138))&amp;". ")&amp;IF(LEN(IF(LEN(INDEX('Documents'!$L$4:$L$503,_calc!$E$138))=0,"",INDEX('Documents'!$L$4:$L$503,_calc!$E$138)))=0,"","Contractor email: "&amp;IF(LEN(INDEX('Documents'!$L$4:$L$503,_calc!$E$138))=0,"",INDEX('Documents'!$L$4:$L$503,_calc!$E$138))&amp;". ")&amp;IF(LEN(IF(LEN(INDEX('Documents'!$P$4:$P$503,_calc!$E$138))=0,"",INDEX('Documents'!$P$4:$P$503,_calc!$E$138)))=0,"",IF(LEN(INDEX('Documents'!$P$4:$P$503,_calc!$E$138))=0,"",INDEX('Documents'!$P$4:$P$503,_calc!$E$138)))))</f>
        <v/>
      </c>
      <c r="G136" s="43">
        <f>IF(_calc!$E$138="","",IF(LEN(INDEX('Documents'!$O$4:$O$503,_calc!$E$138))=0,"",INDEX('Documents'!$O$4:$O$503,_calc!$E$138)))</f>
        <v/>
      </c>
      <c r="K136" s="43">
        <f>IF(_calc!$E$138="","",IF(LEN(INDEX('Documents'!$M$4:$M$503,_calc!$E$138))=0,"",INDEX('Documents'!$M$4:$M$503,_calc!$E$138)))</f>
        <v/>
      </c>
    </row>
    <row r="137">
      <c r="A137" s="43">
        <f>IF(_calc!$E$139="","",IF(LEN(INDEX('Documents'!$C$4:$C$503,_calc!$E$139))=0,"",INDEX('Documents'!$C$4:$C$503,_calc!$E$139))&amp;" – "&amp;IF(LEN(INDEX('Documents'!$A$4:$A$503,_calc!$E$139))=0,"",INDEX('Documents'!$A$4:$A$503,_calc!$E$139)))</f>
        <v/>
      </c>
      <c r="B137" s="43">
        <f>IF(_calc!$E$139="","",IF(ISNUMBER(INDEX('Documents'!$F$4:$F$503,_calc!$E$139)),TEXT(INDEX('Documents'!$F$4:$F$503,_calc!$E$139),"yyyy-mm-dd"),""))</f>
        <v/>
      </c>
      <c r="C137" s="43">
        <f>IF(_calc!$E$139="","","Contractor document")</f>
        <v/>
      </c>
      <c r="D137" s="43">
        <f>IF(_calc!$E$139="","",IF(ISNUMBER(INDEX('Documents'!$E$4:$E$503,_calc!$E$139)),TEXT(INDEX('Documents'!$E$4:$E$503,_calc!$E$139),"yyyy-mm-dd"),""))</f>
        <v/>
      </c>
      <c r="E137" s="43">
        <f>IF(_calc!$E$139="","",IF(LEN(INDEX('Documents'!$N$4:$N$503,_calc!$E$139))=0,"",INDEX('Documents'!$N$4:$N$503,_calc!$E$139)))</f>
        <v/>
      </c>
      <c r="F137" s="43">
        <f>IF(_calc!$E$139="","",TRIM(IF(LEN(IF(LEN(INDEX('Documents'!$B$4:$B$503,_calc!$E$139))=0,"",INDEX('Documents'!$B$4:$B$503,_calc!$E$139)))=0,"","Trade: "&amp;IF(LEN(INDEX('Documents'!$B$4:$B$503,_calc!$E$139))=0,"",INDEX('Documents'!$B$4:$B$503,_calc!$E$139))&amp;". ")&amp;IF(LEN(IF(LEN(INDEX('Documents'!$D$4:$D$503,_calc!$E$139))=0,"",INDEX('Documents'!$D$4:$D$503,_calc!$E$139)))=0,"","Ref: "&amp;IF(LEN(INDEX('Documents'!$D$4:$D$503,_calc!$E$139))=0,"",INDEX('Documents'!$D$4:$D$503,_calc!$E$139))&amp;". ")&amp;IF(LEN(IF(LEN(INDEX('Documents'!$K$4:$K$503,_calc!$E$139))=0,"",INDEX('Documents'!$K$4:$K$503,_calc!$E$139)))=0,"","On file: "&amp;IF(LEN(INDEX('Documents'!$K$4:$K$503,_calc!$E$139))=0,"",INDEX('Documents'!$K$4:$K$503,_calc!$E$139))&amp;". ")&amp;IF(LEN(IF(LEN(INDEX('Documents'!$L$4:$L$503,_calc!$E$139))=0,"",INDEX('Documents'!$L$4:$L$503,_calc!$E$139)))=0,"","Contractor email: "&amp;IF(LEN(INDEX('Documents'!$L$4:$L$503,_calc!$E$139))=0,"",INDEX('Documents'!$L$4:$L$503,_calc!$E$139))&amp;". ")&amp;IF(LEN(IF(LEN(INDEX('Documents'!$P$4:$P$503,_calc!$E$139))=0,"",INDEX('Documents'!$P$4:$P$503,_calc!$E$139)))=0,"",IF(LEN(INDEX('Documents'!$P$4:$P$503,_calc!$E$139))=0,"",INDEX('Documents'!$P$4:$P$503,_calc!$E$139)))))</f>
        <v/>
      </c>
      <c r="G137" s="43">
        <f>IF(_calc!$E$139="","",IF(LEN(INDEX('Documents'!$O$4:$O$503,_calc!$E$139))=0,"",INDEX('Documents'!$O$4:$O$503,_calc!$E$139)))</f>
        <v/>
      </c>
      <c r="K137" s="43">
        <f>IF(_calc!$E$139="","",IF(LEN(INDEX('Documents'!$M$4:$M$503,_calc!$E$139))=0,"",INDEX('Documents'!$M$4:$M$503,_calc!$E$139)))</f>
        <v/>
      </c>
    </row>
    <row r="138">
      <c r="A138" s="43">
        <f>IF(_calc!$E$140="","",IF(LEN(INDEX('Documents'!$C$4:$C$503,_calc!$E$140))=0,"",INDEX('Documents'!$C$4:$C$503,_calc!$E$140))&amp;" – "&amp;IF(LEN(INDEX('Documents'!$A$4:$A$503,_calc!$E$140))=0,"",INDEX('Documents'!$A$4:$A$503,_calc!$E$140)))</f>
        <v/>
      </c>
      <c r="B138" s="43">
        <f>IF(_calc!$E$140="","",IF(ISNUMBER(INDEX('Documents'!$F$4:$F$503,_calc!$E$140)),TEXT(INDEX('Documents'!$F$4:$F$503,_calc!$E$140),"yyyy-mm-dd"),""))</f>
        <v/>
      </c>
      <c r="C138" s="43">
        <f>IF(_calc!$E$140="","","Contractor document")</f>
        <v/>
      </c>
      <c r="D138" s="43">
        <f>IF(_calc!$E$140="","",IF(ISNUMBER(INDEX('Documents'!$E$4:$E$503,_calc!$E$140)),TEXT(INDEX('Documents'!$E$4:$E$503,_calc!$E$140),"yyyy-mm-dd"),""))</f>
        <v/>
      </c>
      <c r="E138" s="43">
        <f>IF(_calc!$E$140="","",IF(LEN(INDEX('Documents'!$N$4:$N$503,_calc!$E$140))=0,"",INDEX('Documents'!$N$4:$N$503,_calc!$E$140)))</f>
        <v/>
      </c>
      <c r="F138" s="43">
        <f>IF(_calc!$E$140="","",TRIM(IF(LEN(IF(LEN(INDEX('Documents'!$B$4:$B$503,_calc!$E$140))=0,"",INDEX('Documents'!$B$4:$B$503,_calc!$E$140)))=0,"","Trade: "&amp;IF(LEN(INDEX('Documents'!$B$4:$B$503,_calc!$E$140))=0,"",INDEX('Documents'!$B$4:$B$503,_calc!$E$140))&amp;". ")&amp;IF(LEN(IF(LEN(INDEX('Documents'!$D$4:$D$503,_calc!$E$140))=0,"",INDEX('Documents'!$D$4:$D$503,_calc!$E$140)))=0,"","Ref: "&amp;IF(LEN(INDEX('Documents'!$D$4:$D$503,_calc!$E$140))=0,"",INDEX('Documents'!$D$4:$D$503,_calc!$E$140))&amp;". ")&amp;IF(LEN(IF(LEN(INDEX('Documents'!$K$4:$K$503,_calc!$E$140))=0,"",INDEX('Documents'!$K$4:$K$503,_calc!$E$140)))=0,"","On file: "&amp;IF(LEN(INDEX('Documents'!$K$4:$K$503,_calc!$E$140))=0,"",INDEX('Documents'!$K$4:$K$503,_calc!$E$140))&amp;". ")&amp;IF(LEN(IF(LEN(INDEX('Documents'!$L$4:$L$503,_calc!$E$140))=0,"",INDEX('Documents'!$L$4:$L$503,_calc!$E$140)))=0,"","Contractor email: "&amp;IF(LEN(INDEX('Documents'!$L$4:$L$503,_calc!$E$140))=0,"",INDEX('Documents'!$L$4:$L$503,_calc!$E$140))&amp;". ")&amp;IF(LEN(IF(LEN(INDEX('Documents'!$P$4:$P$503,_calc!$E$140))=0,"",INDEX('Documents'!$P$4:$P$503,_calc!$E$140)))=0,"",IF(LEN(INDEX('Documents'!$P$4:$P$503,_calc!$E$140))=0,"",INDEX('Documents'!$P$4:$P$503,_calc!$E$140)))))</f>
        <v/>
      </c>
      <c r="G138" s="43">
        <f>IF(_calc!$E$140="","",IF(LEN(INDEX('Documents'!$O$4:$O$503,_calc!$E$140))=0,"",INDEX('Documents'!$O$4:$O$503,_calc!$E$140)))</f>
        <v/>
      </c>
      <c r="K138" s="43">
        <f>IF(_calc!$E$140="","",IF(LEN(INDEX('Documents'!$M$4:$M$503,_calc!$E$140))=0,"",INDEX('Documents'!$M$4:$M$503,_calc!$E$140)))</f>
        <v/>
      </c>
    </row>
    <row r="139">
      <c r="A139" s="43">
        <f>IF(_calc!$E$141="","",IF(LEN(INDEX('Documents'!$C$4:$C$503,_calc!$E$141))=0,"",INDEX('Documents'!$C$4:$C$503,_calc!$E$141))&amp;" – "&amp;IF(LEN(INDEX('Documents'!$A$4:$A$503,_calc!$E$141))=0,"",INDEX('Documents'!$A$4:$A$503,_calc!$E$141)))</f>
        <v/>
      </c>
      <c r="B139" s="43">
        <f>IF(_calc!$E$141="","",IF(ISNUMBER(INDEX('Documents'!$F$4:$F$503,_calc!$E$141)),TEXT(INDEX('Documents'!$F$4:$F$503,_calc!$E$141),"yyyy-mm-dd"),""))</f>
        <v/>
      </c>
      <c r="C139" s="43">
        <f>IF(_calc!$E$141="","","Contractor document")</f>
        <v/>
      </c>
      <c r="D139" s="43">
        <f>IF(_calc!$E$141="","",IF(ISNUMBER(INDEX('Documents'!$E$4:$E$503,_calc!$E$141)),TEXT(INDEX('Documents'!$E$4:$E$503,_calc!$E$141),"yyyy-mm-dd"),""))</f>
        <v/>
      </c>
      <c r="E139" s="43">
        <f>IF(_calc!$E$141="","",IF(LEN(INDEX('Documents'!$N$4:$N$503,_calc!$E$141))=0,"",INDEX('Documents'!$N$4:$N$503,_calc!$E$141)))</f>
        <v/>
      </c>
      <c r="F139" s="43">
        <f>IF(_calc!$E$141="","",TRIM(IF(LEN(IF(LEN(INDEX('Documents'!$B$4:$B$503,_calc!$E$141))=0,"",INDEX('Documents'!$B$4:$B$503,_calc!$E$141)))=0,"","Trade: "&amp;IF(LEN(INDEX('Documents'!$B$4:$B$503,_calc!$E$141))=0,"",INDEX('Documents'!$B$4:$B$503,_calc!$E$141))&amp;". ")&amp;IF(LEN(IF(LEN(INDEX('Documents'!$D$4:$D$503,_calc!$E$141))=0,"",INDEX('Documents'!$D$4:$D$503,_calc!$E$141)))=0,"","Ref: "&amp;IF(LEN(INDEX('Documents'!$D$4:$D$503,_calc!$E$141))=0,"",INDEX('Documents'!$D$4:$D$503,_calc!$E$141))&amp;". ")&amp;IF(LEN(IF(LEN(INDEX('Documents'!$K$4:$K$503,_calc!$E$141))=0,"",INDEX('Documents'!$K$4:$K$503,_calc!$E$141)))=0,"","On file: "&amp;IF(LEN(INDEX('Documents'!$K$4:$K$503,_calc!$E$141))=0,"",INDEX('Documents'!$K$4:$K$503,_calc!$E$141))&amp;". ")&amp;IF(LEN(IF(LEN(INDEX('Documents'!$L$4:$L$503,_calc!$E$141))=0,"",INDEX('Documents'!$L$4:$L$503,_calc!$E$141)))=0,"","Contractor email: "&amp;IF(LEN(INDEX('Documents'!$L$4:$L$503,_calc!$E$141))=0,"",INDEX('Documents'!$L$4:$L$503,_calc!$E$141))&amp;". ")&amp;IF(LEN(IF(LEN(INDEX('Documents'!$P$4:$P$503,_calc!$E$141))=0,"",INDEX('Documents'!$P$4:$P$503,_calc!$E$141)))=0,"",IF(LEN(INDEX('Documents'!$P$4:$P$503,_calc!$E$141))=0,"",INDEX('Documents'!$P$4:$P$503,_calc!$E$141)))))</f>
        <v/>
      </c>
      <c r="G139" s="43">
        <f>IF(_calc!$E$141="","",IF(LEN(INDEX('Documents'!$O$4:$O$503,_calc!$E$141))=0,"",INDEX('Documents'!$O$4:$O$503,_calc!$E$141)))</f>
        <v/>
      </c>
      <c r="K139" s="43">
        <f>IF(_calc!$E$141="","",IF(LEN(INDEX('Documents'!$M$4:$M$503,_calc!$E$141))=0,"",INDEX('Documents'!$M$4:$M$503,_calc!$E$141)))</f>
        <v/>
      </c>
    </row>
    <row r="140">
      <c r="A140" s="43">
        <f>IF(_calc!$E$142="","",IF(LEN(INDEX('Documents'!$C$4:$C$503,_calc!$E$142))=0,"",INDEX('Documents'!$C$4:$C$503,_calc!$E$142))&amp;" – "&amp;IF(LEN(INDEX('Documents'!$A$4:$A$503,_calc!$E$142))=0,"",INDEX('Documents'!$A$4:$A$503,_calc!$E$142)))</f>
        <v/>
      </c>
      <c r="B140" s="43">
        <f>IF(_calc!$E$142="","",IF(ISNUMBER(INDEX('Documents'!$F$4:$F$503,_calc!$E$142)),TEXT(INDEX('Documents'!$F$4:$F$503,_calc!$E$142),"yyyy-mm-dd"),""))</f>
        <v/>
      </c>
      <c r="C140" s="43">
        <f>IF(_calc!$E$142="","","Contractor document")</f>
        <v/>
      </c>
      <c r="D140" s="43">
        <f>IF(_calc!$E$142="","",IF(ISNUMBER(INDEX('Documents'!$E$4:$E$503,_calc!$E$142)),TEXT(INDEX('Documents'!$E$4:$E$503,_calc!$E$142),"yyyy-mm-dd"),""))</f>
        <v/>
      </c>
      <c r="E140" s="43">
        <f>IF(_calc!$E$142="","",IF(LEN(INDEX('Documents'!$N$4:$N$503,_calc!$E$142))=0,"",INDEX('Documents'!$N$4:$N$503,_calc!$E$142)))</f>
        <v/>
      </c>
      <c r="F140" s="43">
        <f>IF(_calc!$E$142="","",TRIM(IF(LEN(IF(LEN(INDEX('Documents'!$B$4:$B$503,_calc!$E$142))=0,"",INDEX('Documents'!$B$4:$B$503,_calc!$E$142)))=0,"","Trade: "&amp;IF(LEN(INDEX('Documents'!$B$4:$B$503,_calc!$E$142))=0,"",INDEX('Documents'!$B$4:$B$503,_calc!$E$142))&amp;". ")&amp;IF(LEN(IF(LEN(INDEX('Documents'!$D$4:$D$503,_calc!$E$142))=0,"",INDEX('Documents'!$D$4:$D$503,_calc!$E$142)))=0,"","Ref: "&amp;IF(LEN(INDEX('Documents'!$D$4:$D$503,_calc!$E$142))=0,"",INDEX('Documents'!$D$4:$D$503,_calc!$E$142))&amp;". ")&amp;IF(LEN(IF(LEN(INDEX('Documents'!$K$4:$K$503,_calc!$E$142))=0,"",INDEX('Documents'!$K$4:$K$503,_calc!$E$142)))=0,"","On file: "&amp;IF(LEN(INDEX('Documents'!$K$4:$K$503,_calc!$E$142))=0,"",INDEX('Documents'!$K$4:$K$503,_calc!$E$142))&amp;". ")&amp;IF(LEN(IF(LEN(INDEX('Documents'!$L$4:$L$503,_calc!$E$142))=0,"",INDEX('Documents'!$L$4:$L$503,_calc!$E$142)))=0,"","Contractor email: "&amp;IF(LEN(INDEX('Documents'!$L$4:$L$503,_calc!$E$142))=0,"",INDEX('Documents'!$L$4:$L$503,_calc!$E$142))&amp;". ")&amp;IF(LEN(IF(LEN(INDEX('Documents'!$P$4:$P$503,_calc!$E$142))=0,"",INDEX('Documents'!$P$4:$P$503,_calc!$E$142)))=0,"",IF(LEN(INDEX('Documents'!$P$4:$P$503,_calc!$E$142))=0,"",INDEX('Documents'!$P$4:$P$503,_calc!$E$142)))))</f>
        <v/>
      </c>
      <c r="G140" s="43">
        <f>IF(_calc!$E$142="","",IF(LEN(INDEX('Documents'!$O$4:$O$503,_calc!$E$142))=0,"",INDEX('Documents'!$O$4:$O$503,_calc!$E$142)))</f>
        <v/>
      </c>
      <c r="K140" s="43">
        <f>IF(_calc!$E$142="","",IF(LEN(INDEX('Documents'!$M$4:$M$503,_calc!$E$142))=0,"",INDEX('Documents'!$M$4:$M$503,_calc!$E$142)))</f>
        <v/>
      </c>
    </row>
    <row r="141">
      <c r="A141" s="43">
        <f>IF(_calc!$E$143="","",IF(LEN(INDEX('Documents'!$C$4:$C$503,_calc!$E$143))=0,"",INDEX('Documents'!$C$4:$C$503,_calc!$E$143))&amp;" – "&amp;IF(LEN(INDEX('Documents'!$A$4:$A$503,_calc!$E$143))=0,"",INDEX('Documents'!$A$4:$A$503,_calc!$E$143)))</f>
        <v/>
      </c>
      <c r="B141" s="43">
        <f>IF(_calc!$E$143="","",IF(ISNUMBER(INDEX('Documents'!$F$4:$F$503,_calc!$E$143)),TEXT(INDEX('Documents'!$F$4:$F$503,_calc!$E$143),"yyyy-mm-dd"),""))</f>
        <v/>
      </c>
      <c r="C141" s="43">
        <f>IF(_calc!$E$143="","","Contractor document")</f>
        <v/>
      </c>
      <c r="D141" s="43">
        <f>IF(_calc!$E$143="","",IF(ISNUMBER(INDEX('Documents'!$E$4:$E$503,_calc!$E$143)),TEXT(INDEX('Documents'!$E$4:$E$503,_calc!$E$143),"yyyy-mm-dd"),""))</f>
        <v/>
      </c>
      <c r="E141" s="43">
        <f>IF(_calc!$E$143="","",IF(LEN(INDEX('Documents'!$N$4:$N$503,_calc!$E$143))=0,"",INDEX('Documents'!$N$4:$N$503,_calc!$E$143)))</f>
        <v/>
      </c>
      <c r="F141" s="43">
        <f>IF(_calc!$E$143="","",TRIM(IF(LEN(IF(LEN(INDEX('Documents'!$B$4:$B$503,_calc!$E$143))=0,"",INDEX('Documents'!$B$4:$B$503,_calc!$E$143)))=0,"","Trade: "&amp;IF(LEN(INDEX('Documents'!$B$4:$B$503,_calc!$E$143))=0,"",INDEX('Documents'!$B$4:$B$503,_calc!$E$143))&amp;". ")&amp;IF(LEN(IF(LEN(INDEX('Documents'!$D$4:$D$503,_calc!$E$143))=0,"",INDEX('Documents'!$D$4:$D$503,_calc!$E$143)))=0,"","Ref: "&amp;IF(LEN(INDEX('Documents'!$D$4:$D$503,_calc!$E$143))=0,"",INDEX('Documents'!$D$4:$D$503,_calc!$E$143))&amp;". ")&amp;IF(LEN(IF(LEN(INDEX('Documents'!$K$4:$K$503,_calc!$E$143))=0,"",INDEX('Documents'!$K$4:$K$503,_calc!$E$143)))=0,"","On file: "&amp;IF(LEN(INDEX('Documents'!$K$4:$K$503,_calc!$E$143))=0,"",INDEX('Documents'!$K$4:$K$503,_calc!$E$143))&amp;". ")&amp;IF(LEN(IF(LEN(INDEX('Documents'!$L$4:$L$503,_calc!$E$143))=0,"",INDEX('Documents'!$L$4:$L$503,_calc!$E$143)))=0,"","Contractor email: "&amp;IF(LEN(INDEX('Documents'!$L$4:$L$503,_calc!$E$143))=0,"",INDEX('Documents'!$L$4:$L$503,_calc!$E$143))&amp;". ")&amp;IF(LEN(IF(LEN(INDEX('Documents'!$P$4:$P$503,_calc!$E$143))=0,"",INDEX('Documents'!$P$4:$P$503,_calc!$E$143)))=0,"",IF(LEN(INDEX('Documents'!$P$4:$P$503,_calc!$E$143))=0,"",INDEX('Documents'!$P$4:$P$503,_calc!$E$143)))))</f>
        <v/>
      </c>
      <c r="G141" s="43">
        <f>IF(_calc!$E$143="","",IF(LEN(INDEX('Documents'!$O$4:$O$503,_calc!$E$143))=0,"",INDEX('Documents'!$O$4:$O$503,_calc!$E$143)))</f>
        <v/>
      </c>
      <c r="K141" s="43">
        <f>IF(_calc!$E$143="","",IF(LEN(INDEX('Documents'!$M$4:$M$503,_calc!$E$143))=0,"",INDEX('Documents'!$M$4:$M$503,_calc!$E$143)))</f>
        <v/>
      </c>
    </row>
    <row r="142">
      <c r="A142" s="43">
        <f>IF(_calc!$E$144="","",IF(LEN(INDEX('Documents'!$C$4:$C$503,_calc!$E$144))=0,"",INDEX('Documents'!$C$4:$C$503,_calc!$E$144))&amp;" – "&amp;IF(LEN(INDEX('Documents'!$A$4:$A$503,_calc!$E$144))=0,"",INDEX('Documents'!$A$4:$A$503,_calc!$E$144)))</f>
        <v/>
      </c>
      <c r="B142" s="43">
        <f>IF(_calc!$E$144="","",IF(ISNUMBER(INDEX('Documents'!$F$4:$F$503,_calc!$E$144)),TEXT(INDEX('Documents'!$F$4:$F$503,_calc!$E$144),"yyyy-mm-dd"),""))</f>
        <v/>
      </c>
      <c r="C142" s="43">
        <f>IF(_calc!$E$144="","","Contractor document")</f>
        <v/>
      </c>
      <c r="D142" s="43">
        <f>IF(_calc!$E$144="","",IF(ISNUMBER(INDEX('Documents'!$E$4:$E$503,_calc!$E$144)),TEXT(INDEX('Documents'!$E$4:$E$503,_calc!$E$144),"yyyy-mm-dd"),""))</f>
        <v/>
      </c>
      <c r="E142" s="43">
        <f>IF(_calc!$E$144="","",IF(LEN(INDEX('Documents'!$N$4:$N$503,_calc!$E$144))=0,"",INDEX('Documents'!$N$4:$N$503,_calc!$E$144)))</f>
        <v/>
      </c>
      <c r="F142" s="43">
        <f>IF(_calc!$E$144="","",TRIM(IF(LEN(IF(LEN(INDEX('Documents'!$B$4:$B$503,_calc!$E$144))=0,"",INDEX('Documents'!$B$4:$B$503,_calc!$E$144)))=0,"","Trade: "&amp;IF(LEN(INDEX('Documents'!$B$4:$B$503,_calc!$E$144))=0,"",INDEX('Documents'!$B$4:$B$503,_calc!$E$144))&amp;". ")&amp;IF(LEN(IF(LEN(INDEX('Documents'!$D$4:$D$503,_calc!$E$144))=0,"",INDEX('Documents'!$D$4:$D$503,_calc!$E$144)))=0,"","Ref: "&amp;IF(LEN(INDEX('Documents'!$D$4:$D$503,_calc!$E$144))=0,"",INDEX('Documents'!$D$4:$D$503,_calc!$E$144))&amp;". ")&amp;IF(LEN(IF(LEN(INDEX('Documents'!$K$4:$K$503,_calc!$E$144))=0,"",INDEX('Documents'!$K$4:$K$503,_calc!$E$144)))=0,"","On file: "&amp;IF(LEN(INDEX('Documents'!$K$4:$K$503,_calc!$E$144))=0,"",INDEX('Documents'!$K$4:$K$503,_calc!$E$144))&amp;". ")&amp;IF(LEN(IF(LEN(INDEX('Documents'!$L$4:$L$503,_calc!$E$144))=0,"",INDEX('Documents'!$L$4:$L$503,_calc!$E$144)))=0,"","Contractor email: "&amp;IF(LEN(INDEX('Documents'!$L$4:$L$503,_calc!$E$144))=0,"",INDEX('Documents'!$L$4:$L$503,_calc!$E$144))&amp;". ")&amp;IF(LEN(IF(LEN(INDEX('Documents'!$P$4:$P$503,_calc!$E$144))=0,"",INDEX('Documents'!$P$4:$P$503,_calc!$E$144)))=0,"",IF(LEN(INDEX('Documents'!$P$4:$P$503,_calc!$E$144))=0,"",INDEX('Documents'!$P$4:$P$503,_calc!$E$144)))))</f>
        <v/>
      </c>
      <c r="G142" s="43">
        <f>IF(_calc!$E$144="","",IF(LEN(INDEX('Documents'!$O$4:$O$503,_calc!$E$144))=0,"",INDEX('Documents'!$O$4:$O$503,_calc!$E$144)))</f>
        <v/>
      </c>
      <c r="K142" s="43">
        <f>IF(_calc!$E$144="","",IF(LEN(INDEX('Documents'!$M$4:$M$503,_calc!$E$144))=0,"",INDEX('Documents'!$M$4:$M$503,_calc!$E$144)))</f>
        <v/>
      </c>
    </row>
    <row r="143">
      <c r="A143" s="43">
        <f>IF(_calc!$E$145="","",IF(LEN(INDEX('Documents'!$C$4:$C$503,_calc!$E$145))=0,"",INDEX('Documents'!$C$4:$C$503,_calc!$E$145))&amp;" – "&amp;IF(LEN(INDEX('Documents'!$A$4:$A$503,_calc!$E$145))=0,"",INDEX('Documents'!$A$4:$A$503,_calc!$E$145)))</f>
        <v/>
      </c>
      <c r="B143" s="43">
        <f>IF(_calc!$E$145="","",IF(ISNUMBER(INDEX('Documents'!$F$4:$F$503,_calc!$E$145)),TEXT(INDEX('Documents'!$F$4:$F$503,_calc!$E$145),"yyyy-mm-dd"),""))</f>
        <v/>
      </c>
      <c r="C143" s="43">
        <f>IF(_calc!$E$145="","","Contractor document")</f>
        <v/>
      </c>
      <c r="D143" s="43">
        <f>IF(_calc!$E$145="","",IF(ISNUMBER(INDEX('Documents'!$E$4:$E$503,_calc!$E$145)),TEXT(INDEX('Documents'!$E$4:$E$503,_calc!$E$145),"yyyy-mm-dd"),""))</f>
        <v/>
      </c>
      <c r="E143" s="43">
        <f>IF(_calc!$E$145="","",IF(LEN(INDEX('Documents'!$N$4:$N$503,_calc!$E$145))=0,"",INDEX('Documents'!$N$4:$N$503,_calc!$E$145)))</f>
        <v/>
      </c>
      <c r="F143" s="43">
        <f>IF(_calc!$E$145="","",TRIM(IF(LEN(IF(LEN(INDEX('Documents'!$B$4:$B$503,_calc!$E$145))=0,"",INDEX('Documents'!$B$4:$B$503,_calc!$E$145)))=0,"","Trade: "&amp;IF(LEN(INDEX('Documents'!$B$4:$B$503,_calc!$E$145))=0,"",INDEX('Documents'!$B$4:$B$503,_calc!$E$145))&amp;". ")&amp;IF(LEN(IF(LEN(INDEX('Documents'!$D$4:$D$503,_calc!$E$145))=0,"",INDEX('Documents'!$D$4:$D$503,_calc!$E$145)))=0,"","Ref: "&amp;IF(LEN(INDEX('Documents'!$D$4:$D$503,_calc!$E$145))=0,"",INDEX('Documents'!$D$4:$D$503,_calc!$E$145))&amp;". ")&amp;IF(LEN(IF(LEN(INDEX('Documents'!$K$4:$K$503,_calc!$E$145))=0,"",INDEX('Documents'!$K$4:$K$503,_calc!$E$145)))=0,"","On file: "&amp;IF(LEN(INDEX('Documents'!$K$4:$K$503,_calc!$E$145))=0,"",INDEX('Documents'!$K$4:$K$503,_calc!$E$145))&amp;". ")&amp;IF(LEN(IF(LEN(INDEX('Documents'!$L$4:$L$503,_calc!$E$145))=0,"",INDEX('Documents'!$L$4:$L$503,_calc!$E$145)))=0,"","Contractor email: "&amp;IF(LEN(INDEX('Documents'!$L$4:$L$503,_calc!$E$145))=0,"",INDEX('Documents'!$L$4:$L$503,_calc!$E$145))&amp;". ")&amp;IF(LEN(IF(LEN(INDEX('Documents'!$P$4:$P$503,_calc!$E$145))=0,"",INDEX('Documents'!$P$4:$P$503,_calc!$E$145)))=0,"",IF(LEN(INDEX('Documents'!$P$4:$P$503,_calc!$E$145))=0,"",INDEX('Documents'!$P$4:$P$503,_calc!$E$145)))))</f>
        <v/>
      </c>
      <c r="G143" s="43">
        <f>IF(_calc!$E$145="","",IF(LEN(INDEX('Documents'!$O$4:$O$503,_calc!$E$145))=0,"",INDEX('Documents'!$O$4:$O$503,_calc!$E$145)))</f>
        <v/>
      </c>
      <c r="K143" s="43">
        <f>IF(_calc!$E$145="","",IF(LEN(INDEX('Documents'!$M$4:$M$503,_calc!$E$145))=0,"",INDEX('Documents'!$M$4:$M$503,_calc!$E$145)))</f>
        <v/>
      </c>
    </row>
    <row r="144">
      <c r="A144" s="43">
        <f>IF(_calc!$E$146="","",IF(LEN(INDEX('Documents'!$C$4:$C$503,_calc!$E$146))=0,"",INDEX('Documents'!$C$4:$C$503,_calc!$E$146))&amp;" – "&amp;IF(LEN(INDEX('Documents'!$A$4:$A$503,_calc!$E$146))=0,"",INDEX('Documents'!$A$4:$A$503,_calc!$E$146)))</f>
        <v/>
      </c>
      <c r="B144" s="43">
        <f>IF(_calc!$E$146="","",IF(ISNUMBER(INDEX('Documents'!$F$4:$F$503,_calc!$E$146)),TEXT(INDEX('Documents'!$F$4:$F$503,_calc!$E$146),"yyyy-mm-dd"),""))</f>
        <v/>
      </c>
      <c r="C144" s="43">
        <f>IF(_calc!$E$146="","","Contractor document")</f>
        <v/>
      </c>
      <c r="D144" s="43">
        <f>IF(_calc!$E$146="","",IF(ISNUMBER(INDEX('Documents'!$E$4:$E$503,_calc!$E$146)),TEXT(INDEX('Documents'!$E$4:$E$503,_calc!$E$146),"yyyy-mm-dd"),""))</f>
        <v/>
      </c>
      <c r="E144" s="43">
        <f>IF(_calc!$E$146="","",IF(LEN(INDEX('Documents'!$N$4:$N$503,_calc!$E$146))=0,"",INDEX('Documents'!$N$4:$N$503,_calc!$E$146)))</f>
        <v/>
      </c>
      <c r="F144" s="43">
        <f>IF(_calc!$E$146="","",TRIM(IF(LEN(IF(LEN(INDEX('Documents'!$B$4:$B$503,_calc!$E$146))=0,"",INDEX('Documents'!$B$4:$B$503,_calc!$E$146)))=0,"","Trade: "&amp;IF(LEN(INDEX('Documents'!$B$4:$B$503,_calc!$E$146))=0,"",INDEX('Documents'!$B$4:$B$503,_calc!$E$146))&amp;". ")&amp;IF(LEN(IF(LEN(INDEX('Documents'!$D$4:$D$503,_calc!$E$146))=0,"",INDEX('Documents'!$D$4:$D$503,_calc!$E$146)))=0,"","Ref: "&amp;IF(LEN(INDEX('Documents'!$D$4:$D$503,_calc!$E$146))=0,"",INDEX('Documents'!$D$4:$D$503,_calc!$E$146))&amp;". ")&amp;IF(LEN(IF(LEN(INDEX('Documents'!$K$4:$K$503,_calc!$E$146))=0,"",INDEX('Documents'!$K$4:$K$503,_calc!$E$146)))=0,"","On file: "&amp;IF(LEN(INDEX('Documents'!$K$4:$K$503,_calc!$E$146))=0,"",INDEX('Documents'!$K$4:$K$503,_calc!$E$146))&amp;". ")&amp;IF(LEN(IF(LEN(INDEX('Documents'!$L$4:$L$503,_calc!$E$146))=0,"",INDEX('Documents'!$L$4:$L$503,_calc!$E$146)))=0,"","Contractor email: "&amp;IF(LEN(INDEX('Documents'!$L$4:$L$503,_calc!$E$146))=0,"",INDEX('Documents'!$L$4:$L$503,_calc!$E$146))&amp;". ")&amp;IF(LEN(IF(LEN(INDEX('Documents'!$P$4:$P$503,_calc!$E$146))=0,"",INDEX('Documents'!$P$4:$P$503,_calc!$E$146)))=0,"",IF(LEN(INDEX('Documents'!$P$4:$P$503,_calc!$E$146))=0,"",INDEX('Documents'!$P$4:$P$503,_calc!$E$146)))))</f>
        <v/>
      </c>
      <c r="G144" s="43">
        <f>IF(_calc!$E$146="","",IF(LEN(INDEX('Documents'!$O$4:$O$503,_calc!$E$146))=0,"",INDEX('Documents'!$O$4:$O$503,_calc!$E$146)))</f>
        <v/>
      </c>
      <c r="K144" s="43">
        <f>IF(_calc!$E$146="","",IF(LEN(INDEX('Documents'!$M$4:$M$503,_calc!$E$146))=0,"",INDEX('Documents'!$M$4:$M$503,_calc!$E$146)))</f>
        <v/>
      </c>
    </row>
    <row r="145">
      <c r="A145" s="43">
        <f>IF(_calc!$E$147="","",IF(LEN(INDEX('Documents'!$C$4:$C$503,_calc!$E$147))=0,"",INDEX('Documents'!$C$4:$C$503,_calc!$E$147))&amp;" – "&amp;IF(LEN(INDEX('Documents'!$A$4:$A$503,_calc!$E$147))=0,"",INDEX('Documents'!$A$4:$A$503,_calc!$E$147)))</f>
        <v/>
      </c>
      <c r="B145" s="43">
        <f>IF(_calc!$E$147="","",IF(ISNUMBER(INDEX('Documents'!$F$4:$F$503,_calc!$E$147)),TEXT(INDEX('Documents'!$F$4:$F$503,_calc!$E$147),"yyyy-mm-dd"),""))</f>
        <v/>
      </c>
      <c r="C145" s="43">
        <f>IF(_calc!$E$147="","","Contractor document")</f>
        <v/>
      </c>
      <c r="D145" s="43">
        <f>IF(_calc!$E$147="","",IF(ISNUMBER(INDEX('Documents'!$E$4:$E$503,_calc!$E$147)),TEXT(INDEX('Documents'!$E$4:$E$503,_calc!$E$147),"yyyy-mm-dd"),""))</f>
        <v/>
      </c>
      <c r="E145" s="43">
        <f>IF(_calc!$E$147="","",IF(LEN(INDEX('Documents'!$N$4:$N$503,_calc!$E$147))=0,"",INDEX('Documents'!$N$4:$N$503,_calc!$E$147)))</f>
        <v/>
      </c>
      <c r="F145" s="43">
        <f>IF(_calc!$E$147="","",TRIM(IF(LEN(IF(LEN(INDEX('Documents'!$B$4:$B$503,_calc!$E$147))=0,"",INDEX('Documents'!$B$4:$B$503,_calc!$E$147)))=0,"","Trade: "&amp;IF(LEN(INDEX('Documents'!$B$4:$B$503,_calc!$E$147))=0,"",INDEX('Documents'!$B$4:$B$503,_calc!$E$147))&amp;". ")&amp;IF(LEN(IF(LEN(INDEX('Documents'!$D$4:$D$503,_calc!$E$147))=0,"",INDEX('Documents'!$D$4:$D$503,_calc!$E$147)))=0,"","Ref: "&amp;IF(LEN(INDEX('Documents'!$D$4:$D$503,_calc!$E$147))=0,"",INDEX('Documents'!$D$4:$D$503,_calc!$E$147))&amp;". ")&amp;IF(LEN(IF(LEN(INDEX('Documents'!$K$4:$K$503,_calc!$E$147))=0,"",INDEX('Documents'!$K$4:$K$503,_calc!$E$147)))=0,"","On file: "&amp;IF(LEN(INDEX('Documents'!$K$4:$K$503,_calc!$E$147))=0,"",INDEX('Documents'!$K$4:$K$503,_calc!$E$147))&amp;". ")&amp;IF(LEN(IF(LEN(INDEX('Documents'!$L$4:$L$503,_calc!$E$147))=0,"",INDEX('Documents'!$L$4:$L$503,_calc!$E$147)))=0,"","Contractor email: "&amp;IF(LEN(INDEX('Documents'!$L$4:$L$503,_calc!$E$147))=0,"",INDEX('Documents'!$L$4:$L$503,_calc!$E$147))&amp;". ")&amp;IF(LEN(IF(LEN(INDEX('Documents'!$P$4:$P$503,_calc!$E$147))=0,"",INDEX('Documents'!$P$4:$P$503,_calc!$E$147)))=0,"",IF(LEN(INDEX('Documents'!$P$4:$P$503,_calc!$E$147))=0,"",INDEX('Documents'!$P$4:$P$503,_calc!$E$147)))))</f>
        <v/>
      </c>
      <c r="G145" s="43">
        <f>IF(_calc!$E$147="","",IF(LEN(INDEX('Documents'!$O$4:$O$503,_calc!$E$147))=0,"",INDEX('Documents'!$O$4:$O$503,_calc!$E$147)))</f>
        <v/>
      </c>
      <c r="K145" s="43">
        <f>IF(_calc!$E$147="","",IF(LEN(INDEX('Documents'!$M$4:$M$503,_calc!$E$147))=0,"",INDEX('Documents'!$M$4:$M$503,_calc!$E$147)))</f>
        <v/>
      </c>
    </row>
    <row r="146">
      <c r="A146" s="43">
        <f>IF(_calc!$E$148="","",IF(LEN(INDEX('Documents'!$C$4:$C$503,_calc!$E$148))=0,"",INDEX('Documents'!$C$4:$C$503,_calc!$E$148))&amp;" – "&amp;IF(LEN(INDEX('Documents'!$A$4:$A$503,_calc!$E$148))=0,"",INDEX('Documents'!$A$4:$A$503,_calc!$E$148)))</f>
        <v/>
      </c>
      <c r="B146" s="43">
        <f>IF(_calc!$E$148="","",IF(ISNUMBER(INDEX('Documents'!$F$4:$F$503,_calc!$E$148)),TEXT(INDEX('Documents'!$F$4:$F$503,_calc!$E$148),"yyyy-mm-dd"),""))</f>
        <v/>
      </c>
      <c r="C146" s="43">
        <f>IF(_calc!$E$148="","","Contractor document")</f>
        <v/>
      </c>
      <c r="D146" s="43">
        <f>IF(_calc!$E$148="","",IF(ISNUMBER(INDEX('Documents'!$E$4:$E$503,_calc!$E$148)),TEXT(INDEX('Documents'!$E$4:$E$503,_calc!$E$148),"yyyy-mm-dd"),""))</f>
        <v/>
      </c>
      <c r="E146" s="43">
        <f>IF(_calc!$E$148="","",IF(LEN(INDEX('Documents'!$N$4:$N$503,_calc!$E$148))=0,"",INDEX('Documents'!$N$4:$N$503,_calc!$E$148)))</f>
        <v/>
      </c>
      <c r="F146" s="43">
        <f>IF(_calc!$E$148="","",TRIM(IF(LEN(IF(LEN(INDEX('Documents'!$B$4:$B$503,_calc!$E$148))=0,"",INDEX('Documents'!$B$4:$B$503,_calc!$E$148)))=0,"","Trade: "&amp;IF(LEN(INDEX('Documents'!$B$4:$B$503,_calc!$E$148))=0,"",INDEX('Documents'!$B$4:$B$503,_calc!$E$148))&amp;". ")&amp;IF(LEN(IF(LEN(INDEX('Documents'!$D$4:$D$503,_calc!$E$148))=0,"",INDEX('Documents'!$D$4:$D$503,_calc!$E$148)))=0,"","Ref: "&amp;IF(LEN(INDEX('Documents'!$D$4:$D$503,_calc!$E$148))=0,"",INDEX('Documents'!$D$4:$D$503,_calc!$E$148))&amp;". ")&amp;IF(LEN(IF(LEN(INDEX('Documents'!$K$4:$K$503,_calc!$E$148))=0,"",INDEX('Documents'!$K$4:$K$503,_calc!$E$148)))=0,"","On file: "&amp;IF(LEN(INDEX('Documents'!$K$4:$K$503,_calc!$E$148))=0,"",INDEX('Documents'!$K$4:$K$503,_calc!$E$148))&amp;". ")&amp;IF(LEN(IF(LEN(INDEX('Documents'!$L$4:$L$503,_calc!$E$148))=0,"",INDEX('Documents'!$L$4:$L$503,_calc!$E$148)))=0,"","Contractor email: "&amp;IF(LEN(INDEX('Documents'!$L$4:$L$503,_calc!$E$148))=0,"",INDEX('Documents'!$L$4:$L$503,_calc!$E$148))&amp;". ")&amp;IF(LEN(IF(LEN(INDEX('Documents'!$P$4:$P$503,_calc!$E$148))=0,"",INDEX('Documents'!$P$4:$P$503,_calc!$E$148)))=0,"",IF(LEN(INDEX('Documents'!$P$4:$P$503,_calc!$E$148))=0,"",INDEX('Documents'!$P$4:$P$503,_calc!$E$148)))))</f>
        <v/>
      </c>
      <c r="G146" s="43">
        <f>IF(_calc!$E$148="","",IF(LEN(INDEX('Documents'!$O$4:$O$503,_calc!$E$148))=0,"",INDEX('Documents'!$O$4:$O$503,_calc!$E$148)))</f>
        <v/>
      </c>
      <c r="K146" s="43">
        <f>IF(_calc!$E$148="","",IF(LEN(INDEX('Documents'!$M$4:$M$503,_calc!$E$148))=0,"",INDEX('Documents'!$M$4:$M$503,_calc!$E$148)))</f>
        <v/>
      </c>
    </row>
    <row r="147">
      <c r="A147" s="43">
        <f>IF(_calc!$E$149="","",IF(LEN(INDEX('Documents'!$C$4:$C$503,_calc!$E$149))=0,"",INDEX('Documents'!$C$4:$C$503,_calc!$E$149))&amp;" – "&amp;IF(LEN(INDEX('Documents'!$A$4:$A$503,_calc!$E$149))=0,"",INDEX('Documents'!$A$4:$A$503,_calc!$E$149)))</f>
        <v/>
      </c>
      <c r="B147" s="43">
        <f>IF(_calc!$E$149="","",IF(ISNUMBER(INDEX('Documents'!$F$4:$F$503,_calc!$E$149)),TEXT(INDEX('Documents'!$F$4:$F$503,_calc!$E$149),"yyyy-mm-dd"),""))</f>
        <v/>
      </c>
      <c r="C147" s="43">
        <f>IF(_calc!$E$149="","","Contractor document")</f>
        <v/>
      </c>
      <c r="D147" s="43">
        <f>IF(_calc!$E$149="","",IF(ISNUMBER(INDEX('Documents'!$E$4:$E$503,_calc!$E$149)),TEXT(INDEX('Documents'!$E$4:$E$503,_calc!$E$149),"yyyy-mm-dd"),""))</f>
        <v/>
      </c>
      <c r="E147" s="43">
        <f>IF(_calc!$E$149="","",IF(LEN(INDEX('Documents'!$N$4:$N$503,_calc!$E$149))=0,"",INDEX('Documents'!$N$4:$N$503,_calc!$E$149)))</f>
        <v/>
      </c>
      <c r="F147" s="43">
        <f>IF(_calc!$E$149="","",TRIM(IF(LEN(IF(LEN(INDEX('Documents'!$B$4:$B$503,_calc!$E$149))=0,"",INDEX('Documents'!$B$4:$B$503,_calc!$E$149)))=0,"","Trade: "&amp;IF(LEN(INDEX('Documents'!$B$4:$B$503,_calc!$E$149))=0,"",INDEX('Documents'!$B$4:$B$503,_calc!$E$149))&amp;". ")&amp;IF(LEN(IF(LEN(INDEX('Documents'!$D$4:$D$503,_calc!$E$149))=0,"",INDEX('Documents'!$D$4:$D$503,_calc!$E$149)))=0,"","Ref: "&amp;IF(LEN(INDEX('Documents'!$D$4:$D$503,_calc!$E$149))=0,"",INDEX('Documents'!$D$4:$D$503,_calc!$E$149))&amp;". ")&amp;IF(LEN(IF(LEN(INDEX('Documents'!$K$4:$K$503,_calc!$E$149))=0,"",INDEX('Documents'!$K$4:$K$503,_calc!$E$149)))=0,"","On file: "&amp;IF(LEN(INDEX('Documents'!$K$4:$K$503,_calc!$E$149))=0,"",INDEX('Documents'!$K$4:$K$503,_calc!$E$149))&amp;". ")&amp;IF(LEN(IF(LEN(INDEX('Documents'!$L$4:$L$503,_calc!$E$149))=0,"",INDEX('Documents'!$L$4:$L$503,_calc!$E$149)))=0,"","Contractor email: "&amp;IF(LEN(INDEX('Documents'!$L$4:$L$503,_calc!$E$149))=0,"",INDEX('Documents'!$L$4:$L$503,_calc!$E$149))&amp;". ")&amp;IF(LEN(IF(LEN(INDEX('Documents'!$P$4:$P$503,_calc!$E$149))=0,"",INDEX('Documents'!$P$4:$P$503,_calc!$E$149)))=0,"",IF(LEN(INDEX('Documents'!$P$4:$P$503,_calc!$E$149))=0,"",INDEX('Documents'!$P$4:$P$503,_calc!$E$149)))))</f>
        <v/>
      </c>
      <c r="G147" s="43">
        <f>IF(_calc!$E$149="","",IF(LEN(INDEX('Documents'!$O$4:$O$503,_calc!$E$149))=0,"",INDEX('Documents'!$O$4:$O$503,_calc!$E$149)))</f>
        <v/>
      </c>
      <c r="K147" s="43">
        <f>IF(_calc!$E$149="","",IF(LEN(INDEX('Documents'!$M$4:$M$503,_calc!$E$149))=0,"",INDEX('Documents'!$M$4:$M$503,_calc!$E$149)))</f>
        <v/>
      </c>
    </row>
    <row r="148">
      <c r="A148" s="43">
        <f>IF(_calc!$E$150="","",IF(LEN(INDEX('Documents'!$C$4:$C$503,_calc!$E$150))=0,"",INDEX('Documents'!$C$4:$C$503,_calc!$E$150))&amp;" – "&amp;IF(LEN(INDEX('Documents'!$A$4:$A$503,_calc!$E$150))=0,"",INDEX('Documents'!$A$4:$A$503,_calc!$E$150)))</f>
        <v/>
      </c>
      <c r="B148" s="43">
        <f>IF(_calc!$E$150="","",IF(ISNUMBER(INDEX('Documents'!$F$4:$F$503,_calc!$E$150)),TEXT(INDEX('Documents'!$F$4:$F$503,_calc!$E$150),"yyyy-mm-dd"),""))</f>
        <v/>
      </c>
      <c r="C148" s="43">
        <f>IF(_calc!$E$150="","","Contractor document")</f>
        <v/>
      </c>
      <c r="D148" s="43">
        <f>IF(_calc!$E$150="","",IF(ISNUMBER(INDEX('Documents'!$E$4:$E$503,_calc!$E$150)),TEXT(INDEX('Documents'!$E$4:$E$503,_calc!$E$150),"yyyy-mm-dd"),""))</f>
        <v/>
      </c>
      <c r="E148" s="43">
        <f>IF(_calc!$E$150="","",IF(LEN(INDEX('Documents'!$N$4:$N$503,_calc!$E$150))=0,"",INDEX('Documents'!$N$4:$N$503,_calc!$E$150)))</f>
        <v/>
      </c>
      <c r="F148" s="43">
        <f>IF(_calc!$E$150="","",TRIM(IF(LEN(IF(LEN(INDEX('Documents'!$B$4:$B$503,_calc!$E$150))=0,"",INDEX('Documents'!$B$4:$B$503,_calc!$E$150)))=0,"","Trade: "&amp;IF(LEN(INDEX('Documents'!$B$4:$B$503,_calc!$E$150))=0,"",INDEX('Documents'!$B$4:$B$503,_calc!$E$150))&amp;". ")&amp;IF(LEN(IF(LEN(INDEX('Documents'!$D$4:$D$503,_calc!$E$150))=0,"",INDEX('Documents'!$D$4:$D$503,_calc!$E$150)))=0,"","Ref: "&amp;IF(LEN(INDEX('Documents'!$D$4:$D$503,_calc!$E$150))=0,"",INDEX('Documents'!$D$4:$D$503,_calc!$E$150))&amp;". ")&amp;IF(LEN(IF(LEN(INDEX('Documents'!$K$4:$K$503,_calc!$E$150))=0,"",INDEX('Documents'!$K$4:$K$503,_calc!$E$150)))=0,"","On file: "&amp;IF(LEN(INDEX('Documents'!$K$4:$K$503,_calc!$E$150))=0,"",INDEX('Documents'!$K$4:$K$503,_calc!$E$150))&amp;". ")&amp;IF(LEN(IF(LEN(INDEX('Documents'!$L$4:$L$503,_calc!$E$150))=0,"",INDEX('Documents'!$L$4:$L$503,_calc!$E$150)))=0,"","Contractor email: "&amp;IF(LEN(INDEX('Documents'!$L$4:$L$503,_calc!$E$150))=0,"",INDEX('Documents'!$L$4:$L$503,_calc!$E$150))&amp;". ")&amp;IF(LEN(IF(LEN(INDEX('Documents'!$P$4:$P$503,_calc!$E$150))=0,"",INDEX('Documents'!$P$4:$P$503,_calc!$E$150)))=0,"",IF(LEN(INDEX('Documents'!$P$4:$P$503,_calc!$E$150))=0,"",INDEX('Documents'!$P$4:$P$503,_calc!$E$150)))))</f>
        <v/>
      </c>
      <c r="G148" s="43">
        <f>IF(_calc!$E$150="","",IF(LEN(INDEX('Documents'!$O$4:$O$503,_calc!$E$150))=0,"",INDEX('Documents'!$O$4:$O$503,_calc!$E$150)))</f>
        <v/>
      </c>
      <c r="K148" s="43">
        <f>IF(_calc!$E$150="","",IF(LEN(INDEX('Documents'!$M$4:$M$503,_calc!$E$150))=0,"",INDEX('Documents'!$M$4:$M$503,_calc!$E$150)))</f>
        <v/>
      </c>
    </row>
    <row r="149">
      <c r="A149" s="43">
        <f>IF(_calc!$E$151="","",IF(LEN(INDEX('Documents'!$C$4:$C$503,_calc!$E$151))=0,"",INDEX('Documents'!$C$4:$C$503,_calc!$E$151))&amp;" – "&amp;IF(LEN(INDEX('Documents'!$A$4:$A$503,_calc!$E$151))=0,"",INDEX('Documents'!$A$4:$A$503,_calc!$E$151)))</f>
        <v/>
      </c>
      <c r="B149" s="43">
        <f>IF(_calc!$E$151="","",IF(ISNUMBER(INDEX('Documents'!$F$4:$F$503,_calc!$E$151)),TEXT(INDEX('Documents'!$F$4:$F$503,_calc!$E$151),"yyyy-mm-dd"),""))</f>
        <v/>
      </c>
      <c r="C149" s="43">
        <f>IF(_calc!$E$151="","","Contractor document")</f>
        <v/>
      </c>
      <c r="D149" s="43">
        <f>IF(_calc!$E$151="","",IF(ISNUMBER(INDEX('Documents'!$E$4:$E$503,_calc!$E$151)),TEXT(INDEX('Documents'!$E$4:$E$503,_calc!$E$151),"yyyy-mm-dd"),""))</f>
        <v/>
      </c>
      <c r="E149" s="43">
        <f>IF(_calc!$E$151="","",IF(LEN(INDEX('Documents'!$N$4:$N$503,_calc!$E$151))=0,"",INDEX('Documents'!$N$4:$N$503,_calc!$E$151)))</f>
        <v/>
      </c>
      <c r="F149" s="43">
        <f>IF(_calc!$E$151="","",TRIM(IF(LEN(IF(LEN(INDEX('Documents'!$B$4:$B$503,_calc!$E$151))=0,"",INDEX('Documents'!$B$4:$B$503,_calc!$E$151)))=0,"","Trade: "&amp;IF(LEN(INDEX('Documents'!$B$4:$B$503,_calc!$E$151))=0,"",INDEX('Documents'!$B$4:$B$503,_calc!$E$151))&amp;". ")&amp;IF(LEN(IF(LEN(INDEX('Documents'!$D$4:$D$503,_calc!$E$151))=0,"",INDEX('Documents'!$D$4:$D$503,_calc!$E$151)))=0,"","Ref: "&amp;IF(LEN(INDEX('Documents'!$D$4:$D$503,_calc!$E$151))=0,"",INDEX('Documents'!$D$4:$D$503,_calc!$E$151))&amp;". ")&amp;IF(LEN(IF(LEN(INDEX('Documents'!$K$4:$K$503,_calc!$E$151))=0,"",INDEX('Documents'!$K$4:$K$503,_calc!$E$151)))=0,"","On file: "&amp;IF(LEN(INDEX('Documents'!$K$4:$K$503,_calc!$E$151))=0,"",INDEX('Documents'!$K$4:$K$503,_calc!$E$151))&amp;". ")&amp;IF(LEN(IF(LEN(INDEX('Documents'!$L$4:$L$503,_calc!$E$151))=0,"",INDEX('Documents'!$L$4:$L$503,_calc!$E$151)))=0,"","Contractor email: "&amp;IF(LEN(INDEX('Documents'!$L$4:$L$503,_calc!$E$151))=0,"",INDEX('Documents'!$L$4:$L$503,_calc!$E$151))&amp;". ")&amp;IF(LEN(IF(LEN(INDEX('Documents'!$P$4:$P$503,_calc!$E$151))=0,"",INDEX('Documents'!$P$4:$P$503,_calc!$E$151)))=0,"",IF(LEN(INDEX('Documents'!$P$4:$P$503,_calc!$E$151))=0,"",INDEX('Documents'!$P$4:$P$503,_calc!$E$151)))))</f>
        <v/>
      </c>
      <c r="G149" s="43">
        <f>IF(_calc!$E$151="","",IF(LEN(INDEX('Documents'!$O$4:$O$503,_calc!$E$151))=0,"",INDEX('Documents'!$O$4:$O$503,_calc!$E$151)))</f>
        <v/>
      </c>
      <c r="K149" s="43">
        <f>IF(_calc!$E$151="","",IF(LEN(INDEX('Documents'!$M$4:$M$503,_calc!$E$151))=0,"",INDEX('Documents'!$M$4:$M$503,_calc!$E$151)))</f>
        <v/>
      </c>
    </row>
    <row r="150">
      <c r="A150" s="43">
        <f>IF(_calc!$E$152="","",IF(LEN(INDEX('Documents'!$C$4:$C$503,_calc!$E$152))=0,"",INDEX('Documents'!$C$4:$C$503,_calc!$E$152))&amp;" – "&amp;IF(LEN(INDEX('Documents'!$A$4:$A$503,_calc!$E$152))=0,"",INDEX('Documents'!$A$4:$A$503,_calc!$E$152)))</f>
        <v/>
      </c>
      <c r="B150" s="43">
        <f>IF(_calc!$E$152="","",IF(ISNUMBER(INDEX('Documents'!$F$4:$F$503,_calc!$E$152)),TEXT(INDEX('Documents'!$F$4:$F$503,_calc!$E$152),"yyyy-mm-dd"),""))</f>
        <v/>
      </c>
      <c r="C150" s="43">
        <f>IF(_calc!$E$152="","","Contractor document")</f>
        <v/>
      </c>
      <c r="D150" s="43">
        <f>IF(_calc!$E$152="","",IF(ISNUMBER(INDEX('Documents'!$E$4:$E$503,_calc!$E$152)),TEXT(INDEX('Documents'!$E$4:$E$503,_calc!$E$152),"yyyy-mm-dd"),""))</f>
        <v/>
      </c>
      <c r="E150" s="43">
        <f>IF(_calc!$E$152="","",IF(LEN(INDEX('Documents'!$N$4:$N$503,_calc!$E$152))=0,"",INDEX('Documents'!$N$4:$N$503,_calc!$E$152)))</f>
        <v/>
      </c>
      <c r="F150" s="43">
        <f>IF(_calc!$E$152="","",TRIM(IF(LEN(IF(LEN(INDEX('Documents'!$B$4:$B$503,_calc!$E$152))=0,"",INDEX('Documents'!$B$4:$B$503,_calc!$E$152)))=0,"","Trade: "&amp;IF(LEN(INDEX('Documents'!$B$4:$B$503,_calc!$E$152))=0,"",INDEX('Documents'!$B$4:$B$503,_calc!$E$152))&amp;". ")&amp;IF(LEN(IF(LEN(INDEX('Documents'!$D$4:$D$503,_calc!$E$152))=0,"",INDEX('Documents'!$D$4:$D$503,_calc!$E$152)))=0,"","Ref: "&amp;IF(LEN(INDEX('Documents'!$D$4:$D$503,_calc!$E$152))=0,"",INDEX('Documents'!$D$4:$D$503,_calc!$E$152))&amp;". ")&amp;IF(LEN(IF(LEN(INDEX('Documents'!$K$4:$K$503,_calc!$E$152))=0,"",INDEX('Documents'!$K$4:$K$503,_calc!$E$152)))=0,"","On file: "&amp;IF(LEN(INDEX('Documents'!$K$4:$K$503,_calc!$E$152))=0,"",INDEX('Documents'!$K$4:$K$503,_calc!$E$152))&amp;". ")&amp;IF(LEN(IF(LEN(INDEX('Documents'!$L$4:$L$503,_calc!$E$152))=0,"",INDEX('Documents'!$L$4:$L$503,_calc!$E$152)))=0,"","Contractor email: "&amp;IF(LEN(INDEX('Documents'!$L$4:$L$503,_calc!$E$152))=0,"",INDEX('Documents'!$L$4:$L$503,_calc!$E$152))&amp;". ")&amp;IF(LEN(IF(LEN(INDEX('Documents'!$P$4:$P$503,_calc!$E$152))=0,"",INDEX('Documents'!$P$4:$P$503,_calc!$E$152)))=0,"",IF(LEN(INDEX('Documents'!$P$4:$P$503,_calc!$E$152))=0,"",INDEX('Documents'!$P$4:$P$503,_calc!$E$152)))))</f>
        <v/>
      </c>
      <c r="G150" s="43">
        <f>IF(_calc!$E$152="","",IF(LEN(INDEX('Documents'!$O$4:$O$503,_calc!$E$152))=0,"",INDEX('Documents'!$O$4:$O$503,_calc!$E$152)))</f>
        <v/>
      </c>
      <c r="K150" s="43">
        <f>IF(_calc!$E$152="","",IF(LEN(INDEX('Documents'!$M$4:$M$503,_calc!$E$152))=0,"",INDEX('Documents'!$M$4:$M$503,_calc!$E$152)))</f>
        <v/>
      </c>
    </row>
    <row r="151">
      <c r="A151" s="43">
        <f>IF(_calc!$E$153="","",IF(LEN(INDEX('Documents'!$C$4:$C$503,_calc!$E$153))=0,"",INDEX('Documents'!$C$4:$C$503,_calc!$E$153))&amp;" – "&amp;IF(LEN(INDEX('Documents'!$A$4:$A$503,_calc!$E$153))=0,"",INDEX('Documents'!$A$4:$A$503,_calc!$E$153)))</f>
        <v/>
      </c>
      <c r="B151" s="43">
        <f>IF(_calc!$E$153="","",IF(ISNUMBER(INDEX('Documents'!$F$4:$F$503,_calc!$E$153)),TEXT(INDEX('Documents'!$F$4:$F$503,_calc!$E$153),"yyyy-mm-dd"),""))</f>
        <v/>
      </c>
      <c r="C151" s="43">
        <f>IF(_calc!$E$153="","","Contractor document")</f>
        <v/>
      </c>
      <c r="D151" s="43">
        <f>IF(_calc!$E$153="","",IF(ISNUMBER(INDEX('Documents'!$E$4:$E$503,_calc!$E$153)),TEXT(INDEX('Documents'!$E$4:$E$503,_calc!$E$153),"yyyy-mm-dd"),""))</f>
        <v/>
      </c>
      <c r="E151" s="43">
        <f>IF(_calc!$E$153="","",IF(LEN(INDEX('Documents'!$N$4:$N$503,_calc!$E$153))=0,"",INDEX('Documents'!$N$4:$N$503,_calc!$E$153)))</f>
        <v/>
      </c>
      <c r="F151" s="43">
        <f>IF(_calc!$E$153="","",TRIM(IF(LEN(IF(LEN(INDEX('Documents'!$B$4:$B$503,_calc!$E$153))=0,"",INDEX('Documents'!$B$4:$B$503,_calc!$E$153)))=0,"","Trade: "&amp;IF(LEN(INDEX('Documents'!$B$4:$B$503,_calc!$E$153))=0,"",INDEX('Documents'!$B$4:$B$503,_calc!$E$153))&amp;". ")&amp;IF(LEN(IF(LEN(INDEX('Documents'!$D$4:$D$503,_calc!$E$153))=0,"",INDEX('Documents'!$D$4:$D$503,_calc!$E$153)))=0,"","Ref: "&amp;IF(LEN(INDEX('Documents'!$D$4:$D$503,_calc!$E$153))=0,"",INDEX('Documents'!$D$4:$D$503,_calc!$E$153))&amp;". ")&amp;IF(LEN(IF(LEN(INDEX('Documents'!$K$4:$K$503,_calc!$E$153))=0,"",INDEX('Documents'!$K$4:$K$503,_calc!$E$153)))=0,"","On file: "&amp;IF(LEN(INDEX('Documents'!$K$4:$K$503,_calc!$E$153))=0,"",INDEX('Documents'!$K$4:$K$503,_calc!$E$153))&amp;". ")&amp;IF(LEN(IF(LEN(INDEX('Documents'!$L$4:$L$503,_calc!$E$153))=0,"",INDEX('Documents'!$L$4:$L$503,_calc!$E$153)))=0,"","Contractor email: "&amp;IF(LEN(INDEX('Documents'!$L$4:$L$503,_calc!$E$153))=0,"",INDEX('Documents'!$L$4:$L$503,_calc!$E$153))&amp;". ")&amp;IF(LEN(IF(LEN(INDEX('Documents'!$P$4:$P$503,_calc!$E$153))=0,"",INDEX('Documents'!$P$4:$P$503,_calc!$E$153)))=0,"",IF(LEN(INDEX('Documents'!$P$4:$P$503,_calc!$E$153))=0,"",INDEX('Documents'!$P$4:$P$503,_calc!$E$153)))))</f>
        <v/>
      </c>
      <c r="G151" s="43">
        <f>IF(_calc!$E$153="","",IF(LEN(INDEX('Documents'!$O$4:$O$503,_calc!$E$153))=0,"",INDEX('Documents'!$O$4:$O$503,_calc!$E$153)))</f>
        <v/>
      </c>
      <c r="K151" s="43">
        <f>IF(_calc!$E$153="","",IF(LEN(INDEX('Documents'!$M$4:$M$503,_calc!$E$153))=0,"",INDEX('Documents'!$M$4:$M$503,_calc!$E$153)))</f>
        <v/>
      </c>
    </row>
    <row r="152">
      <c r="A152" s="43">
        <f>IF(_calc!$E$154="","",IF(LEN(INDEX('Documents'!$C$4:$C$503,_calc!$E$154))=0,"",INDEX('Documents'!$C$4:$C$503,_calc!$E$154))&amp;" – "&amp;IF(LEN(INDEX('Documents'!$A$4:$A$503,_calc!$E$154))=0,"",INDEX('Documents'!$A$4:$A$503,_calc!$E$154)))</f>
        <v/>
      </c>
      <c r="B152" s="43">
        <f>IF(_calc!$E$154="","",IF(ISNUMBER(INDEX('Documents'!$F$4:$F$503,_calc!$E$154)),TEXT(INDEX('Documents'!$F$4:$F$503,_calc!$E$154),"yyyy-mm-dd"),""))</f>
        <v/>
      </c>
      <c r="C152" s="43">
        <f>IF(_calc!$E$154="","","Contractor document")</f>
        <v/>
      </c>
      <c r="D152" s="43">
        <f>IF(_calc!$E$154="","",IF(ISNUMBER(INDEX('Documents'!$E$4:$E$503,_calc!$E$154)),TEXT(INDEX('Documents'!$E$4:$E$503,_calc!$E$154),"yyyy-mm-dd"),""))</f>
        <v/>
      </c>
      <c r="E152" s="43">
        <f>IF(_calc!$E$154="","",IF(LEN(INDEX('Documents'!$N$4:$N$503,_calc!$E$154))=0,"",INDEX('Documents'!$N$4:$N$503,_calc!$E$154)))</f>
        <v/>
      </c>
      <c r="F152" s="43">
        <f>IF(_calc!$E$154="","",TRIM(IF(LEN(IF(LEN(INDEX('Documents'!$B$4:$B$503,_calc!$E$154))=0,"",INDEX('Documents'!$B$4:$B$503,_calc!$E$154)))=0,"","Trade: "&amp;IF(LEN(INDEX('Documents'!$B$4:$B$503,_calc!$E$154))=0,"",INDEX('Documents'!$B$4:$B$503,_calc!$E$154))&amp;". ")&amp;IF(LEN(IF(LEN(INDEX('Documents'!$D$4:$D$503,_calc!$E$154))=0,"",INDEX('Documents'!$D$4:$D$503,_calc!$E$154)))=0,"","Ref: "&amp;IF(LEN(INDEX('Documents'!$D$4:$D$503,_calc!$E$154))=0,"",INDEX('Documents'!$D$4:$D$503,_calc!$E$154))&amp;". ")&amp;IF(LEN(IF(LEN(INDEX('Documents'!$K$4:$K$503,_calc!$E$154))=0,"",INDEX('Documents'!$K$4:$K$503,_calc!$E$154)))=0,"","On file: "&amp;IF(LEN(INDEX('Documents'!$K$4:$K$503,_calc!$E$154))=0,"",INDEX('Documents'!$K$4:$K$503,_calc!$E$154))&amp;". ")&amp;IF(LEN(IF(LEN(INDEX('Documents'!$L$4:$L$503,_calc!$E$154))=0,"",INDEX('Documents'!$L$4:$L$503,_calc!$E$154)))=0,"","Contractor email: "&amp;IF(LEN(INDEX('Documents'!$L$4:$L$503,_calc!$E$154))=0,"",INDEX('Documents'!$L$4:$L$503,_calc!$E$154))&amp;". ")&amp;IF(LEN(IF(LEN(INDEX('Documents'!$P$4:$P$503,_calc!$E$154))=0,"",INDEX('Documents'!$P$4:$P$503,_calc!$E$154)))=0,"",IF(LEN(INDEX('Documents'!$P$4:$P$503,_calc!$E$154))=0,"",INDEX('Documents'!$P$4:$P$503,_calc!$E$154)))))</f>
        <v/>
      </c>
      <c r="G152" s="43">
        <f>IF(_calc!$E$154="","",IF(LEN(INDEX('Documents'!$O$4:$O$503,_calc!$E$154))=0,"",INDEX('Documents'!$O$4:$O$503,_calc!$E$154)))</f>
        <v/>
      </c>
      <c r="K152" s="43">
        <f>IF(_calc!$E$154="","",IF(LEN(INDEX('Documents'!$M$4:$M$503,_calc!$E$154))=0,"",INDEX('Documents'!$M$4:$M$503,_calc!$E$154)))</f>
        <v/>
      </c>
    </row>
    <row r="153">
      <c r="A153" s="43">
        <f>IF(_calc!$E$155="","",IF(LEN(INDEX('Documents'!$C$4:$C$503,_calc!$E$155))=0,"",INDEX('Documents'!$C$4:$C$503,_calc!$E$155))&amp;" – "&amp;IF(LEN(INDEX('Documents'!$A$4:$A$503,_calc!$E$155))=0,"",INDEX('Documents'!$A$4:$A$503,_calc!$E$155)))</f>
        <v/>
      </c>
      <c r="B153" s="43">
        <f>IF(_calc!$E$155="","",IF(ISNUMBER(INDEX('Documents'!$F$4:$F$503,_calc!$E$155)),TEXT(INDEX('Documents'!$F$4:$F$503,_calc!$E$155),"yyyy-mm-dd"),""))</f>
        <v/>
      </c>
      <c r="C153" s="43">
        <f>IF(_calc!$E$155="","","Contractor document")</f>
        <v/>
      </c>
      <c r="D153" s="43">
        <f>IF(_calc!$E$155="","",IF(ISNUMBER(INDEX('Documents'!$E$4:$E$503,_calc!$E$155)),TEXT(INDEX('Documents'!$E$4:$E$503,_calc!$E$155),"yyyy-mm-dd"),""))</f>
        <v/>
      </c>
      <c r="E153" s="43">
        <f>IF(_calc!$E$155="","",IF(LEN(INDEX('Documents'!$N$4:$N$503,_calc!$E$155))=0,"",INDEX('Documents'!$N$4:$N$503,_calc!$E$155)))</f>
        <v/>
      </c>
      <c r="F153" s="43">
        <f>IF(_calc!$E$155="","",TRIM(IF(LEN(IF(LEN(INDEX('Documents'!$B$4:$B$503,_calc!$E$155))=0,"",INDEX('Documents'!$B$4:$B$503,_calc!$E$155)))=0,"","Trade: "&amp;IF(LEN(INDEX('Documents'!$B$4:$B$503,_calc!$E$155))=0,"",INDEX('Documents'!$B$4:$B$503,_calc!$E$155))&amp;". ")&amp;IF(LEN(IF(LEN(INDEX('Documents'!$D$4:$D$503,_calc!$E$155))=0,"",INDEX('Documents'!$D$4:$D$503,_calc!$E$155)))=0,"","Ref: "&amp;IF(LEN(INDEX('Documents'!$D$4:$D$503,_calc!$E$155))=0,"",INDEX('Documents'!$D$4:$D$503,_calc!$E$155))&amp;". ")&amp;IF(LEN(IF(LEN(INDEX('Documents'!$K$4:$K$503,_calc!$E$155))=0,"",INDEX('Documents'!$K$4:$K$503,_calc!$E$155)))=0,"","On file: "&amp;IF(LEN(INDEX('Documents'!$K$4:$K$503,_calc!$E$155))=0,"",INDEX('Documents'!$K$4:$K$503,_calc!$E$155))&amp;". ")&amp;IF(LEN(IF(LEN(INDEX('Documents'!$L$4:$L$503,_calc!$E$155))=0,"",INDEX('Documents'!$L$4:$L$503,_calc!$E$155)))=0,"","Contractor email: "&amp;IF(LEN(INDEX('Documents'!$L$4:$L$503,_calc!$E$155))=0,"",INDEX('Documents'!$L$4:$L$503,_calc!$E$155))&amp;". ")&amp;IF(LEN(IF(LEN(INDEX('Documents'!$P$4:$P$503,_calc!$E$155))=0,"",INDEX('Documents'!$P$4:$P$503,_calc!$E$155)))=0,"",IF(LEN(INDEX('Documents'!$P$4:$P$503,_calc!$E$155))=0,"",INDEX('Documents'!$P$4:$P$503,_calc!$E$155)))))</f>
        <v/>
      </c>
      <c r="G153" s="43">
        <f>IF(_calc!$E$155="","",IF(LEN(INDEX('Documents'!$O$4:$O$503,_calc!$E$155))=0,"",INDEX('Documents'!$O$4:$O$503,_calc!$E$155)))</f>
        <v/>
      </c>
      <c r="K153" s="43">
        <f>IF(_calc!$E$155="","",IF(LEN(INDEX('Documents'!$M$4:$M$503,_calc!$E$155))=0,"",INDEX('Documents'!$M$4:$M$503,_calc!$E$155)))</f>
        <v/>
      </c>
    </row>
    <row r="154">
      <c r="A154" s="43">
        <f>IF(_calc!$E$156="","",IF(LEN(INDEX('Documents'!$C$4:$C$503,_calc!$E$156))=0,"",INDEX('Documents'!$C$4:$C$503,_calc!$E$156))&amp;" – "&amp;IF(LEN(INDEX('Documents'!$A$4:$A$503,_calc!$E$156))=0,"",INDEX('Documents'!$A$4:$A$503,_calc!$E$156)))</f>
        <v/>
      </c>
      <c r="B154" s="43">
        <f>IF(_calc!$E$156="","",IF(ISNUMBER(INDEX('Documents'!$F$4:$F$503,_calc!$E$156)),TEXT(INDEX('Documents'!$F$4:$F$503,_calc!$E$156),"yyyy-mm-dd"),""))</f>
        <v/>
      </c>
      <c r="C154" s="43">
        <f>IF(_calc!$E$156="","","Contractor document")</f>
        <v/>
      </c>
      <c r="D154" s="43">
        <f>IF(_calc!$E$156="","",IF(ISNUMBER(INDEX('Documents'!$E$4:$E$503,_calc!$E$156)),TEXT(INDEX('Documents'!$E$4:$E$503,_calc!$E$156),"yyyy-mm-dd"),""))</f>
        <v/>
      </c>
      <c r="E154" s="43">
        <f>IF(_calc!$E$156="","",IF(LEN(INDEX('Documents'!$N$4:$N$503,_calc!$E$156))=0,"",INDEX('Documents'!$N$4:$N$503,_calc!$E$156)))</f>
        <v/>
      </c>
      <c r="F154" s="43">
        <f>IF(_calc!$E$156="","",TRIM(IF(LEN(IF(LEN(INDEX('Documents'!$B$4:$B$503,_calc!$E$156))=0,"",INDEX('Documents'!$B$4:$B$503,_calc!$E$156)))=0,"","Trade: "&amp;IF(LEN(INDEX('Documents'!$B$4:$B$503,_calc!$E$156))=0,"",INDEX('Documents'!$B$4:$B$503,_calc!$E$156))&amp;". ")&amp;IF(LEN(IF(LEN(INDEX('Documents'!$D$4:$D$503,_calc!$E$156))=0,"",INDEX('Documents'!$D$4:$D$503,_calc!$E$156)))=0,"","Ref: "&amp;IF(LEN(INDEX('Documents'!$D$4:$D$503,_calc!$E$156))=0,"",INDEX('Documents'!$D$4:$D$503,_calc!$E$156))&amp;". ")&amp;IF(LEN(IF(LEN(INDEX('Documents'!$K$4:$K$503,_calc!$E$156))=0,"",INDEX('Documents'!$K$4:$K$503,_calc!$E$156)))=0,"","On file: "&amp;IF(LEN(INDEX('Documents'!$K$4:$K$503,_calc!$E$156))=0,"",INDEX('Documents'!$K$4:$K$503,_calc!$E$156))&amp;". ")&amp;IF(LEN(IF(LEN(INDEX('Documents'!$L$4:$L$503,_calc!$E$156))=0,"",INDEX('Documents'!$L$4:$L$503,_calc!$E$156)))=0,"","Contractor email: "&amp;IF(LEN(INDEX('Documents'!$L$4:$L$503,_calc!$E$156))=0,"",INDEX('Documents'!$L$4:$L$503,_calc!$E$156))&amp;". ")&amp;IF(LEN(IF(LEN(INDEX('Documents'!$P$4:$P$503,_calc!$E$156))=0,"",INDEX('Documents'!$P$4:$P$503,_calc!$E$156)))=0,"",IF(LEN(INDEX('Documents'!$P$4:$P$503,_calc!$E$156))=0,"",INDEX('Documents'!$P$4:$P$503,_calc!$E$156)))))</f>
        <v/>
      </c>
      <c r="G154" s="43">
        <f>IF(_calc!$E$156="","",IF(LEN(INDEX('Documents'!$O$4:$O$503,_calc!$E$156))=0,"",INDEX('Documents'!$O$4:$O$503,_calc!$E$156)))</f>
        <v/>
      </c>
      <c r="K154" s="43">
        <f>IF(_calc!$E$156="","",IF(LEN(INDEX('Documents'!$M$4:$M$503,_calc!$E$156))=0,"",INDEX('Documents'!$M$4:$M$503,_calc!$E$156)))</f>
        <v/>
      </c>
    </row>
    <row r="155">
      <c r="A155" s="43">
        <f>IF(_calc!$E$157="","",IF(LEN(INDEX('Documents'!$C$4:$C$503,_calc!$E$157))=0,"",INDEX('Documents'!$C$4:$C$503,_calc!$E$157))&amp;" – "&amp;IF(LEN(INDEX('Documents'!$A$4:$A$503,_calc!$E$157))=0,"",INDEX('Documents'!$A$4:$A$503,_calc!$E$157)))</f>
        <v/>
      </c>
      <c r="B155" s="43">
        <f>IF(_calc!$E$157="","",IF(ISNUMBER(INDEX('Documents'!$F$4:$F$503,_calc!$E$157)),TEXT(INDEX('Documents'!$F$4:$F$503,_calc!$E$157),"yyyy-mm-dd"),""))</f>
        <v/>
      </c>
      <c r="C155" s="43">
        <f>IF(_calc!$E$157="","","Contractor document")</f>
        <v/>
      </c>
      <c r="D155" s="43">
        <f>IF(_calc!$E$157="","",IF(ISNUMBER(INDEX('Documents'!$E$4:$E$503,_calc!$E$157)),TEXT(INDEX('Documents'!$E$4:$E$503,_calc!$E$157),"yyyy-mm-dd"),""))</f>
        <v/>
      </c>
      <c r="E155" s="43">
        <f>IF(_calc!$E$157="","",IF(LEN(INDEX('Documents'!$N$4:$N$503,_calc!$E$157))=0,"",INDEX('Documents'!$N$4:$N$503,_calc!$E$157)))</f>
        <v/>
      </c>
      <c r="F155" s="43">
        <f>IF(_calc!$E$157="","",TRIM(IF(LEN(IF(LEN(INDEX('Documents'!$B$4:$B$503,_calc!$E$157))=0,"",INDEX('Documents'!$B$4:$B$503,_calc!$E$157)))=0,"","Trade: "&amp;IF(LEN(INDEX('Documents'!$B$4:$B$503,_calc!$E$157))=0,"",INDEX('Documents'!$B$4:$B$503,_calc!$E$157))&amp;". ")&amp;IF(LEN(IF(LEN(INDEX('Documents'!$D$4:$D$503,_calc!$E$157))=0,"",INDEX('Documents'!$D$4:$D$503,_calc!$E$157)))=0,"","Ref: "&amp;IF(LEN(INDEX('Documents'!$D$4:$D$503,_calc!$E$157))=0,"",INDEX('Documents'!$D$4:$D$503,_calc!$E$157))&amp;". ")&amp;IF(LEN(IF(LEN(INDEX('Documents'!$K$4:$K$503,_calc!$E$157))=0,"",INDEX('Documents'!$K$4:$K$503,_calc!$E$157)))=0,"","On file: "&amp;IF(LEN(INDEX('Documents'!$K$4:$K$503,_calc!$E$157))=0,"",INDEX('Documents'!$K$4:$K$503,_calc!$E$157))&amp;". ")&amp;IF(LEN(IF(LEN(INDEX('Documents'!$L$4:$L$503,_calc!$E$157))=0,"",INDEX('Documents'!$L$4:$L$503,_calc!$E$157)))=0,"","Contractor email: "&amp;IF(LEN(INDEX('Documents'!$L$4:$L$503,_calc!$E$157))=0,"",INDEX('Documents'!$L$4:$L$503,_calc!$E$157))&amp;". ")&amp;IF(LEN(IF(LEN(INDEX('Documents'!$P$4:$P$503,_calc!$E$157))=0,"",INDEX('Documents'!$P$4:$P$503,_calc!$E$157)))=0,"",IF(LEN(INDEX('Documents'!$P$4:$P$503,_calc!$E$157))=0,"",INDEX('Documents'!$P$4:$P$503,_calc!$E$157)))))</f>
        <v/>
      </c>
      <c r="G155" s="43">
        <f>IF(_calc!$E$157="","",IF(LEN(INDEX('Documents'!$O$4:$O$503,_calc!$E$157))=0,"",INDEX('Documents'!$O$4:$O$503,_calc!$E$157)))</f>
        <v/>
      </c>
      <c r="K155" s="43">
        <f>IF(_calc!$E$157="","",IF(LEN(INDEX('Documents'!$M$4:$M$503,_calc!$E$157))=0,"",INDEX('Documents'!$M$4:$M$503,_calc!$E$157)))</f>
        <v/>
      </c>
    </row>
    <row r="156">
      <c r="A156" s="43">
        <f>IF(_calc!$E$158="","",IF(LEN(INDEX('Documents'!$C$4:$C$503,_calc!$E$158))=0,"",INDEX('Documents'!$C$4:$C$503,_calc!$E$158))&amp;" – "&amp;IF(LEN(INDEX('Documents'!$A$4:$A$503,_calc!$E$158))=0,"",INDEX('Documents'!$A$4:$A$503,_calc!$E$158)))</f>
        <v/>
      </c>
      <c r="B156" s="43">
        <f>IF(_calc!$E$158="","",IF(ISNUMBER(INDEX('Documents'!$F$4:$F$503,_calc!$E$158)),TEXT(INDEX('Documents'!$F$4:$F$503,_calc!$E$158),"yyyy-mm-dd"),""))</f>
        <v/>
      </c>
      <c r="C156" s="43">
        <f>IF(_calc!$E$158="","","Contractor document")</f>
        <v/>
      </c>
      <c r="D156" s="43">
        <f>IF(_calc!$E$158="","",IF(ISNUMBER(INDEX('Documents'!$E$4:$E$503,_calc!$E$158)),TEXT(INDEX('Documents'!$E$4:$E$503,_calc!$E$158),"yyyy-mm-dd"),""))</f>
        <v/>
      </c>
      <c r="E156" s="43">
        <f>IF(_calc!$E$158="","",IF(LEN(INDEX('Documents'!$N$4:$N$503,_calc!$E$158))=0,"",INDEX('Documents'!$N$4:$N$503,_calc!$E$158)))</f>
        <v/>
      </c>
      <c r="F156" s="43">
        <f>IF(_calc!$E$158="","",TRIM(IF(LEN(IF(LEN(INDEX('Documents'!$B$4:$B$503,_calc!$E$158))=0,"",INDEX('Documents'!$B$4:$B$503,_calc!$E$158)))=0,"","Trade: "&amp;IF(LEN(INDEX('Documents'!$B$4:$B$503,_calc!$E$158))=0,"",INDEX('Documents'!$B$4:$B$503,_calc!$E$158))&amp;". ")&amp;IF(LEN(IF(LEN(INDEX('Documents'!$D$4:$D$503,_calc!$E$158))=0,"",INDEX('Documents'!$D$4:$D$503,_calc!$E$158)))=0,"","Ref: "&amp;IF(LEN(INDEX('Documents'!$D$4:$D$503,_calc!$E$158))=0,"",INDEX('Documents'!$D$4:$D$503,_calc!$E$158))&amp;". ")&amp;IF(LEN(IF(LEN(INDEX('Documents'!$K$4:$K$503,_calc!$E$158))=0,"",INDEX('Documents'!$K$4:$K$503,_calc!$E$158)))=0,"","On file: "&amp;IF(LEN(INDEX('Documents'!$K$4:$K$503,_calc!$E$158))=0,"",INDEX('Documents'!$K$4:$K$503,_calc!$E$158))&amp;". ")&amp;IF(LEN(IF(LEN(INDEX('Documents'!$L$4:$L$503,_calc!$E$158))=0,"",INDEX('Documents'!$L$4:$L$503,_calc!$E$158)))=0,"","Contractor email: "&amp;IF(LEN(INDEX('Documents'!$L$4:$L$503,_calc!$E$158))=0,"",INDEX('Documents'!$L$4:$L$503,_calc!$E$158))&amp;". ")&amp;IF(LEN(IF(LEN(INDEX('Documents'!$P$4:$P$503,_calc!$E$158))=0,"",INDEX('Documents'!$P$4:$P$503,_calc!$E$158)))=0,"",IF(LEN(INDEX('Documents'!$P$4:$P$503,_calc!$E$158))=0,"",INDEX('Documents'!$P$4:$P$503,_calc!$E$158)))))</f>
        <v/>
      </c>
      <c r="G156" s="43">
        <f>IF(_calc!$E$158="","",IF(LEN(INDEX('Documents'!$O$4:$O$503,_calc!$E$158))=0,"",INDEX('Documents'!$O$4:$O$503,_calc!$E$158)))</f>
        <v/>
      </c>
      <c r="K156" s="43">
        <f>IF(_calc!$E$158="","",IF(LEN(INDEX('Documents'!$M$4:$M$503,_calc!$E$158))=0,"",INDEX('Documents'!$M$4:$M$503,_calc!$E$158)))</f>
        <v/>
      </c>
    </row>
    <row r="157">
      <c r="A157" s="43">
        <f>IF(_calc!$E$159="","",IF(LEN(INDEX('Documents'!$C$4:$C$503,_calc!$E$159))=0,"",INDEX('Documents'!$C$4:$C$503,_calc!$E$159))&amp;" – "&amp;IF(LEN(INDEX('Documents'!$A$4:$A$503,_calc!$E$159))=0,"",INDEX('Documents'!$A$4:$A$503,_calc!$E$159)))</f>
        <v/>
      </c>
      <c r="B157" s="43">
        <f>IF(_calc!$E$159="","",IF(ISNUMBER(INDEX('Documents'!$F$4:$F$503,_calc!$E$159)),TEXT(INDEX('Documents'!$F$4:$F$503,_calc!$E$159),"yyyy-mm-dd"),""))</f>
        <v/>
      </c>
      <c r="C157" s="43">
        <f>IF(_calc!$E$159="","","Contractor document")</f>
        <v/>
      </c>
      <c r="D157" s="43">
        <f>IF(_calc!$E$159="","",IF(ISNUMBER(INDEX('Documents'!$E$4:$E$503,_calc!$E$159)),TEXT(INDEX('Documents'!$E$4:$E$503,_calc!$E$159),"yyyy-mm-dd"),""))</f>
        <v/>
      </c>
      <c r="E157" s="43">
        <f>IF(_calc!$E$159="","",IF(LEN(INDEX('Documents'!$N$4:$N$503,_calc!$E$159))=0,"",INDEX('Documents'!$N$4:$N$503,_calc!$E$159)))</f>
        <v/>
      </c>
      <c r="F157" s="43">
        <f>IF(_calc!$E$159="","",TRIM(IF(LEN(IF(LEN(INDEX('Documents'!$B$4:$B$503,_calc!$E$159))=0,"",INDEX('Documents'!$B$4:$B$503,_calc!$E$159)))=0,"","Trade: "&amp;IF(LEN(INDEX('Documents'!$B$4:$B$503,_calc!$E$159))=0,"",INDEX('Documents'!$B$4:$B$503,_calc!$E$159))&amp;". ")&amp;IF(LEN(IF(LEN(INDEX('Documents'!$D$4:$D$503,_calc!$E$159))=0,"",INDEX('Documents'!$D$4:$D$503,_calc!$E$159)))=0,"","Ref: "&amp;IF(LEN(INDEX('Documents'!$D$4:$D$503,_calc!$E$159))=0,"",INDEX('Documents'!$D$4:$D$503,_calc!$E$159))&amp;". ")&amp;IF(LEN(IF(LEN(INDEX('Documents'!$K$4:$K$503,_calc!$E$159))=0,"",INDEX('Documents'!$K$4:$K$503,_calc!$E$159)))=0,"","On file: "&amp;IF(LEN(INDEX('Documents'!$K$4:$K$503,_calc!$E$159))=0,"",INDEX('Documents'!$K$4:$K$503,_calc!$E$159))&amp;". ")&amp;IF(LEN(IF(LEN(INDEX('Documents'!$L$4:$L$503,_calc!$E$159))=0,"",INDEX('Documents'!$L$4:$L$503,_calc!$E$159)))=0,"","Contractor email: "&amp;IF(LEN(INDEX('Documents'!$L$4:$L$503,_calc!$E$159))=0,"",INDEX('Documents'!$L$4:$L$503,_calc!$E$159))&amp;". ")&amp;IF(LEN(IF(LEN(INDEX('Documents'!$P$4:$P$503,_calc!$E$159))=0,"",INDEX('Documents'!$P$4:$P$503,_calc!$E$159)))=0,"",IF(LEN(INDEX('Documents'!$P$4:$P$503,_calc!$E$159))=0,"",INDEX('Documents'!$P$4:$P$503,_calc!$E$159)))))</f>
        <v/>
      </c>
      <c r="G157" s="43">
        <f>IF(_calc!$E$159="","",IF(LEN(INDEX('Documents'!$O$4:$O$503,_calc!$E$159))=0,"",INDEX('Documents'!$O$4:$O$503,_calc!$E$159)))</f>
        <v/>
      </c>
      <c r="K157" s="43">
        <f>IF(_calc!$E$159="","",IF(LEN(INDEX('Documents'!$M$4:$M$503,_calc!$E$159))=0,"",INDEX('Documents'!$M$4:$M$503,_calc!$E$159)))</f>
        <v/>
      </c>
    </row>
    <row r="158">
      <c r="A158" s="43">
        <f>IF(_calc!$E$160="","",IF(LEN(INDEX('Documents'!$C$4:$C$503,_calc!$E$160))=0,"",INDEX('Documents'!$C$4:$C$503,_calc!$E$160))&amp;" – "&amp;IF(LEN(INDEX('Documents'!$A$4:$A$503,_calc!$E$160))=0,"",INDEX('Documents'!$A$4:$A$503,_calc!$E$160)))</f>
        <v/>
      </c>
      <c r="B158" s="43">
        <f>IF(_calc!$E$160="","",IF(ISNUMBER(INDEX('Documents'!$F$4:$F$503,_calc!$E$160)),TEXT(INDEX('Documents'!$F$4:$F$503,_calc!$E$160),"yyyy-mm-dd"),""))</f>
        <v/>
      </c>
      <c r="C158" s="43">
        <f>IF(_calc!$E$160="","","Contractor document")</f>
        <v/>
      </c>
      <c r="D158" s="43">
        <f>IF(_calc!$E$160="","",IF(ISNUMBER(INDEX('Documents'!$E$4:$E$503,_calc!$E$160)),TEXT(INDEX('Documents'!$E$4:$E$503,_calc!$E$160),"yyyy-mm-dd"),""))</f>
        <v/>
      </c>
      <c r="E158" s="43">
        <f>IF(_calc!$E$160="","",IF(LEN(INDEX('Documents'!$N$4:$N$503,_calc!$E$160))=0,"",INDEX('Documents'!$N$4:$N$503,_calc!$E$160)))</f>
        <v/>
      </c>
      <c r="F158" s="43">
        <f>IF(_calc!$E$160="","",TRIM(IF(LEN(IF(LEN(INDEX('Documents'!$B$4:$B$503,_calc!$E$160))=0,"",INDEX('Documents'!$B$4:$B$503,_calc!$E$160)))=0,"","Trade: "&amp;IF(LEN(INDEX('Documents'!$B$4:$B$503,_calc!$E$160))=0,"",INDEX('Documents'!$B$4:$B$503,_calc!$E$160))&amp;". ")&amp;IF(LEN(IF(LEN(INDEX('Documents'!$D$4:$D$503,_calc!$E$160))=0,"",INDEX('Documents'!$D$4:$D$503,_calc!$E$160)))=0,"","Ref: "&amp;IF(LEN(INDEX('Documents'!$D$4:$D$503,_calc!$E$160))=0,"",INDEX('Documents'!$D$4:$D$503,_calc!$E$160))&amp;". ")&amp;IF(LEN(IF(LEN(INDEX('Documents'!$K$4:$K$503,_calc!$E$160))=0,"",INDEX('Documents'!$K$4:$K$503,_calc!$E$160)))=0,"","On file: "&amp;IF(LEN(INDEX('Documents'!$K$4:$K$503,_calc!$E$160))=0,"",INDEX('Documents'!$K$4:$K$503,_calc!$E$160))&amp;". ")&amp;IF(LEN(IF(LEN(INDEX('Documents'!$L$4:$L$503,_calc!$E$160))=0,"",INDEX('Documents'!$L$4:$L$503,_calc!$E$160)))=0,"","Contractor email: "&amp;IF(LEN(INDEX('Documents'!$L$4:$L$503,_calc!$E$160))=0,"",INDEX('Documents'!$L$4:$L$503,_calc!$E$160))&amp;". ")&amp;IF(LEN(IF(LEN(INDEX('Documents'!$P$4:$P$503,_calc!$E$160))=0,"",INDEX('Documents'!$P$4:$P$503,_calc!$E$160)))=0,"",IF(LEN(INDEX('Documents'!$P$4:$P$503,_calc!$E$160))=0,"",INDEX('Documents'!$P$4:$P$503,_calc!$E$160)))))</f>
        <v/>
      </c>
      <c r="G158" s="43">
        <f>IF(_calc!$E$160="","",IF(LEN(INDEX('Documents'!$O$4:$O$503,_calc!$E$160))=0,"",INDEX('Documents'!$O$4:$O$503,_calc!$E$160)))</f>
        <v/>
      </c>
      <c r="K158" s="43">
        <f>IF(_calc!$E$160="","",IF(LEN(INDEX('Documents'!$M$4:$M$503,_calc!$E$160))=0,"",INDEX('Documents'!$M$4:$M$503,_calc!$E$160)))</f>
        <v/>
      </c>
    </row>
    <row r="159">
      <c r="A159" s="43">
        <f>IF(_calc!$E$161="","",IF(LEN(INDEX('Documents'!$C$4:$C$503,_calc!$E$161))=0,"",INDEX('Documents'!$C$4:$C$503,_calc!$E$161))&amp;" – "&amp;IF(LEN(INDEX('Documents'!$A$4:$A$503,_calc!$E$161))=0,"",INDEX('Documents'!$A$4:$A$503,_calc!$E$161)))</f>
        <v/>
      </c>
      <c r="B159" s="43">
        <f>IF(_calc!$E$161="","",IF(ISNUMBER(INDEX('Documents'!$F$4:$F$503,_calc!$E$161)),TEXT(INDEX('Documents'!$F$4:$F$503,_calc!$E$161),"yyyy-mm-dd"),""))</f>
        <v/>
      </c>
      <c r="C159" s="43">
        <f>IF(_calc!$E$161="","","Contractor document")</f>
        <v/>
      </c>
      <c r="D159" s="43">
        <f>IF(_calc!$E$161="","",IF(ISNUMBER(INDEX('Documents'!$E$4:$E$503,_calc!$E$161)),TEXT(INDEX('Documents'!$E$4:$E$503,_calc!$E$161),"yyyy-mm-dd"),""))</f>
        <v/>
      </c>
      <c r="E159" s="43">
        <f>IF(_calc!$E$161="","",IF(LEN(INDEX('Documents'!$N$4:$N$503,_calc!$E$161))=0,"",INDEX('Documents'!$N$4:$N$503,_calc!$E$161)))</f>
        <v/>
      </c>
      <c r="F159" s="43">
        <f>IF(_calc!$E$161="","",TRIM(IF(LEN(IF(LEN(INDEX('Documents'!$B$4:$B$503,_calc!$E$161))=0,"",INDEX('Documents'!$B$4:$B$503,_calc!$E$161)))=0,"","Trade: "&amp;IF(LEN(INDEX('Documents'!$B$4:$B$503,_calc!$E$161))=0,"",INDEX('Documents'!$B$4:$B$503,_calc!$E$161))&amp;". ")&amp;IF(LEN(IF(LEN(INDEX('Documents'!$D$4:$D$503,_calc!$E$161))=0,"",INDEX('Documents'!$D$4:$D$503,_calc!$E$161)))=0,"","Ref: "&amp;IF(LEN(INDEX('Documents'!$D$4:$D$503,_calc!$E$161))=0,"",INDEX('Documents'!$D$4:$D$503,_calc!$E$161))&amp;". ")&amp;IF(LEN(IF(LEN(INDEX('Documents'!$K$4:$K$503,_calc!$E$161))=0,"",INDEX('Documents'!$K$4:$K$503,_calc!$E$161)))=0,"","On file: "&amp;IF(LEN(INDEX('Documents'!$K$4:$K$503,_calc!$E$161))=0,"",INDEX('Documents'!$K$4:$K$503,_calc!$E$161))&amp;". ")&amp;IF(LEN(IF(LEN(INDEX('Documents'!$L$4:$L$503,_calc!$E$161))=0,"",INDEX('Documents'!$L$4:$L$503,_calc!$E$161)))=0,"","Contractor email: "&amp;IF(LEN(INDEX('Documents'!$L$4:$L$503,_calc!$E$161))=0,"",INDEX('Documents'!$L$4:$L$503,_calc!$E$161))&amp;". ")&amp;IF(LEN(IF(LEN(INDEX('Documents'!$P$4:$P$503,_calc!$E$161))=0,"",INDEX('Documents'!$P$4:$P$503,_calc!$E$161)))=0,"",IF(LEN(INDEX('Documents'!$P$4:$P$503,_calc!$E$161))=0,"",INDEX('Documents'!$P$4:$P$503,_calc!$E$161)))))</f>
        <v/>
      </c>
      <c r="G159" s="43">
        <f>IF(_calc!$E$161="","",IF(LEN(INDEX('Documents'!$O$4:$O$503,_calc!$E$161))=0,"",INDEX('Documents'!$O$4:$O$503,_calc!$E$161)))</f>
        <v/>
      </c>
      <c r="K159" s="43">
        <f>IF(_calc!$E$161="","",IF(LEN(INDEX('Documents'!$M$4:$M$503,_calc!$E$161))=0,"",INDEX('Documents'!$M$4:$M$503,_calc!$E$161)))</f>
        <v/>
      </c>
    </row>
    <row r="160">
      <c r="A160" s="43">
        <f>IF(_calc!$E$162="","",IF(LEN(INDEX('Documents'!$C$4:$C$503,_calc!$E$162))=0,"",INDEX('Documents'!$C$4:$C$503,_calc!$E$162))&amp;" – "&amp;IF(LEN(INDEX('Documents'!$A$4:$A$503,_calc!$E$162))=0,"",INDEX('Documents'!$A$4:$A$503,_calc!$E$162)))</f>
        <v/>
      </c>
      <c r="B160" s="43">
        <f>IF(_calc!$E$162="","",IF(ISNUMBER(INDEX('Documents'!$F$4:$F$503,_calc!$E$162)),TEXT(INDEX('Documents'!$F$4:$F$503,_calc!$E$162),"yyyy-mm-dd"),""))</f>
        <v/>
      </c>
      <c r="C160" s="43">
        <f>IF(_calc!$E$162="","","Contractor document")</f>
        <v/>
      </c>
      <c r="D160" s="43">
        <f>IF(_calc!$E$162="","",IF(ISNUMBER(INDEX('Documents'!$E$4:$E$503,_calc!$E$162)),TEXT(INDEX('Documents'!$E$4:$E$503,_calc!$E$162),"yyyy-mm-dd"),""))</f>
        <v/>
      </c>
      <c r="E160" s="43">
        <f>IF(_calc!$E$162="","",IF(LEN(INDEX('Documents'!$N$4:$N$503,_calc!$E$162))=0,"",INDEX('Documents'!$N$4:$N$503,_calc!$E$162)))</f>
        <v/>
      </c>
      <c r="F160" s="43">
        <f>IF(_calc!$E$162="","",TRIM(IF(LEN(IF(LEN(INDEX('Documents'!$B$4:$B$503,_calc!$E$162))=0,"",INDEX('Documents'!$B$4:$B$503,_calc!$E$162)))=0,"","Trade: "&amp;IF(LEN(INDEX('Documents'!$B$4:$B$503,_calc!$E$162))=0,"",INDEX('Documents'!$B$4:$B$503,_calc!$E$162))&amp;". ")&amp;IF(LEN(IF(LEN(INDEX('Documents'!$D$4:$D$503,_calc!$E$162))=0,"",INDEX('Documents'!$D$4:$D$503,_calc!$E$162)))=0,"","Ref: "&amp;IF(LEN(INDEX('Documents'!$D$4:$D$503,_calc!$E$162))=0,"",INDEX('Documents'!$D$4:$D$503,_calc!$E$162))&amp;". ")&amp;IF(LEN(IF(LEN(INDEX('Documents'!$K$4:$K$503,_calc!$E$162))=0,"",INDEX('Documents'!$K$4:$K$503,_calc!$E$162)))=0,"","On file: "&amp;IF(LEN(INDEX('Documents'!$K$4:$K$503,_calc!$E$162))=0,"",INDEX('Documents'!$K$4:$K$503,_calc!$E$162))&amp;". ")&amp;IF(LEN(IF(LEN(INDEX('Documents'!$L$4:$L$503,_calc!$E$162))=0,"",INDEX('Documents'!$L$4:$L$503,_calc!$E$162)))=0,"","Contractor email: "&amp;IF(LEN(INDEX('Documents'!$L$4:$L$503,_calc!$E$162))=0,"",INDEX('Documents'!$L$4:$L$503,_calc!$E$162))&amp;". ")&amp;IF(LEN(IF(LEN(INDEX('Documents'!$P$4:$P$503,_calc!$E$162))=0,"",INDEX('Documents'!$P$4:$P$503,_calc!$E$162)))=0,"",IF(LEN(INDEX('Documents'!$P$4:$P$503,_calc!$E$162))=0,"",INDEX('Documents'!$P$4:$P$503,_calc!$E$162)))))</f>
        <v/>
      </c>
      <c r="G160" s="43">
        <f>IF(_calc!$E$162="","",IF(LEN(INDEX('Documents'!$O$4:$O$503,_calc!$E$162))=0,"",INDEX('Documents'!$O$4:$O$503,_calc!$E$162)))</f>
        <v/>
      </c>
      <c r="K160" s="43">
        <f>IF(_calc!$E$162="","",IF(LEN(INDEX('Documents'!$M$4:$M$503,_calc!$E$162))=0,"",INDEX('Documents'!$M$4:$M$503,_calc!$E$162)))</f>
        <v/>
      </c>
    </row>
    <row r="161">
      <c r="A161" s="43">
        <f>IF(_calc!$E$163="","",IF(LEN(INDEX('Documents'!$C$4:$C$503,_calc!$E$163))=0,"",INDEX('Documents'!$C$4:$C$503,_calc!$E$163))&amp;" – "&amp;IF(LEN(INDEX('Documents'!$A$4:$A$503,_calc!$E$163))=0,"",INDEX('Documents'!$A$4:$A$503,_calc!$E$163)))</f>
        <v/>
      </c>
      <c r="B161" s="43">
        <f>IF(_calc!$E$163="","",IF(ISNUMBER(INDEX('Documents'!$F$4:$F$503,_calc!$E$163)),TEXT(INDEX('Documents'!$F$4:$F$503,_calc!$E$163),"yyyy-mm-dd"),""))</f>
        <v/>
      </c>
      <c r="C161" s="43">
        <f>IF(_calc!$E$163="","","Contractor document")</f>
        <v/>
      </c>
      <c r="D161" s="43">
        <f>IF(_calc!$E$163="","",IF(ISNUMBER(INDEX('Documents'!$E$4:$E$503,_calc!$E$163)),TEXT(INDEX('Documents'!$E$4:$E$503,_calc!$E$163),"yyyy-mm-dd"),""))</f>
        <v/>
      </c>
      <c r="E161" s="43">
        <f>IF(_calc!$E$163="","",IF(LEN(INDEX('Documents'!$N$4:$N$503,_calc!$E$163))=0,"",INDEX('Documents'!$N$4:$N$503,_calc!$E$163)))</f>
        <v/>
      </c>
      <c r="F161" s="43">
        <f>IF(_calc!$E$163="","",TRIM(IF(LEN(IF(LEN(INDEX('Documents'!$B$4:$B$503,_calc!$E$163))=0,"",INDEX('Documents'!$B$4:$B$503,_calc!$E$163)))=0,"","Trade: "&amp;IF(LEN(INDEX('Documents'!$B$4:$B$503,_calc!$E$163))=0,"",INDEX('Documents'!$B$4:$B$503,_calc!$E$163))&amp;". ")&amp;IF(LEN(IF(LEN(INDEX('Documents'!$D$4:$D$503,_calc!$E$163))=0,"",INDEX('Documents'!$D$4:$D$503,_calc!$E$163)))=0,"","Ref: "&amp;IF(LEN(INDEX('Documents'!$D$4:$D$503,_calc!$E$163))=0,"",INDEX('Documents'!$D$4:$D$503,_calc!$E$163))&amp;". ")&amp;IF(LEN(IF(LEN(INDEX('Documents'!$K$4:$K$503,_calc!$E$163))=0,"",INDEX('Documents'!$K$4:$K$503,_calc!$E$163)))=0,"","On file: "&amp;IF(LEN(INDEX('Documents'!$K$4:$K$503,_calc!$E$163))=0,"",INDEX('Documents'!$K$4:$K$503,_calc!$E$163))&amp;". ")&amp;IF(LEN(IF(LEN(INDEX('Documents'!$L$4:$L$503,_calc!$E$163))=0,"",INDEX('Documents'!$L$4:$L$503,_calc!$E$163)))=0,"","Contractor email: "&amp;IF(LEN(INDEX('Documents'!$L$4:$L$503,_calc!$E$163))=0,"",INDEX('Documents'!$L$4:$L$503,_calc!$E$163))&amp;". ")&amp;IF(LEN(IF(LEN(INDEX('Documents'!$P$4:$P$503,_calc!$E$163))=0,"",INDEX('Documents'!$P$4:$P$503,_calc!$E$163)))=0,"",IF(LEN(INDEX('Documents'!$P$4:$P$503,_calc!$E$163))=0,"",INDEX('Documents'!$P$4:$P$503,_calc!$E$163)))))</f>
        <v/>
      </c>
      <c r="G161" s="43">
        <f>IF(_calc!$E$163="","",IF(LEN(INDEX('Documents'!$O$4:$O$503,_calc!$E$163))=0,"",INDEX('Documents'!$O$4:$O$503,_calc!$E$163)))</f>
        <v/>
      </c>
      <c r="K161" s="43">
        <f>IF(_calc!$E$163="","",IF(LEN(INDEX('Documents'!$M$4:$M$503,_calc!$E$163))=0,"",INDEX('Documents'!$M$4:$M$503,_calc!$E$163)))</f>
        <v/>
      </c>
    </row>
    <row r="162">
      <c r="A162" s="43">
        <f>IF(_calc!$E$164="","",IF(LEN(INDEX('Documents'!$C$4:$C$503,_calc!$E$164))=0,"",INDEX('Documents'!$C$4:$C$503,_calc!$E$164))&amp;" – "&amp;IF(LEN(INDEX('Documents'!$A$4:$A$503,_calc!$E$164))=0,"",INDEX('Documents'!$A$4:$A$503,_calc!$E$164)))</f>
        <v/>
      </c>
      <c r="B162" s="43">
        <f>IF(_calc!$E$164="","",IF(ISNUMBER(INDEX('Documents'!$F$4:$F$503,_calc!$E$164)),TEXT(INDEX('Documents'!$F$4:$F$503,_calc!$E$164),"yyyy-mm-dd"),""))</f>
        <v/>
      </c>
      <c r="C162" s="43">
        <f>IF(_calc!$E$164="","","Contractor document")</f>
        <v/>
      </c>
      <c r="D162" s="43">
        <f>IF(_calc!$E$164="","",IF(ISNUMBER(INDEX('Documents'!$E$4:$E$503,_calc!$E$164)),TEXT(INDEX('Documents'!$E$4:$E$503,_calc!$E$164),"yyyy-mm-dd"),""))</f>
        <v/>
      </c>
      <c r="E162" s="43">
        <f>IF(_calc!$E$164="","",IF(LEN(INDEX('Documents'!$N$4:$N$503,_calc!$E$164))=0,"",INDEX('Documents'!$N$4:$N$503,_calc!$E$164)))</f>
        <v/>
      </c>
      <c r="F162" s="43">
        <f>IF(_calc!$E$164="","",TRIM(IF(LEN(IF(LEN(INDEX('Documents'!$B$4:$B$503,_calc!$E$164))=0,"",INDEX('Documents'!$B$4:$B$503,_calc!$E$164)))=0,"","Trade: "&amp;IF(LEN(INDEX('Documents'!$B$4:$B$503,_calc!$E$164))=0,"",INDEX('Documents'!$B$4:$B$503,_calc!$E$164))&amp;". ")&amp;IF(LEN(IF(LEN(INDEX('Documents'!$D$4:$D$503,_calc!$E$164))=0,"",INDEX('Documents'!$D$4:$D$503,_calc!$E$164)))=0,"","Ref: "&amp;IF(LEN(INDEX('Documents'!$D$4:$D$503,_calc!$E$164))=0,"",INDEX('Documents'!$D$4:$D$503,_calc!$E$164))&amp;". ")&amp;IF(LEN(IF(LEN(INDEX('Documents'!$K$4:$K$503,_calc!$E$164))=0,"",INDEX('Documents'!$K$4:$K$503,_calc!$E$164)))=0,"","On file: "&amp;IF(LEN(INDEX('Documents'!$K$4:$K$503,_calc!$E$164))=0,"",INDEX('Documents'!$K$4:$K$503,_calc!$E$164))&amp;". ")&amp;IF(LEN(IF(LEN(INDEX('Documents'!$L$4:$L$503,_calc!$E$164))=0,"",INDEX('Documents'!$L$4:$L$503,_calc!$E$164)))=0,"","Contractor email: "&amp;IF(LEN(INDEX('Documents'!$L$4:$L$503,_calc!$E$164))=0,"",INDEX('Documents'!$L$4:$L$503,_calc!$E$164))&amp;". ")&amp;IF(LEN(IF(LEN(INDEX('Documents'!$P$4:$P$503,_calc!$E$164))=0,"",INDEX('Documents'!$P$4:$P$503,_calc!$E$164)))=0,"",IF(LEN(INDEX('Documents'!$P$4:$P$503,_calc!$E$164))=0,"",INDEX('Documents'!$P$4:$P$503,_calc!$E$164)))))</f>
        <v/>
      </c>
      <c r="G162" s="43">
        <f>IF(_calc!$E$164="","",IF(LEN(INDEX('Documents'!$O$4:$O$503,_calc!$E$164))=0,"",INDEX('Documents'!$O$4:$O$503,_calc!$E$164)))</f>
        <v/>
      </c>
      <c r="K162" s="43">
        <f>IF(_calc!$E$164="","",IF(LEN(INDEX('Documents'!$M$4:$M$503,_calc!$E$164))=0,"",INDEX('Documents'!$M$4:$M$503,_calc!$E$164)))</f>
        <v/>
      </c>
    </row>
    <row r="163">
      <c r="A163" s="43">
        <f>IF(_calc!$E$165="","",IF(LEN(INDEX('Documents'!$C$4:$C$503,_calc!$E$165))=0,"",INDEX('Documents'!$C$4:$C$503,_calc!$E$165))&amp;" – "&amp;IF(LEN(INDEX('Documents'!$A$4:$A$503,_calc!$E$165))=0,"",INDEX('Documents'!$A$4:$A$503,_calc!$E$165)))</f>
        <v/>
      </c>
      <c r="B163" s="43">
        <f>IF(_calc!$E$165="","",IF(ISNUMBER(INDEX('Documents'!$F$4:$F$503,_calc!$E$165)),TEXT(INDEX('Documents'!$F$4:$F$503,_calc!$E$165),"yyyy-mm-dd"),""))</f>
        <v/>
      </c>
      <c r="C163" s="43">
        <f>IF(_calc!$E$165="","","Contractor document")</f>
        <v/>
      </c>
      <c r="D163" s="43">
        <f>IF(_calc!$E$165="","",IF(ISNUMBER(INDEX('Documents'!$E$4:$E$503,_calc!$E$165)),TEXT(INDEX('Documents'!$E$4:$E$503,_calc!$E$165),"yyyy-mm-dd"),""))</f>
        <v/>
      </c>
      <c r="E163" s="43">
        <f>IF(_calc!$E$165="","",IF(LEN(INDEX('Documents'!$N$4:$N$503,_calc!$E$165))=0,"",INDEX('Documents'!$N$4:$N$503,_calc!$E$165)))</f>
        <v/>
      </c>
      <c r="F163" s="43">
        <f>IF(_calc!$E$165="","",TRIM(IF(LEN(IF(LEN(INDEX('Documents'!$B$4:$B$503,_calc!$E$165))=0,"",INDEX('Documents'!$B$4:$B$503,_calc!$E$165)))=0,"","Trade: "&amp;IF(LEN(INDEX('Documents'!$B$4:$B$503,_calc!$E$165))=0,"",INDEX('Documents'!$B$4:$B$503,_calc!$E$165))&amp;". ")&amp;IF(LEN(IF(LEN(INDEX('Documents'!$D$4:$D$503,_calc!$E$165))=0,"",INDEX('Documents'!$D$4:$D$503,_calc!$E$165)))=0,"","Ref: "&amp;IF(LEN(INDEX('Documents'!$D$4:$D$503,_calc!$E$165))=0,"",INDEX('Documents'!$D$4:$D$503,_calc!$E$165))&amp;". ")&amp;IF(LEN(IF(LEN(INDEX('Documents'!$K$4:$K$503,_calc!$E$165))=0,"",INDEX('Documents'!$K$4:$K$503,_calc!$E$165)))=0,"","On file: "&amp;IF(LEN(INDEX('Documents'!$K$4:$K$503,_calc!$E$165))=0,"",INDEX('Documents'!$K$4:$K$503,_calc!$E$165))&amp;". ")&amp;IF(LEN(IF(LEN(INDEX('Documents'!$L$4:$L$503,_calc!$E$165))=0,"",INDEX('Documents'!$L$4:$L$503,_calc!$E$165)))=0,"","Contractor email: "&amp;IF(LEN(INDEX('Documents'!$L$4:$L$503,_calc!$E$165))=0,"",INDEX('Documents'!$L$4:$L$503,_calc!$E$165))&amp;". ")&amp;IF(LEN(IF(LEN(INDEX('Documents'!$P$4:$P$503,_calc!$E$165))=0,"",INDEX('Documents'!$P$4:$P$503,_calc!$E$165)))=0,"",IF(LEN(INDEX('Documents'!$P$4:$P$503,_calc!$E$165))=0,"",INDEX('Documents'!$P$4:$P$503,_calc!$E$165)))))</f>
        <v/>
      </c>
      <c r="G163" s="43">
        <f>IF(_calc!$E$165="","",IF(LEN(INDEX('Documents'!$O$4:$O$503,_calc!$E$165))=0,"",INDEX('Documents'!$O$4:$O$503,_calc!$E$165)))</f>
        <v/>
      </c>
      <c r="K163" s="43">
        <f>IF(_calc!$E$165="","",IF(LEN(INDEX('Documents'!$M$4:$M$503,_calc!$E$165))=0,"",INDEX('Documents'!$M$4:$M$503,_calc!$E$165)))</f>
        <v/>
      </c>
    </row>
    <row r="164">
      <c r="A164" s="43">
        <f>IF(_calc!$E$166="","",IF(LEN(INDEX('Documents'!$C$4:$C$503,_calc!$E$166))=0,"",INDEX('Documents'!$C$4:$C$503,_calc!$E$166))&amp;" – "&amp;IF(LEN(INDEX('Documents'!$A$4:$A$503,_calc!$E$166))=0,"",INDEX('Documents'!$A$4:$A$503,_calc!$E$166)))</f>
        <v/>
      </c>
      <c r="B164" s="43">
        <f>IF(_calc!$E$166="","",IF(ISNUMBER(INDEX('Documents'!$F$4:$F$503,_calc!$E$166)),TEXT(INDEX('Documents'!$F$4:$F$503,_calc!$E$166),"yyyy-mm-dd"),""))</f>
        <v/>
      </c>
      <c r="C164" s="43">
        <f>IF(_calc!$E$166="","","Contractor document")</f>
        <v/>
      </c>
      <c r="D164" s="43">
        <f>IF(_calc!$E$166="","",IF(ISNUMBER(INDEX('Documents'!$E$4:$E$503,_calc!$E$166)),TEXT(INDEX('Documents'!$E$4:$E$503,_calc!$E$166),"yyyy-mm-dd"),""))</f>
        <v/>
      </c>
      <c r="E164" s="43">
        <f>IF(_calc!$E$166="","",IF(LEN(INDEX('Documents'!$N$4:$N$503,_calc!$E$166))=0,"",INDEX('Documents'!$N$4:$N$503,_calc!$E$166)))</f>
        <v/>
      </c>
      <c r="F164" s="43">
        <f>IF(_calc!$E$166="","",TRIM(IF(LEN(IF(LEN(INDEX('Documents'!$B$4:$B$503,_calc!$E$166))=0,"",INDEX('Documents'!$B$4:$B$503,_calc!$E$166)))=0,"","Trade: "&amp;IF(LEN(INDEX('Documents'!$B$4:$B$503,_calc!$E$166))=0,"",INDEX('Documents'!$B$4:$B$503,_calc!$E$166))&amp;". ")&amp;IF(LEN(IF(LEN(INDEX('Documents'!$D$4:$D$503,_calc!$E$166))=0,"",INDEX('Documents'!$D$4:$D$503,_calc!$E$166)))=0,"","Ref: "&amp;IF(LEN(INDEX('Documents'!$D$4:$D$503,_calc!$E$166))=0,"",INDEX('Documents'!$D$4:$D$503,_calc!$E$166))&amp;". ")&amp;IF(LEN(IF(LEN(INDEX('Documents'!$K$4:$K$503,_calc!$E$166))=0,"",INDEX('Documents'!$K$4:$K$503,_calc!$E$166)))=0,"","On file: "&amp;IF(LEN(INDEX('Documents'!$K$4:$K$503,_calc!$E$166))=0,"",INDEX('Documents'!$K$4:$K$503,_calc!$E$166))&amp;". ")&amp;IF(LEN(IF(LEN(INDEX('Documents'!$L$4:$L$503,_calc!$E$166))=0,"",INDEX('Documents'!$L$4:$L$503,_calc!$E$166)))=0,"","Contractor email: "&amp;IF(LEN(INDEX('Documents'!$L$4:$L$503,_calc!$E$166))=0,"",INDEX('Documents'!$L$4:$L$503,_calc!$E$166))&amp;". ")&amp;IF(LEN(IF(LEN(INDEX('Documents'!$P$4:$P$503,_calc!$E$166))=0,"",INDEX('Documents'!$P$4:$P$503,_calc!$E$166)))=0,"",IF(LEN(INDEX('Documents'!$P$4:$P$503,_calc!$E$166))=0,"",INDEX('Documents'!$P$4:$P$503,_calc!$E$166)))))</f>
        <v/>
      </c>
      <c r="G164" s="43">
        <f>IF(_calc!$E$166="","",IF(LEN(INDEX('Documents'!$O$4:$O$503,_calc!$E$166))=0,"",INDEX('Documents'!$O$4:$O$503,_calc!$E$166)))</f>
        <v/>
      </c>
      <c r="K164" s="43">
        <f>IF(_calc!$E$166="","",IF(LEN(INDEX('Documents'!$M$4:$M$503,_calc!$E$166))=0,"",INDEX('Documents'!$M$4:$M$503,_calc!$E$166)))</f>
        <v/>
      </c>
    </row>
    <row r="165">
      <c r="A165" s="43">
        <f>IF(_calc!$E$167="","",IF(LEN(INDEX('Documents'!$C$4:$C$503,_calc!$E$167))=0,"",INDEX('Documents'!$C$4:$C$503,_calc!$E$167))&amp;" – "&amp;IF(LEN(INDEX('Documents'!$A$4:$A$503,_calc!$E$167))=0,"",INDEX('Documents'!$A$4:$A$503,_calc!$E$167)))</f>
        <v/>
      </c>
      <c r="B165" s="43">
        <f>IF(_calc!$E$167="","",IF(ISNUMBER(INDEX('Documents'!$F$4:$F$503,_calc!$E$167)),TEXT(INDEX('Documents'!$F$4:$F$503,_calc!$E$167),"yyyy-mm-dd"),""))</f>
        <v/>
      </c>
      <c r="C165" s="43">
        <f>IF(_calc!$E$167="","","Contractor document")</f>
        <v/>
      </c>
      <c r="D165" s="43">
        <f>IF(_calc!$E$167="","",IF(ISNUMBER(INDEX('Documents'!$E$4:$E$503,_calc!$E$167)),TEXT(INDEX('Documents'!$E$4:$E$503,_calc!$E$167),"yyyy-mm-dd"),""))</f>
        <v/>
      </c>
      <c r="E165" s="43">
        <f>IF(_calc!$E$167="","",IF(LEN(INDEX('Documents'!$N$4:$N$503,_calc!$E$167))=0,"",INDEX('Documents'!$N$4:$N$503,_calc!$E$167)))</f>
        <v/>
      </c>
      <c r="F165" s="43">
        <f>IF(_calc!$E$167="","",TRIM(IF(LEN(IF(LEN(INDEX('Documents'!$B$4:$B$503,_calc!$E$167))=0,"",INDEX('Documents'!$B$4:$B$503,_calc!$E$167)))=0,"","Trade: "&amp;IF(LEN(INDEX('Documents'!$B$4:$B$503,_calc!$E$167))=0,"",INDEX('Documents'!$B$4:$B$503,_calc!$E$167))&amp;". ")&amp;IF(LEN(IF(LEN(INDEX('Documents'!$D$4:$D$503,_calc!$E$167))=0,"",INDEX('Documents'!$D$4:$D$503,_calc!$E$167)))=0,"","Ref: "&amp;IF(LEN(INDEX('Documents'!$D$4:$D$503,_calc!$E$167))=0,"",INDEX('Documents'!$D$4:$D$503,_calc!$E$167))&amp;". ")&amp;IF(LEN(IF(LEN(INDEX('Documents'!$K$4:$K$503,_calc!$E$167))=0,"",INDEX('Documents'!$K$4:$K$503,_calc!$E$167)))=0,"","On file: "&amp;IF(LEN(INDEX('Documents'!$K$4:$K$503,_calc!$E$167))=0,"",INDEX('Documents'!$K$4:$K$503,_calc!$E$167))&amp;". ")&amp;IF(LEN(IF(LEN(INDEX('Documents'!$L$4:$L$503,_calc!$E$167))=0,"",INDEX('Documents'!$L$4:$L$503,_calc!$E$167)))=0,"","Contractor email: "&amp;IF(LEN(INDEX('Documents'!$L$4:$L$503,_calc!$E$167))=0,"",INDEX('Documents'!$L$4:$L$503,_calc!$E$167))&amp;". ")&amp;IF(LEN(IF(LEN(INDEX('Documents'!$P$4:$P$503,_calc!$E$167))=0,"",INDEX('Documents'!$P$4:$P$503,_calc!$E$167)))=0,"",IF(LEN(INDEX('Documents'!$P$4:$P$503,_calc!$E$167))=0,"",INDEX('Documents'!$P$4:$P$503,_calc!$E$167)))))</f>
        <v/>
      </c>
      <c r="G165" s="43">
        <f>IF(_calc!$E$167="","",IF(LEN(INDEX('Documents'!$O$4:$O$503,_calc!$E$167))=0,"",INDEX('Documents'!$O$4:$O$503,_calc!$E$167)))</f>
        <v/>
      </c>
      <c r="K165" s="43">
        <f>IF(_calc!$E$167="","",IF(LEN(INDEX('Documents'!$M$4:$M$503,_calc!$E$167))=0,"",INDEX('Documents'!$M$4:$M$503,_calc!$E$167)))</f>
        <v/>
      </c>
    </row>
    <row r="166">
      <c r="A166" s="43">
        <f>IF(_calc!$E$168="","",IF(LEN(INDEX('Documents'!$C$4:$C$503,_calc!$E$168))=0,"",INDEX('Documents'!$C$4:$C$503,_calc!$E$168))&amp;" – "&amp;IF(LEN(INDEX('Documents'!$A$4:$A$503,_calc!$E$168))=0,"",INDEX('Documents'!$A$4:$A$503,_calc!$E$168)))</f>
        <v/>
      </c>
      <c r="B166" s="43">
        <f>IF(_calc!$E$168="","",IF(ISNUMBER(INDEX('Documents'!$F$4:$F$503,_calc!$E$168)),TEXT(INDEX('Documents'!$F$4:$F$503,_calc!$E$168),"yyyy-mm-dd"),""))</f>
        <v/>
      </c>
      <c r="C166" s="43">
        <f>IF(_calc!$E$168="","","Contractor document")</f>
        <v/>
      </c>
      <c r="D166" s="43">
        <f>IF(_calc!$E$168="","",IF(ISNUMBER(INDEX('Documents'!$E$4:$E$503,_calc!$E$168)),TEXT(INDEX('Documents'!$E$4:$E$503,_calc!$E$168),"yyyy-mm-dd"),""))</f>
        <v/>
      </c>
      <c r="E166" s="43">
        <f>IF(_calc!$E$168="","",IF(LEN(INDEX('Documents'!$N$4:$N$503,_calc!$E$168))=0,"",INDEX('Documents'!$N$4:$N$503,_calc!$E$168)))</f>
        <v/>
      </c>
      <c r="F166" s="43">
        <f>IF(_calc!$E$168="","",TRIM(IF(LEN(IF(LEN(INDEX('Documents'!$B$4:$B$503,_calc!$E$168))=0,"",INDEX('Documents'!$B$4:$B$503,_calc!$E$168)))=0,"","Trade: "&amp;IF(LEN(INDEX('Documents'!$B$4:$B$503,_calc!$E$168))=0,"",INDEX('Documents'!$B$4:$B$503,_calc!$E$168))&amp;". ")&amp;IF(LEN(IF(LEN(INDEX('Documents'!$D$4:$D$503,_calc!$E$168))=0,"",INDEX('Documents'!$D$4:$D$503,_calc!$E$168)))=0,"","Ref: "&amp;IF(LEN(INDEX('Documents'!$D$4:$D$503,_calc!$E$168))=0,"",INDEX('Documents'!$D$4:$D$503,_calc!$E$168))&amp;". ")&amp;IF(LEN(IF(LEN(INDEX('Documents'!$K$4:$K$503,_calc!$E$168))=0,"",INDEX('Documents'!$K$4:$K$503,_calc!$E$168)))=0,"","On file: "&amp;IF(LEN(INDEX('Documents'!$K$4:$K$503,_calc!$E$168))=0,"",INDEX('Documents'!$K$4:$K$503,_calc!$E$168))&amp;". ")&amp;IF(LEN(IF(LEN(INDEX('Documents'!$L$4:$L$503,_calc!$E$168))=0,"",INDEX('Documents'!$L$4:$L$503,_calc!$E$168)))=0,"","Contractor email: "&amp;IF(LEN(INDEX('Documents'!$L$4:$L$503,_calc!$E$168))=0,"",INDEX('Documents'!$L$4:$L$503,_calc!$E$168))&amp;". ")&amp;IF(LEN(IF(LEN(INDEX('Documents'!$P$4:$P$503,_calc!$E$168))=0,"",INDEX('Documents'!$P$4:$P$503,_calc!$E$168)))=0,"",IF(LEN(INDEX('Documents'!$P$4:$P$503,_calc!$E$168))=0,"",INDEX('Documents'!$P$4:$P$503,_calc!$E$168)))))</f>
        <v/>
      </c>
      <c r="G166" s="43">
        <f>IF(_calc!$E$168="","",IF(LEN(INDEX('Documents'!$O$4:$O$503,_calc!$E$168))=0,"",INDEX('Documents'!$O$4:$O$503,_calc!$E$168)))</f>
        <v/>
      </c>
      <c r="K166" s="43">
        <f>IF(_calc!$E$168="","",IF(LEN(INDEX('Documents'!$M$4:$M$503,_calc!$E$168))=0,"",INDEX('Documents'!$M$4:$M$503,_calc!$E$168)))</f>
        <v/>
      </c>
    </row>
    <row r="167">
      <c r="A167" s="43">
        <f>IF(_calc!$E$169="","",IF(LEN(INDEX('Documents'!$C$4:$C$503,_calc!$E$169))=0,"",INDEX('Documents'!$C$4:$C$503,_calc!$E$169))&amp;" – "&amp;IF(LEN(INDEX('Documents'!$A$4:$A$503,_calc!$E$169))=0,"",INDEX('Documents'!$A$4:$A$503,_calc!$E$169)))</f>
        <v/>
      </c>
      <c r="B167" s="43">
        <f>IF(_calc!$E$169="","",IF(ISNUMBER(INDEX('Documents'!$F$4:$F$503,_calc!$E$169)),TEXT(INDEX('Documents'!$F$4:$F$503,_calc!$E$169),"yyyy-mm-dd"),""))</f>
        <v/>
      </c>
      <c r="C167" s="43">
        <f>IF(_calc!$E$169="","","Contractor document")</f>
        <v/>
      </c>
      <c r="D167" s="43">
        <f>IF(_calc!$E$169="","",IF(ISNUMBER(INDEX('Documents'!$E$4:$E$503,_calc!$E$169)),TEXT(INDEX('Documents'!$E$4:$E$503,_calc!$E$169),"yyyy-mm-dd"),""))</f>
        <v/>
      </c>
      <c r="E167" s="43">
        <f>IF(_calc!$E$169="","",IF(LEN(INDEX('Documents'!$N$4:$N$503,_calc!$E$169))=0,"",INDEX('Documents'!$N$4:$N$503,_calc!$E$169)))</f>
        <v/>
      </c>
      <c r="F167" s="43">
        <f>IF(_calc!$E$169="","",TRIM(IF(LEN(IF(LEN(INDEX('Documents'!$B$4:$B$503,_calc!$E$169))=0,"",INDEX('Documents'!$B$4:$B$503,_calc!$E$169)))=0,"","Trade: "&amp;IF(LEN(INDEX('Documents'!$B$4:$B$503,_calc!$E$169))=0,"",INDEX('Documents'!$B$4:$B$503,_calc!$E$169))&amp;". ")&amp;IF(LEN(IF(LEN(INDEX('Documents'!$D$4:$D$503,_calc!$E$169))=0,"",INDEX('Documents'!$D$4:$D$503,_calc!$E$169)))=0,"","Ref: "&amp;IF(LEN(INDEX('Documents'!$D$4:$D$503,_calc!$E$169))=0,"",INDEX('Documents'!$D$4:$D$503,_calc!$E$169))&amp;". ")&amp;IF(LEN(IF(LEN(INDEX('Documents'!$K$4:$K$503,_calc!$E$169))=0,"",INDEX('Documents'!$K$4:$K$503,_calc!$E$169)))=0,"","On file: "&amp;IF(LEN(INDEX('Documents'!$K$4:$K$503,_calc!$E$169))=0,"",INDEX('Documents'!$K$4:$K$503,_calc!$E$169))&amp;". ")&amp;IF(LEN(IF(LEN(INDEX('Documents'!$L$4:$L$503,_calc!$E$169))=0,"",INDEX('Documents'!$L$4:$L$503,_calc!$E$169)))=0,"","Contractor email: "&amp;IF(LEN(INDEX('Documents'!$L$4:$L$503,_calc!$E$169))=0,"",INDEX('Documents'!$L$4:$L$503,_calc!$E$169))&amp;". ")&amp;IF(LEN(IF(LEN(INDEX('Documents'!$P$4:$P$503,_calc!$E$169))=0,"",INDEX('Documents'!$P$4:$P$503,_calc!$E$169)))=0,"",IF(LEN(INDEX('Documents'!$P$4:$P$503,_calc!$E$169))=0,"",INDEX('Documents'!$P$4:$P$503,_calc!$E$169)))))</f>
        <v/>
      </c>
      <c r="G167" s="43">
        <f>IF(_calc!$E$169="","",IF(LEN(INDEX('Documents'!$O$4:$O$503,_calc!$E$169))=0,"",INDEX('Documents'!$O$4:$O$503,_calc!$E$169)))</f>
        <v/>
      </c>
      <c r="K167" s="43">
        <f>IF(_calc!$E$169="","",IF(LEN(INDEX('Documents'!$M$4:$M$503,_calc!$E$169))=0,"",INDEX('Documents'!$M$4:$M$503,_calc!$E$169)))</f>
        <v/>
      </c>
    </row>
    <row r="168">
      <c r="A168" s="43">
        <f>IF(_calc!$E$170="","",IF(LEN(INDEX('Documents'!$C$4:$C$503,_calc!$E$170))=0,"",INDEX('Documents'!$C$4:$C$503,_calc!$E$170))&amp;" – "&amp;IF(LEN(INDEX('Documents'!$A$4:$A$503,_calc!$E$170))=0,"",INDEX('Documents'!$A$4:$A$503,_calc!$E$170)))</f>
        <v/>
      </c>
      <c r="B168" s="43">
        <f>IF(_calc!$E$170="","",IF(ISNUMBER(INDEX('Documents'!$F$4:$F$503,_calc!$E$170)),TEXT(INDEX('Documents'!$F$4:$F$503,_calc!$E$170),"yyyy-mm-dd"),""))</f>
        <v/>
      </c>
      <c r="C168" s="43">
        <f>IF(_calc!$E$170="","","Contractor document")</f>
        <v/>
      </c>
      <c r="D168" s="43">
        <f>IF(_calc!$E$170="","",IF(ISNUMBER(INDEX('Documents'!$E$4:$E$503,_calc!$E$170)),TEXT(INDEX('Documents'!$E$4:$E$503,_calc!$E$170),"yyyy-mm-dd"),""))</f>
        <v/>
      </c>
      <c r="E168" s="43">
        <f>IF(_calc!$E$170="","",IF(LEN(INDEX('Documents'!$N$4:$N$503,_calc!$E$170))=0,"",INDEX('Documents'!$N$4:$N$503,_calc!$E$170)))</f>
        <v/>
      </c>
      <c r="F168" s="43">
        <f>IF(_calc!$E$170="","",TRIM(IF(LEN(IF(LEN(INDEX('Documents'!$B$4:$B$503,_calc!$E$170))=0,"",INDEX('Documents'!$B$4:$B$503,_calc!$E$170)))=0,"","Trade: "&amp;IF(LEN(INDEX('Documents'!$B$4:$B$503,_calc!$E$170))=0,"",INDEX('Documents'!$B$4:$B$503,_calc!$E$170))&amp;". ")&amp;IF(LEN(IF(LEN(INDEX('Documents'!$D$4:$D$503,_calc!$E$170))=0,"",INDEX('Documents'!$D$4:$D$503,_calc!$E$170)))=0,"","Ref: "&amp;IF(LEN(INDEX('Documents'!$D$4:$D$503,_calc!$E$170))=0,"",INDEX('Documents'!$D$4:$D$503,_calc!$E$170))&amp;". ")&amp;IF(LEN(IF(LEN(INDEX('Documents'!$K$4:$K$503,_calc!$E$170))=0,"",INDEX('Documents'!$K$4:$K$503,_calc!$E$170)))=0,"","On file: "&amp;IF(LEN(INDEX('Documents'!$K$4:$K$503,_calc!$E$170))=0,"",INDEX('Documents'!$K$4:$K$503,_calc!$E$170))&amp;". ")&amp;IF(LEN(IF(LEN(INDEX('Documents'!$L$4:$L$503,_calc!$E$170))=0,"",INDEX('Documents'!$L$4:$L$503,_calc!$E$170)))=0,"","Contractor email: "&amp;IF(LEN(INDEX('Documents'!$L$4:$L$503,_calc!$E$170))=0,"",INDEX('Documents'!$L$4:$L$503,_calc!$E$170))&amp;". ")&amp;IF(LEN(IF(LEN(INDEX('Documents'!$P$4:$P$503,_calc!$E$170))=0,"",INDEX('Documents'!$P$4:$P$503,_calc!$E$170)))=0,"",IF(LEN(INDEX('Documents'!$P$4:$P$503,_calc!$E$170))=0,"",INDEX('Documents'!$P$4:$P$503,_calc!$E$170)))))</f>
        <v/>
      </c>
      <c r="G168" s="43">
        <f>IF(_calc!$E$170="","",IF(LEN(INDEX('Documents'!$O$4:$O$503,_calc!$E$170))=0,"",INDEX('Documents'!$O$4:$O$503,_calc!$E$170)))</f>
        <v/>
      </c>
      <c r="K168" s="43">
        <f>IF(_calc!$E$170="","",IF(LEN(INDEX('Documents'!$M$4:$M$503,_calc!$E$170))=0,"",INDEX('Documents'!$M$4:$M$503,_calc!$E$170)))</f>
        <v/>
      </c>
    </row>
    <row r="169">
      <c r="A169" s="43">
        <f>IF(_calc!$E$171="","",IF(LEN(INDEX('Documents'!$C$4:$C$503,_calc!$E$171))=0,"",INDEX('Documents'!$C$4:$C$503,_calc!$E$171))&amp;" – "&amp;IF(LEN(INDEX('Documents'!$A$4:$A$503,_calc!$E$171))=0,"",INDEX('Documents'!$A$4:$A$503,_calc!$E$171)))</f>
        <v/>
      </c>
      <c r="B169" s="43">
        <f>IF(_calc!$E$171="","",IF(ISNUMBER(INDEX('Documents'!$F$4:$F$503,_calc!$E$171)),TEXT(INDEX('Documents'!$F$4:$F$503,_calc!$E$171),"yyyy-mm-dd"),""))</f>
        <v/>
      </c>
      <c r="C169" s="43">
        <f>IF(_calc!$E$171="","","Contractor document")</f>
        <v/>
      </c>
      <c r="D169" s="43">
        <f>IF(_calc!$E$171="","",IF(ISNUMBER(INDEX('Documents'!$E$4:$E$503,_calc!$E$171)),TEXT(INDEX('Documents'!$E$4:$E$503,_calc!$E$171),"yyyy-mm-dd"),""))</f>
        <v/>
      </c>
      <c r="E169" s="43">
        <f>IF(_calc!$E$171="","",IF(LEN(INDEX('Documents'!$N$4:$N$503,_calc!$E$171))=0,"",INDEX('Documents'!$N$4:$N$503,_calc!$E$171)))</f>
        <v/>
      </c>
      <c r="F169" s="43">
        <f>IF(_calc!$E$171="","",TRIM(IF(LEN(IF(LEN(INDEX('Documents'!$B$4:$B$503,_calc!$E$171))=0,"",INDEX('Documents'!$B$4:$B$503,_calc!$E$171)))=0,"","Trade: "&amp;IF(LEN(INDEX('Documents'!$B$4:$B$503,_calc!$E$171))=0,"",INDEX('Documents'!$B$4:$B$503,_calc!$E$171))&amp;". ")&amp;IF(LEN(IF(LEN(INDEX('Documents'!$D$4:$D$503,_calc!$E$171))=0,"",INDEX('Documents'!$D$4:$D$503,_calc!$E$171)))=0,"","Ref: "&amp;IF(LEN(INDEX('Documents'!$D$4:$D$503,_calc!$E$171))=0,"",INDEX('Documents'!$D$4:$D$503,_calc!$E$171))&amp;". ")&amp;IF(LEN(IF(LEN(INDEX('Documents'!$K$4:$K$503,_calc!$E$171))=0,"",INDEX('Documents'!$K$4:$K$503,_calc!$E$171)))=0,"","On file: "&amp;IF(LEN(INDEX('Documents'!$K$4:$K$503,_calc!$E$171))=0,"",INDEX('Documents'!$K$4:$K$503,_calc!$E$171))&amp;". ")&amp;IF(LEN(IF(LEN(INDEX('Documents'!$L$4:$L$503,_calc!$E$171))=0,"",INDEX('Documents'!$L$4:$L$503,_calc!$E$171)))=0,"","Contractor email: "&amp;IF(LEN(INDEX('Documents'!$L$4:$L$503,_calc!$E$171))=0,"",INDEX('Documents'!$L$4:$L$503,_calc!$E$171))&amp;". ")&amp;IF(LEN(IF(LEN(INDEX('Documents'!$P$4:$P$503,_calc!$E$171))=0,"",INDEX('Documents'!$P$4:$P$503,_calc!$E$171)))=0,"",IF(LEN(INDEX('Documents'!$P$4:$P$503,_calc!$E$171))=0,"",INDEX('Documents'!$P$4:$P$503,_calc!$E$171)))))</f>
        <v/>
      </c>
      <c r="G169" s="43">
        <f>IF(_calc!$E$171="","",IF(LEN(INDEX('Documents'!$O$4:$O$503,_calc!$E$171))=0,"",INDEX('Documents'!$O$4:$O$503,_calc!$E$171)))</f>
        <v/>
      </c>
      <c r="K169" s="43">
        <f>IF(_calc!$E$171="","",IF(LEN(INDEX('Documents'!$M$4:$M$503,_calc!$E$171))=0,"",INDEX('Documents'!$M$4:$M$503,_calc!$E$171)))</f>
        <v/>
      </c>
    </row>
    <row r="170">
      <c r="A170" s="43">
        <f>IF(_calc!$E$172="","",IF(LEN(INDEX('Documents'!$C$4:$C$503,_calc!$E$172))=0,"",INDEX('Documents'!$C$4:$C$503,_calc!$E$172))&amp;" – "&amp;IF(LEN(INDEX('Documents'!$A$4:$A$503,_calc!$E$172))=0,"",INDEX('Documents'!$A$4:$A$503,_calc!$E$172)))</f>
        <v/>
      </c>
      <c r="B170" s="43">
        <f>IF(_calc!$E$172="","",IF(ISNUMBER(INDEX('Documents'!$F$4:$F$503,_calc!$E$172)),TEXT(INDEX('Documents'!$F$4:$F$503,_calc!$E$172),"yyyy-mm-dd"),""))</f>
        <v/>
      </c>
      <c r="C170" s="43">
        <f>IF(_calc!$E$172="","","Contractor document")</f>
        <v/>
      </c>
      <c r="D170" s="43">
        <f>IF(_calc!$E$172="","",IF(ISNUMBER(INDEX('Documents'!$E$4:$E$503,_calc!$E$172)),TEXT(INDEX('Documents'!$E$4:$E$503,_calc!$E$172),"yyyy-mm-dd"),""))</f>
        <v/>
      </c>
      <c r="E170" s="43">
        <f>IF(_calc!$E$172="","",IF(LEN(INDEX('Documents'!$N$4:$N$503,_calc!$E$172))=0,"",INDEX('Documents'!$N$4:$N$503,_calc!$E$172)))</f>
        <v/>
      </c>
      <c r="F170" s="43">
        <f>IF(_calc!$E$172="","",TRIM(IF(LEN(IF(LEN(INDEX('Documents'!$B$4:$B$503,_calc!$E$172))=0,"",INDEX('Documents'!$B$4:$B$503,_calc!$E$172)))=0,"","Trade: "&amp;IF(LEN(INDEX('Documents'!$B$4:$B$503,_calc!$E$172))=0,"",INDEX('Documents'!$B$4:$B$503,_calc!$E$172))&amp;". ")&amp;IF(LEN(IF(LEN(INDEX('Documents'!$D$4:$D$503,_calc!$E$172))=0,"",INDEX('Documents'!$D$4:$D$503,_calc!$E$172)))=0,"","Ref: "&amp;IF(LEN(INDEX('Documents'!$D$4:$D$503,_calc!$E$172))=0,"",INDEX('Documents'!$D$4:$D$503,_calc!$E$172))&amp;". ")&amp;IF(LEN(IF(LEN(INDEX('Documents'!$K$4:$K$503,_calc!$E$172))=0,"",INDEX('Documents'!$K$4:$K$503,_calc!$E$172)))=0,"","On file: "&amp;IF(LEN(INDEX('Documents'!$K$4:$K$503,_calc!$E$172))=0,"",INDEX('Documents'!$K$4:$K$503,_calc!$E$172))&amp;". ")&amp;IF(LEN(IF(LEN(INDEX('Documents'!$L$4:$L$503,_calc!$E$172))=0,"",INDEX('Documents'!$L$4:$L$503,_calc!$E$172)))=0,"","Contractor email: "&amp;IF(LEN(INDEX('Documents'!$L$4:$L$503,_calc!$E$172))=0,"",INDEX('Documents'!$L$4:$L$503,_calc!$E$172))&amp;". ")&amp;IF(LEN(IF(LEN(INDEX('Documents'!$P$4:$P$503,_calc!$E$172))=0,"",INDEX('Documents'!$P$4:$P$503,_calc!$E$172)))=0,"",IF(LEN(INDEX('Documents'!$P$4:$P$503,_calc!$E$172))=0,"",INDEX('Documents'!$P$4:$P$503,_calc!$E$172)))))</f>
        <v/>
      </c>
      <c r="G170" s="43">
        <f>IF(_calc!$E$172="","",IF(LEN(INDEX('Documents'!$O$4:$O$503,_calc!$E$172))=0,"",INDEX('Documents'!$O$4:$O$503,_calc!$E$172)))</f>
        <v/>
      </c>
      <c r="K170" s="43">
        <f>IF(_calc!$E$172="","",IF(LEN(INDEX('Documents'!$M$4:$M$503,_calc!$E$172))=0,"",INDEX('Documents'!$M$4:$M$503,_calc!$E$172)))</f>
        <v/>
      </c>
    </row>
    <row r="171">
      <c r="A171" s="43">
        <f>IF(_calc!$E$173="","",IF(LEN(INDEX('Documents'!$C$4:$C$503,_calc!$E$173))=0,"",INDEX('Documents'!$C$4:$C$503,_calc!$E$173))&amp;" – "&amp;IF(LEN(INDEX('Documents'!$A$4:$A$503,_calc!$E$173))=0,"",INDEX('Documents'!$A$4:$A$503,_calc!$E$173)))</f>
        <v/>
      </c>
      <c r="B171" s="43">
        <f>IF(_calc!$E$173="","",IF(ISNUMBER(INDEX('Documents'!$F$4:$F$503,_calc!$E$173)),TEXT(INDEX('Documents'!$F$4:$F$503,_calc!$E$173),"yyyy-mm-dd"),""))</f>
        <v/>
      </c>
      <c r="C171" s="43">
        <f>IF(_calc!$E$173="","","Contractor document")</f>
        <v/>
      </c>
      <c r="D171" s="43">
        <f>IF(_calc!$E$173="","",IF(ISNUMBER(INDEX('Documents'!$E$4:$E$503,_calc!$E$173)),TEXT(INDEX('Documents'!$E$4:$E$503,_calc!$E$173),"yyyy-mm-dd"),""))</f>
        <v/>
      </c>
      <c r="E171" s="43">
        <f>IF(_calc!$E$173="","",IF(LEN(INDEX('Documents'!$N$4:$N$503,_calc!$E$173))=0,"",INDEX('Documents'!$N$4:$N$503,_calc!$E$173)))</f>
        <v/>
      </c>
      <c r="F171" s="43">
        <f>IF(_calc!$E$173="","",TRIM(IF(LEN(IF(LEN(INDEX('Documents'!$B$4:$B$503,_calc!$E$173))=0,"",INDEX('Documents'!$B$4:$B$503,_calc!$E$173)))=0,"","Trade: "&amp;IF(LEN(INDEX('Documents'!$B$4:$B$503,_calc!$E$173))=0,"",INDEX('Documents'!$B$4:$B$503,_calc!$E$173))&amp;". ")&amp;IF(LEN(IF(LEN(INDEX('Documents'!$D$4:$D$503,_calc!$E$173))=0,"",INDEX('Documents'!$D$4:$D$503,_calc!$E$173)))=0,"","Ref: "&amp;IF(LEN(INDEX('Documents'!$D$4:$D$503,_calc!$E$173))=0,"",INDEX('Documents'!$D$4:$D$503,_calc!$E$173))&amp;". ")&amp;IF(LEN(IF(LEN(INDEX('Documents'!$K$4:$K$503,_calc!$E$173))=0,"",INDEX('Documents'!$K$4:$K$503,_calc!$E$173)))=0,"","On file: "&amp;IF(LEN(INDEX('Documents'!$K$4:$K$503,_calc!$E$173))=0,"",INDEX('Documents'!$K$4:$K$503,_calc!$E$173))&amp;". ")&amp;IF(LEN(IF(LEN(INDEX('Documents'!$L$4:$L$503,_calc!$E$173))=0,"",INDEX('Documents'!$L$4:$L$503,_calc!$E$173)))=0,"","Contractor email: "&amp;IF(LEN(INDEX('Documents'!$L$4:$L$503,_calc!$E$173))=0,"",INDEX('Documents'!$L$4:$L$503,_calc!$E$173))&amp;". ")&amp;IF(LEN(IF(LEN(INDEX('Documents'!$P$4:$P$503,_calc!$E$173))=0,"",INDEX('Documents'!$P$4:$P$503,_calc!$E$173)))=0,"",IF(LEN(INDEX('Documents'!$P$4:$P$503,_calc!$E$173))=0,"",INDEX('Documents'!$P$4:$P$503,_calc!$E$173)))))</f>
        <v/>
      </c>
      <c r="G171" s="43">
        <f>IF(_calc!$E$173="","",IF(LEN(INDEX('Documents'!$O$4:$O$503,_calc!$E$173))=0,"",INDEX('Documents'!$O$4:$O$503,_calc!$E$173)))</f>
        <v/>
      </c>
      <c r="K171" s="43">
        <f>IF(_calc!$E$173="","",IF(LEN(INDEX('Documents'!$M$4:$M$503,_calc!$E$173))=0,"",INDEX('Documents'!$M$4:$M$503,_calc!$E$173)))</f>
        <v/>
      </c>
    </row>
    <row r="172">
      <c r="A172" s="43">
        <f>IF(_calc!$E$174="","",IF(LEN(INDEX('Documents'!$C$4:$C$503,_calc!$E$174))=0,"",INDEX('Documents'!$C$4:$C$503,_calc!$E$174))&amp;" – "&amp;IF(LEN(INDEX('Documents'!$A$4:$A$503,_calc!$E$174))=0,"",INDEX('Documents'!$A$4:$A$503,_calc!$E$174)))</f>
        <v/>
      </c>
      <c r="B172" s="43">
        <f>IF(_calc!$E$174="","",IF(ISNUMBER(INDEX('Documents'!$F$4:$F$503,_calc!$E$174)),TEXT(INDEX('Documents'!$F$4:$F$503,_calc!$E$174),"yyyy-mm-dd"),""))</f>
        <v/>
      </c>
      <c r="C172" s="43">
        <f>IF(_calc!$E$174="","","Contractor document")</f>
        <v/>
      </c>
      <c r="D172" s="43">
        <f>IF(_calc!$E$174="","",IF(ISNUMBER(INDEX('Documents'!$E$4:$E$503,_calc!$E$174)),TEXT(INDEX('Documents'!$E$4:$E$503,_calc!$E$174),"yyyy-mm-dd"),""))</f>
        <v/>
      </c>
      <c r="E172" s="43">
        <f>IF(_calc!$E$174="","",IF(LEN(INDEX('Documents'!$N$4:$N$503,_calc!$E$174))=0,"",INDEX('Documents'!$N$4:$N$503,_calc!$E$174)))</f>
        <v/>
      </c>
      <c r="F172" s="43">
        <f>IF(_calc!$E$174="","",TRIM(IF(LEN(IF(LEN(INDEX('Documents'!$B$4:$B$503,_calc!$E$174))=0,"",INDEX('Documents'!$B$4:$B$503,_calc!$E$174)))=0,"","Trade: "&amp;IF(LEN(INDEX('Documents'!$B$4:$B$503,_calc!$E$174))=0,"",INDEX('Documents'!$B$4:$B$503,_calc!$E$174))&amp;". ")&amp;IF(LEN(IF(LEN(INDEX('Documents'!$D$4:$D$503,_calc!$E$174))=0,"",INDEX('Documents'!$D$4:$D$503,_calc!$E$174)))=0,"","Ref: "&amp;IF(LEN(INDEX('Documents'!$D$4:$D$503,_calc!$E$174))=0,"",INDEX('Documents'!$D$4:$D$503,_calc!$E$174))&amp;". ")&amp;IF(LEN(IF(LEN(INDEX('Documents'!$K$4:$K$503,_calc!$E$174))=0,"",INDEX('Documents'!$K$4:$K$503,_calc!$E$174)))=0,"","On file: "&amp;IF(LEN(INDEX('Documents'!$K$4:$K$503,_calc!$E$174))=0,"",INDEX('Documents'!$K$4:$K$503,_calc!$E$174))&amp;". ")&amp;IF(LEN(IF(LEN(INDEX('Documents'!$L$4:$L$503,_calc!$E$174))=0,"",INDEX('Documents'!$L$4:$L$503,_calc!$E$174)))=0,"","Contractor email: "&amp;IF(LEN(INDEX('Documents'!$L$4:$L$503,_calc!$E$174))=0,"",INDEX('Documents'!$L$4:$L$503,_calc!$E$174))&amp;". ")&amp;IF(LEN(IF(LEN(INDEX('Documents'!$P$4:$P$503,_calc!$E$174))=0,"",INDEX('Documents'!$P$4:$P$503,_calc!$E$174)))=0,"",IF(LEN(INDEX('Documents'!$P$4:$P$503,_calc!$E$174))=0,"",INDEX('Documents'!$P$4:$P$503,_calc!$E$174)))))</f>
        <v/>
      </c>
      <c r="G172" s="43">
        <f>IF(_calc!$E$174="","",IF(LEN(INDEX('Documents'!$O$4:$O$503,_calc!$E$174))=0,"",INDEX('Documents'!$O$4:$O$503,_calc!$E$174)))</f>
        <v/>
      </c>
      <c r="K172" s="43">
        <f>IF(_calc!$E$174="","",IF(LEN(INDEX('Documents'!$M$4:$M$503,_calc!$E$174))=0,"",INDEX('Documents'!$M$4:$M$503,_calc!$E$174)))</f>
        <v/>
      </c>
    </row>
    <row r="173">
      <c r="A173" s="43">
        <f>IF(_calc!$E$175="","",IF(LEN(INDEX('Documents'!$C$4:$C$503,_calc!$E$175))=0,"",INDEX('Documents'!$C$4:$C$503,_calc!$E$175))&amp;" – "&amp;IF(LEN(INDEX('Documents'!$A$4:$A$503,_calc!$E$175))=0,"",INDEX('Documents'!$A$4:$A$503,_calc!$E$175)))</f>
        <v/>
      </c>
      <c r="B173" s="43">
        <f>IF(_calc!$E$175="","",IF(ISNUMBER(INDEX('Documents'!$F$4:$F$503,_calc!$E$175)),TEXT(INDEX('Documents'!$F$4:$F$503,_calc!$E$175),"yyyy-mm-dd"),""))</f>
        <v/>
      </c>
      <c r="C173" s="43">
        <f>IF(_calc!$E$175="","","Contractor document")</f>
        <v/>
      </c>
      <c r="D173" s="43">
        <f>IF(_calc!$E$175="","",IF(ISNUMBER(INDEX('Documents'!$E$4:$E$503,_calc!$E$175)),TEXT(INDEX('Documents'!$E$4:$E$503,_calc!$E$175),"yyyy-mm-dd"),""))</f>
        <v/>
      </c>
      <c r="E173" s="43">
        <f>IF(_calc!$E$175="","",IF(LEN(INDEX('Documents'!$N$4:$N$503,_calc!$E$175))=0,"",INDEX('Documents'!$N$4:$N$503,_calc!$E$175)))</f>
        <v/>
      </c>
      <c r="F173" s="43">
        <f>IF(_calc!$E$175="","",TRIM(IF(LEN(IF(LEN(INDEX('Documents'!$B$4:$B$503,_calc!$E$175))=0,"",INDEX('Documents'!$B$4:$B$503,_calc!$E$175)))=0,"","Trade: "&amp;IF(LEN(INDEX('Documents'!$B$4:$B$503,_calc!$E$175))=0,"",INDEX('Documents'!$B$4:$B$503,_calc!$E$175))&amp;". ")&amp;IF(LEN(IF(LEN(INDEX('Documents'!$D$4:$D$503,_calc!$E$175))=0,"",INDEX('Documents'!$D$4:$D$503,_calc!$E$175)))=0,"","Ref: "&amp;IF(LEN(INDEX('Documents'!$D$4:$D$503,_calc!$E$175))=0,"",INDEX('Documents'!$D$4:$D$503,_calc!$E$175))&amp;". ")&amp;IF(LEN(IF(LEN(INDEX('Documents'!$K$4:$K$503,_calc!$E$175))=0,"",INDEX('Documents'!$K$4:$K$503,_calc!$E$175)))=0,"","On file: "&amp;IF(LEN(INDEX('Documents'!$K$4:$K$503,_calc!$E$175))=0,"",INDEX('Documents'!$K$4:$K$503,_calc!$E$175))&amp;". ")&amp;IF(LEN(IF(LEN(INDEX('Documents'!$L$4:$L$503,_calc!$E$175))=0,"",INDEX('Documents'!$L$4:$L$503,_calc!$E$175)))=0,"","Contractor email: "&amp;IF(LEN(INDEX('Documents'!$L$4:$L$503,_calc!$E$175))=0,"",INDEX('Documents'!$L$4:$L$503,_calc!$E$175))&amp;". ")&amp;IF(LEN(IF(LEN(INDEX('Documents'!$P$4:$P$503,_calc!$E$175))=0,"",INDEX('Documents'!$P$4:$P$503,_calc!$E$175)))=0,"",IF(LEN(INDEX('Documents'!$P$4:$P$503,_calc!$E$175))=0,"",INDEX('Documents'!$P$4:$P$503,_calc!$E$175)))))</f>
        <v/>
      </c>
      <c r="G173" s="43">
        <f>IF(_calc!$E$175="","",IF(LEN(INDEX('Documents'!$O$4:$O$503,_calc!$E$175))=0,"",INDEX('Documents'!$O$4:$O$503,_calc!$E$175)))</f>
        <v/>
      </c>
      <c r="K173" s="43">
        <f>IF(_calc!$E$175="","",IF(LEN(INDEX('Documents'!$M$4:$M$503,_calc!$E$175))=0,"",INDEX('Documents'!$M$4:$M$503,_calc!$E$175)))</f>
        <v/>
      </c>
    </row>
    <row r="174">
      <c r="A174" s="43">
        <f>IF(_calc!$E$176="","",IF(LEN(INDEX('Documents'!$C$4:$C$503,_calc!$E$176))=0,"",INDEX('Documents'!$C$4:$C$503,_calc!$E$176))&amp;" – "&amp;IF(LEN(INDEX('Documents'!$A$4:$A$503,_calc!$E$176))=0,"",INDEX('Documents'!$A$4:$A$503,_calc!$E$176)))</f>
        <v/>
      </c>
      <c r="B174" s="43">
        <f>IF(_calc!$E$176="","",IF(ISNUMBER(INDEX('Documents'!$F$4:$F$503,_calc!$E$176)),TEXT(INDEX('Documents'!$F$4:$F$503,_calc!$E$176),"yyyy-mm-dd"),""))</f>
        <v/>
      </c>
      <c r="C174" s="43">
        <f>IF(_calc!$E$176="","","Contractor document")</f>
        <v/>
      </c>
      <c r="D174" s="43">
        <f>IF(_calc!$E$176="","",IF(ISNUMBER(INDEX('Documents'!$E$4:$E$503,_calc!$E$176)),TEXT(INDEX('Documents'!$E$4:$E$503,_calc!$E$176),"yyyy-mm-dd"),""))</f>
        <v/>
      </c>
      <c r="E174" s="43">
        <f>IF(_calc!$E$176="","",IF(LEN(INDEX('Documents'!$N$4:$N$503,_calc!$E$176))=0,"",INDEX('Documents'!$N$4:$N$503,_calc!$E$176)))</f>
        <v/>
      </c>
      <c r="F174" s="43">
        <f>IF(_calc!$E$176="","",TRIM(IF(LEN(IF(LEN(INDEX('Documents'!$B$4:$B$503,_calc!$E$176))=0,"",INDEX('Documents'!$B$4:$B$503,_calc!$E$176)))=0,"","Trade: "&amp;IF(LEN(INDEX('Documents'!$B$4:$B$503,_calc!$E$176))=0,"",INDEX('Documents'!$B$4:$B$503,_calc!$E$176))&amp;". ")&amp;IF(LEN(IF(LEN(INDEX('Documents'!$D$4:$D$503,_calc!$E$176))=0,"",INDEX('Documents'!$D$4:$D$503,_calc!$E$176)))=0,"","Ref: "&amp;IF(LEN(INDEX('Documents'!$D$4:$D$503,_calc!$E$176))=0,"",INDEX('Documents'!$D$4:$D$503,_calc!$E$176))&amp;". ")&amp;IF(LEN(IF(LEN(INDEX('Documents'!$K$4:$K$503,_calc!$E$176))=0,"",INDEX('Documents'!$K$4:$K$503,_calc!$E$176)))=0,"","On file: "&amp;IF(LEN(INDEX('Documents'!$K$4:$K$503,_calc!$E$176))=0,"",INDEX('Documents'!$K$4:$K$503,_calc!$E$176))&amp;". ")&amp;IF(LEN(IF(LEN(INDEX('Documents'!$L$4:$L$503,_calc!$E$176))=0,"",INDEX('Documents'!$L$4:$L$503,_calc!$E$176)))=0,"","Contractor email: "&amp;IF(LEN(INDEX('Documents'!$L$4:$L$503,_calc!$E$176))=0,"",INDEX('Documents'!$L$4:$L$503,_calc!$E$176))&amp;". ")&amp;IF(LEN(IF(LEN(INDEX('Documents'!$P$4:$P$503,_calc!$E$176))=0,"",INDEX('Documents'!$P$4:$P$503,_calc!$E$176)))=0,"",IF(LEN(INDEX('Documents'!$P$4:$P$503,_calc!$E$176))=0,"",INDEX('Documents'!$P$4:$P$503,_calc!$E$176)))))</f>
        <v/>
      </c>
      <c r="G174" s="43">
        <f>IF(_calc!$E$176="","",IF(LEN(INDEX('Documents'!$O$4:$O$503,_calc!$E$176))=0,"",INDEX('Documents'!$O$4:$O$503,_calc!$E$176)))</f>
        <v/>
      </c>
      <c r="K174" s="43">
        <f>IF(_calc!$E$176="","",IF(LEN(INDEX('Documents'!$M$4:$M$503,_calc!$E$176))=0,"",INDEX('Documents'!$M$4:$M$503,_calc!$E$176)))</f>
        <v/>
      </c>
    </row>
    <row r="175">
      <c r="A175" s="43">
        <f>IF(_calc!$E$177="","",IF(LEN(INDEX('Documents'!$C$4:$C$503,_calc!$E$177))=0,"",INDEX('Documents'!$C$4:$C$503,_calc!$E$177))&amp;" – "&amp;IF(LEN(INDEX('Documents'!$A$4:$A$503,_calc!$E$177))=0,"",INDEX('Documents'!$A$4:$A$503,_calc!$E$177)))</f>
        <v/>
      </c>
      <c r="B175" s="43">
        <f>IF(_calc!$E$177="","",IF(ISNUMBER(INDEX('Documents'!$F$4:$F$503,_calc!$E$177)),TEXT(INDEX('Documents'!$F$4:$F$503,_calc!$E$177),"yyyy-mm-dd"),""))</f>
        <v/>
      </c>
      <c r="C175" s="43">
        <f>IF(_calc!$E$177="","","Contractor document")</f>
        <v/>
      </c>
      <c r="D175" s="43">
        <f>IF(_calc!$E$177="","",IF(ISNUMBER(INDEX('Documents'!$E$4:$E$503,_calc!$E$177)),TEXT(INDEX('Documents'!$E$4:$E$503,_calc!$E$177),"yyyy-mm-dd"),""))</f>
        <v/>
      </c>
      <c r="E175" s="43">
        <f>IF(_calc!$E$177="","",IF(LEN(INDEX('Documents'!$N$4:$N$503,_calc!$E$177))=0,"",INDEX('Documents'!$N$4:$N$503,_calc!$E$177)))</f>
        <v/>
      </c>
      <c r="F175" s="43">
        <f>IF(_calc!$E$177="","",TRIM(IF(LEN(IF(LEN(INDEX('Documents'!$B$4:$B$503,_calc!$E$177))=0,"",INDEX('Documents'!$B$4:$B$503,_calc!$E$177)))=0,"","Trade: "&amp;IF(LEN(INDEX('Documents'!$B$4:$B$503,_calc!$E$177))=0,"",INDEX('Documents'!$B$4:$B$503,_calc!$E$177))&amp;". ")&amp;IF(LEN(IF(LEN(INDEX('Documents'!$D$4:$D$503,_calc!$E$177))=0,"",INDEX('Documents'!$D$4:$D$503,_calc!$E$177)))=0,"","Ref: "&amp;IF(LEN(INDEX('Documents'!$D$4:$D$503,_calc!$E$177))=0,"",INDEX('Documents'!$D$4:$D$503,_calc!$E$177))&amp;". ")&amp;IF(LEN(IF(LEN(INDEX('Documents'!$K$4:$K$503,_calc!$E$177))=0,"",INDEX('Documents'!$K$4:$K$503,_calc!$E$177)))=0,"","On file: "&amp;IF(LEN(INDEX('Documents'!$K$4:$K$503,_calc!$E$177))=0,"",INDEX('Documents'!$K$4:$K$503,_calc!$E$177))&amp;". ")&amp;IF(LEN(IF(LEN(INDEX('Documents'!$L$4:$L$503,_calc!$E$177))=0,"",INDEX('Documents'!$L$4:$L$503,_calc!$E$177)))=0,"","Contractor email: "&amp;IF(LEN(INDEX('Documents'!$L$4:$L$503,_calc!$E$177))=0,"",INDEX('Documents'!$L$4:$L$503,_calc!$E$177))&amp;". ")&amp;IF(LEN(IF(LEN(INDEX('Documents'!$P$4:$P$503,_calc!$E$177))=0,"",INDEX('Documents'!$P$4:$P$503,_calc!$E$177)))=0,"",IF(LEN(INDEX('Documents'!$P$4:$P$503,_calc!$E$177))=0,"",INDEX('Documents'!$P$4:$P$503,_calc!$E$177)))))</f>
        <v/>
      </c>
      <c r="G175" s="43">
        <f>IF(_calc!$E$177="","",IF(LEN(INDEX('Documents'!$O$4:$O$503,_calc!$E$177))=0,"",INDEX('Documents'!$O$4:$O$503,_calc!$E$177)))</f>
        <v/>
      </c>
      <c r="K175" s="43">
        <f>IF(_calc!$E$177="","",IF(LEN(INDEX('Documents'!$M$4:$M$503,_calc!$E$177))=0,"",INDEX('Documents'!$M$4:$M$503,_calc!$E$177)))</f>
        <v/>
      </c>
    </row>
    <row r="176">
      <c r="A176" s="43">
        <f>IF(_calc!$E$178="","",IF(LEN(INDEX('Documents'!$C$4:$C$503,_calc!$E$178))=0,"",INDEX('Documents'!$C$4:$C$503,_calc!$E$178))&amp;" – "&amp;IF(LEN(INDEX('Documents'!$A$4:$A$503,_calc!$E$178))=0,"",INDEX('Documents'!$A$4:$A$503,_calc!$E$178)))</f>
        <v/>
      </c>
      <c r="B176" s="43">
        <f>IF(_calc!$E$178="","",IF(ISNUMBER(INDEX('Documents'!$F$4:$F$503,_calc!$E$178)),TEXT(INDEX('Documents'!$F$4:$F$503,_calc!$E$178),"yyyy-mm-dd"),""))</f>
        <v/>
      </c>
      <c r="C176" s="43">
        <f>IF(_calc!$E$178="","","Contractor document")</f>
        <v/>
      </c>
      <c r="D176" s="43">
        <f>IF(_calc!$E$178="","",IF(ISNUMBER(INDEX('Documents'!$E$4:$E$503,_calc!$E$178)),TEXT(INDEX('Documents'!$E$4:$E$503,_calc!$E$178),"yyyy-mm-dd"),""))</f>
        <v/>
      </c>
      <c r="E176" s="43">
        <f>IF(_calc!$E$178="","",IF(LEN(INDEX('Documents'!$N$4:$N$503,_calc!$E$178))=0,"",INDEX('Documents'!$N$4:$N$503,_calc!$E$178)))</f>
        <v/>
      </c>
      <c r="F176" s="43">
        <f>IF(_calc!$E$178="","",TRIM(IF(LEN(IF(LEN(INDEX('Documents'!$B$4:$B$503,_calc!$E$178))=0,"",INDEX('Documents'!$B$4:$B$503,_calc!$E$178)))=0,"","Trade: "&amp;IF(LEN(INDEX('Documents'!$B$4:$B$503,_calc!$E$178))=0,"",INDEX('Documents'!$B$4:$B$503,_calc!$E$178))&amp;". ")&amp;IF(LEN(IF(LEN(INDEX('Documents'!$D$4:$D$503,_calc!$E$178))=0,"",INDEX('Documents'!$D$4:$D$503,_calc!$E$178)))=0,"","Ref: "&amp;IF(LEN(INDEX('Documents'!$D$4:$D$503,_calc!$E$178))=0,"",INDEX('Documents'!$D$4:$D$503,_calc!$E$178))&amp;". ")&amp;IF(LEN(IF(LEN(INDEX('Documents'!$K$4:$K$503,_calc!$E$178))=0,"",INDEX('Documents'!$K$4:$K$503,_calc!$E$178)))=0,"","On file: "&amp;IF(LEN(INDEX('Documents'!$K$4:$K$503,_calc!$E$178))=0,"",INDEX('Documents'!$K$4:$K$503,_calc!$E$178))&amp;". ")&amp;IF(LEN(IF(LEN(INDEX('Documents'!$L$4:$L$503,_calc!$E$178))=0,"",INDEX('Documents'!$L$4:$L$503,_calc!$E$178)))=0,"","Contractor email: "&amp;IF(LEN(INDEX('Documents'!$L$4:$L$503,_calc!$E$178))=0,"",INDEX('Documents'!$L$4:$L$503,_calc!$E$178))&amp;". ")&amp;IF(LEN(IF(LEN(INDEX('Documents'!$P$4:$P$503,_calc!$E$178))=0,"",INDEX('Documents'!$P$4:$P$503,_calc!$E$178)))=0,"",IF(LEN(INDEX('Documents'!$P$4:$P$503,_calc!$E$178))=0,"",INDEX('Documents'!$P$4:$P$503,_calc!$E$178)))))</f>
        <v/>
      </c>
      <c r="G176" s="43">
        <f>IF(_calc!$E$178="","",IF(LEN(INDEX('Documents'!$O$4:$O$503,_calc!$E$178))=0,"",INDEX('Documents'!$O$4:$O$503,_calc!$E$178)))</f>
        <v/>
      </c>
      <c r="K176" s="43">
        <f>IF(_calc!$E$178="","",IF(LEN(INDEX('Documents'!$M$4:$M$503,_calc!$E$178))=0,"",INDEX('Documents'!$M$4:$M$503,_calc!$E$178)))</f>
        <v/>
      </c>
    </row>
    <row r="177">
      <c r="A177" s="43">
        <f>IF(_calc!$E$179="","",IF(LEN(INDEX('Documents'!$C$4:$C$503,_calc!$E$179))=0,"",INDEX('Documents'!$C$4:$C$503,_calc!$E$179))&amp;" – "&amp;IF(LEN(INDEX('Documents'!$A$4:$A$503,_calc!$E$179))=0,"",INDEX('Documents'!$A$4:$A$503,_calc!$E$179)))</f>
        <v/>
      </c>
      <c r="B177" s="43">
        <f>IF(_calc!$E$179="","",IF(ISNUMBER(INDEX('Documents'!$F$4:$F$503,_calc!$E$179)),TEXT(INDEX('Documents'!$F$4:$F$503,_calc!$E$179),"yyyy-mm-dd"),""))</f>
        <v/>
      </c>
      <c r="C177" s="43">
        <f>IF(_calc!$E$179="","","Contractor document")</f>
        <v/>
      </c>
      <c r="D177" s="43">
        <f>IF(_calc!$E$179="","",IF(ISNUMBER(INDEX('Documents'!$E$4:$E$503,_calc!$E$179)),TEXT(INDEX('Documents'!$E$4:$E$503,_calc!$E$179),"yyyy-mm-dd"),""))</f>
        <v/>
      </c>
      <c r="E177" s="43">
        <f>IF(_calc!$E$179="","",IF(LEN(INDEX('Documents'!$N$4:$N$503,_calc!$E$179))=0,"",INDEX('Documents'!$N$4:$N$503,_calc!$E$179)))</f>
        <v/>
      </c>
      <c r="F177" s="43">
        <f>IF(_calc!$E$179="","",TRIM(IF(LEN(IF(LEN(INDEX('Documents'!$B$4:$B$503,_calc!$E$179))=0,"",INDEX('Documents'!$B$4:$B$503,_calc!$E$179)))=0,"","Trade: "&amp;IF(LEN(INDEX('Documents'!$B$4:$B$503,_calc!$E$179))=0,"",INDEX('Documents'!$B$4:$B$503,_calc!$E$179))&amp;". ")&amp;IF(LEN(IF(LEN(INDEX('Documents'!$D$4:$D$503,_calc!$E$179))=0,"",INDEX('Documents'!$D$4:$D$503,_calc!$E$179)))=0,"","Ref: "&amp;IF(LEN(INDEX('Documents'!$D$4:$D$503,_calc!$E$179))=0,"",INDEX('Documents'!$D$4:$D$503,_calc!$E$179))&amp;". ")&amp;IF(LEN(IF(LEN(INDEX('Documents'!$K$4:$K$503,_calc!$E$179))=0,"",INDEX('Documents'!$K$4:$K$503,_calc!$E$179)))=0,"","On file: "&amp;IF(LEN(INDEX('Documents'!$K$4:$K$503,_calc!$E$179))=0,"",INDEX('Documents'!$K$4:$K$503,_calc!$E$179))&amp;". ")&amp;IF(LEN(IF(LEN(INDEX('Documents'!$L$4:$L$503,_calc!$E$179))=0,"",INDEX('Documents'!$L$4:$L$503,_calc!$E$179)))=0,"","Contractor email: "&amp;IF(LEN(INDEX('Documents'!$L$4:$L$503,_calc!$E$179))=0,"",INDEX('Documents'!$L$4:$L$503,_calc!$E$179))&amp;". ")&amp;IF(LEN(IF(LEN(INDEX('Documents'!$P$4:$P$503,_calc!$E$179))=0,"",INDEX('Documents'!$P$4:$P$503,_calc!$E$179)))=0,"",IF(LEN(INDEX('Documents'!$P$4:$P$503,_calc!$E$179))=0,"",INDEX('Documents'!$P$4:$P$503,_calc!$E$179)))))</f>
        <v/>
      </c>
      <c r="G177" s="43">
        <f>IF(_calc!$E$179="","",IF(LEN(INDEX('Documents'!$O$4:$O$503,_calc!$E$179))=0,"",INDEX('Documents'!$O$4:$O$503,_calc!$E$179)))</f>
        <v/>
      </c>
      <c r="K177" s="43">
        <f>IF(_calc!$E$179="","",IF(LEN(INDEX('Documents'!$M$4:$M$503,_calc!$E$179))=0,"",INDEX('Documents'!$M$4:$M$503,_calc!$E$179)))</f>
        <v/>
      </c>
    </row>
    <row r="178">
      <c r="A178" s="43">
        <f>IF(_calc!$E$180="","",IF(LEN(INDEX('Documents'!$C$4:$C$503,_calc!$E$180))=0,"",INDEX('Documents'!$C$4:$C$503,_calc!$E$180))&amp;" – "&amp;IF(LEN(INDEX('Documents'!$A$4:$A$503,_calc!$E$180))=0,"",INDEX('Documents'!$A$4:$A$503,_calc!$E$180)))</f>
        <v/>
      </c>
      <c r="B178" s="43">
        <f>IF(_calc!$E$180="","",IF(ISNUMBER(INDEX('Documents'!$F$4:$F$503,_calc!$E$180)),TEXT(INDEX('Documents'!$F$4:$F$503,_calc!$E$180),"yyyy-mm-dd"),""))</f>
        <v/>
      </c>
      <c r="C178" s="43">
        <f>IF(_calc!$E$180="","","Contractor document")</f>
        <v/>
      </c>
      <c r="D178" s="43">
        <f>IF(_calc!$E$180="","",IF(ISNUMBER(INDEX('Documents'!$E$4:$E$503,_calc!$E$180)),TEXT(INDEX('Documents'!$E$4:$E$503,_calc!$E$180),"yyyy-mm-dd"),""))</f>
        <v/>
      </c>
      <c r="E178" s="43">
        <f>IF(_calc!$E$180="","",IF(LEN(INDEX('Documents'!$N$4:$N$503,_calc!$E$180))=0,"",INDEX('Documents'!$N$4:$N$503,_calc!$E$180)))</f>
        <v/>
      </c>
      <c r="F178" s="43">
        <f>IF(_calc!$E$180="","",TRIM(IF(LEN(IF(LEN(INDEX('Documents'!$B$4:$B$503,_calc!$E$180))=0,"",INDEX('Documents'!$B$4:$B$503,_calc!$E$180)))=0,"","Trade: "&amp;IF(LEN(INDEX('Documents'!$B$4:$B$503,_calc!$E$180))=0,"",INDEX('Documents'!$B$4:$B$503,_calc!$E$180))&amp;". ")&amp;IF(LEN(IF(LEN(INDEX('Documents'!$D$4:$D$503,_calc!$E$180))=0,"",INDEX('Documents'!$D$4:$D$503,_calc!$E$180)))=0,"","Ref: "&amp;IF(LEN(INDEX('Documents'!$D$4:$D$503,_calc!$E$180))=0,"",INDEX('Documents'!$D$4:$D$503,_calc!$E$180))&amp;". ")&amp;IF(LEN(IF(LEN(INDEX('Documents'!$K$4:$K$503,_calc!$E$180))=0,"",INDEX('Documents'!$K$4:$K$503,_calc!$E$180)))=0,"","On file: "&amp;IF(LEN(INDEX('Documents'!$K$4:$K$503,_calc!$E$180))=0,"",INDEX('Documents'!$K$4:$K$503,_calc!$E$180))&amp;". ")&amp;IF(LEN(IF(LEN(INDEX('Documents'!$L$4:$L$503,_calc!$E$180))=0,"",INDEX('Documents'!$L$4:$L$503,_calc!$E$180)))=0,"","Contractor email: "&amp;IF(LEN(INDEX('Documents'!$L$4:$L$503,_calc!$E$180))=0,"",INDEX('Documents'!$L$4:$L$503,_calc!$E$180))&amp;". ")&amp;IF(LEN(IF(LEN(INDEX('Documents'!$P$4:$P$503,_calc!$E$180))=0,"",INDEX('Documents'!$P$4:$P$503,_calc!$E$180)))=0,"",IF(LEN(INDEX('Documents'!$P$4:$P$503,_calc!$E$180))=0,"",INDEX('Documents'!$P$4:$P$503,_calc!$E$180)))))</f>
        <v/>
      </c>
      <c r="G178" s="43">
        <f>IF(_calc!$E$180="","",IF(LEN(INDEX('Documents'!$O$4:$O$503,_calc!$E$180))=0,"",INDEX('Documents'!$O$4:$O$503,_calc!$E$180)))</f>
        <v/>
      </c>
      <c r="K178" s="43">
        <f>IF(_calc!$E$180="","",IF(LEN(INDEX('Documents'!$M$4:$M$503,_calc!$E$180))=0,"",INDEX('Documents'!$M$4:$M$503,_calc!$E$180)))</f>
        <v/>
      </c>
    </row>
    <row r="179">
      <c r="A179" s="43">
        <f>IF(_calc!$E$181="","",IF(LEN(INDEX('Documents'!$C$4:$C$503,_calc!$E$181))=0,"",INDEX('Documents'!$C$4:$C$503,_calc!$E$181))&amp;" – "&amp;IF(LEN(INDEX('Documents'!$A$4:$A$503,_calc!$E$181))=0,"",INDEX('Documents'!$A$4:$A$503,_calc!$E$181)))</f>
        <v/>
      </c>
      <c r="B179" s="43">
        <f>IF(_calc!$E$181="","",IF(ISNUMBER(INDEX('Documents'!$F$4:$F$503,_calc!$E$181)),TEXT(INDEX('Documents'!$F$4:$F$503,_calc!$E$181),"yyyy-mm-dd"),""))</f>
        <v/>
      </c>
      <c r="C179" s="43">
        <f>IF(_calc!$E$181="","","Contractor document")</f>
        <v/>
      </c>
      <c r="D179" s="43">
        <f>IF(_calc!$E$181="","",IF(ISNUMBER(INDEX('Documents'!$E$4:$E$503,_calc!$E$181)),TEXT(INDEX('Documents'!$E$4:$E$503,_calc!$E$181),"yyyy-mm-dd"),""))</f>
        <v/>
      </c>
      <c r="E179" s="43">
        <f>IF(_calc!$E$181="","",IF(LEN(INDEX('Documents'!$N$4:$N$503,_calc!$E$181))=0,"",INDEX('Documents'!$N$4:$N$503,_calc!$E$181)))</f>
        <v/>
      </c>
      <c r="F179" s="43">
        <f>IF(_calc!$E$181="","",TRIM(IF(LEN(IF(LEN(INDEX('Documents'!$B$4:$B$503,_calc!$E$181))=0,"",INDEX('Documents'!$B$4:$B$503,_calc!$E$181)))=0,"","Trade: "&amp;IF(LEN(INDEX('Documents'!$B$4:$B$503,_calc!$E$181))=0,"",INDEX('Documents'!$B$4:$B$503,_calc!$E$181))&amp;". ")&amp;IF(LEN(IF(LEN(INDEX('Documents'!$D$4:$D$503,_calc!$E$181))=0,"",INDEX('Documents'!$D$4:$D$503,_calc!$E$181)))=0,"","Ref: "&amp;IF(LEN(INDEX('Documents'!$D$4:$D$503,_calc!$E$181))=0,"",INDEX('Documents'!$D$4:$D$503,_calc!$E$181))&amp;". ")&amp;IF(LEN(IF(LEN(INDEX('Documents'!$K$4:$K$503,_calc!$E$181))=0,"",INDEX('Documents'!$K$4:$K$503,_calc!$E$181)))=0,"","On file: "&amp;IF(LEN(INDEX('Documents'!$K$4:$K$503,_calc!$E$181))=0,"",INDEX('Documents'!$K$4:$K$503,_calc!$E$181))&amp;". ")&amp;IF(LEN(IF(LEN(INDEX('Documents'!$L$4:$L$503,_calc!$E$181))=0,"",INDEX('Documents'!$L$4:$L$503,_calc!$E$181)))=0,"","Contractor email: "&amp;IF(LEN(INDEX('Documents'!$L$4:$L$503,_calc!$E$181))=0,"",INDEX('Documents'!$L$4:$L$503,_calc!$E$181))&amp;". ")&amp;IF(LEN(IF(LEN(INDEX('Documents'!$P$4:$P$503,_calc!$E$181))=0,"",INDEX('Documents'!$P$4:$P$503,_calc!$E$181)))=0,"",IF(LEN(INDEX('Documents'!$P$4:$P$503,_calc!$E$181))=0,"",INDEX('Documents'!$P$4:$P$503,_calc!$E$181)))))</f>
        <v/>
      </c>
      <c r="G179" s="43">
        <f>IF(_calc!$E$181="","",IF(LEN(INDEX('Documents'!$O$4:$O$503,_calc!$E$181))=0,"",INDEX('Documents'!$O$4:$O$503,_calc!$E$181)))</f>
        <v/>
      </c>
      <c r="K179" s="43">
        <f>IF(_calc!$E$181="","",IF(LEN(INDEX('Documents'!$M$4:$M$503,_calc!$E$181))=0,"",INDEX('Documents'!$M$4:$M$503,_calc!$E$181)))</f>
        <v/>
      </c>
    </row>
    <row r="180">
      <c r="A180" s="43">
        <f>IF(_calc!$E$182="","",IF(LEN(INDEX('Documents'!$C$4:$C$503,_calc!$E$182))=0,"",INDEX('Documents'!$C$4:$C$503,_calc!$E$182))&amp;" – "&amp;IF(LEN(INDEX('Documents'!$A$4:$A$503,_calc!$E$182))=0,"",INDEX('Documents'!$A$4:$A$503,_calc!$E$182)))</f>
        <v/>
      </c>
      <c r="B180" s="43">
        <f>IF(_calc!$E$182="","",IF(ISNUMBER(INDEX('Documents'!$F$4:$F$503,_calc!$E$182)),TEXT(INDEX('Documents'!$F$4:$F$503,_calc!$E$182),"yyyy-mm-dd"),""))</f>
        <v/>
      </c>
      <c r="C180" s="43">
        <f>IF(_calc!$E$182="","","Contractor document")</f>
        <v/>
      </c>
      <c r="D180" s="43">
        <f>IF(_calc!$E$182="","",IF(ISNUMBER(INDEX('Documents'!$E$4:$E$503,_calc!$E$182)),TEXT(INDEX('Documents'!$E$4:$E$503,_calc!$E$182),"yyyy-mm-dd"),""))</f>
        <v/>
      </c>
      <c r="E180" s="43">
        <f>IF(_calc!$E$182="","",IF(LEN(INDEX('Documents'!$N$4:$N$503,_calc!$E$182))=0,"",INDEX('Documents'!$N$4:$N$503,_calc!$E$182)))</f>
        <v/>
      </c>
      <c r="F180" s="43">
        <f>IF(_calc!$E$182="","",TRIM(IF(LEN(IF(LEN(INDEX('Documents'!$B$4:$B$503,_calc!$E$182))=0,"",INDEX('Documents'!$B$4:$B$503,_calc!$E$182)))=0,"","Trade: "&amp;IF(LEN(INDEX('Documents'!$B$4:$B$503,_calc!$E$182))=0,"",INDEX('Documents'!$B$4:$B$503,_calc!$E$182))&amp;". ")&amp;IF(LEN(IF(LEN(INDEX('Documents'!$D$4:$D$503,_calc!$E$182))=0,"",INDEX('Documents'!$D$4:$D$503,_calc!$E$182)))=0,"","Ref: "&amp;IF(LEN(INDEX('Documents'!$D$4:$D$503,_calc!$E$182))=0,"",INDEX('Documents'!$D$4:$D$503,_calc!$E$182))&amp;". ")&amp;IF(LEN(IF(LEN(INDEX('Documents'!$K$4:$K$503,_calc!$E$182))=0,"",INDEX('Documents'!$K$4:$K$503,_calc!$E$182)))=0,"","On file: "&amp;IF(LEN(INDEX('Documents'!$K$4:$K$503,_calc!$E$182))=0,"",INDEX('Documents'!$K$4:$K$503,_calc!$E$182))&amp;". ")&amp;IF(LEN(IF(LEN(INDEX('Documents'!$L$4:$L$503,_calc!$E$182))=0,"",INDEX('Documents'!$L$4:$L$503,_calc!$E$182)))=0,"","Contractor email: "&amp;IF(LEN(INDEX('Documents'!$L$4:$L$503,_calc!$E$182))=0,"",INDEX('Documents'!$L$4:$L$503,_calc!$E$182))&amp;". ")&amp;IF(LEN(IF(LEN(INDEX('Documents'!$P$4:$P$503,_calc!$E$182))=0,"",INDEX('Documents'!$P$4:$P$503,_calc!$E$182)))=0,"",IF(LEN(INDEX('Documents'!$P$4:$P$503,_calc!$E$182))=0,"",INDEX('Documents'!$P$4:$P$503,_calc!$E$182)))))</f>
        <v/>
      </c>
      <c r="G180" s="43">
        <f>IF(_calc!$E$182="","",IF(LEN(INDEX('Documents'!$O$4:$O$503,_calc!$E$182))=0,"",INDEX('Documents'!$O$4:$O$503,_calc!$E$182)))</f>
        <v/>
      </c>
      <c r="K180" s="43">
        <f>IF(_calc!$E$182="","",IF(LEN(INDEX('Documents'!$M$4:$M$503,_calc!$E$182))=0,"",INDEX('Documents'!$M$4:$M$503,_calc!$E$182)))</f>
        <v/>
      </c>
    </row>
    <row r="181">
      <c r="A181" s="43">
        <f>IF(_calc!$E$183="","",IF(LEN(INDEX('Documents'!$C$4:$C$503,_calc!$E$183))=0,"",INDEX('Documents'!$C$4:$C$503,_calc!$E$183))&amp;" – "&amp;IF(LEN(INDEX('Documents'!$A$4:$A$503,_calc!$E$183))=0,"",INDEX('Documents'!$A$4:$A$503,_calc!$E$183)))</f>
        <v/>
      </c>
      <c r="B181" s="43">
        <f>IF(_calc!$E$183="","",IF(ISNUMBER(INDEX('Documents'!$F$4:$F$503,_calc!$E$183)),TEXT(INDEX('Documents'!$F$4:$F$503,_calc!$E$183),"yyyy-mm-dd"),""))</f>
        <v/>
      </c>
      <c r="C181" s="43">
        <f>IF(_calc!$E$183="","","Contractor document")</f>
        <v/>
      </c>
      <c r="D181" s="43">
        <f>IF(_calc!$E$183="","",IF(ISNUMBER(INDEX('Documents'!$E$4:$E$503,_calc!$E$183)),TEXT(INDEX('Documents'!$E$4:$E$503,_calc!$E$183),"yyyy-mm-dd"),""))</f>
        <v/>
      </c>
      <c r="E181" s="43">
        <f>IF(_calc!$E$183="","",IF(LEN(INDEX('Documents'!$N$4:$N$503,_calc!$E$183))=0,"",INDEX('Documents'!$N$4:$N$503,_calc!$E$183)))</f>
        <v/>
      </c>
      <c r="F181" s="43">
        <f>IF(_calc!$E$183="","",TRIM(IF(LEN(IF(LEN(INDEX('Documents'!$B$4:$B$503,_calc!$E$183))=0,"",INDEX('Documents'!$B$4:$B$503,_calc!$E$183)))=0,"","Trade: "&amp;IF(LEN(INDEX('Documents'!$B$4:$B$503,_calc!$E$183))=0,"",INDEX('Documents'!$B$4:$B$503,_calc!$E$183))&amp;". ")&amp;IF(LEN(IF(LEN(INDEX('Documents'!$D$4:$D$503,_calc!$E$183))=0,"",INDEX('Documents'!$D$4:$D$503,_calc!$E$183)))=0,"","Ref: "&amp;IF(LEN(INDEX('Documents'!$D$4:$D$503,_calc!$E$183))=0,"",INDEX('Documents'!$D$4:$D$503,_calc!$E$183))&amp;". ")&amp;IF(LEN(IF(LEN(INDEX('Documents'!$K$4:$K$503,_calc!$E$183))=0,"",INDEX('Documents'!$K$4:$K$503,_calc!$E$183)))=0,"","On file: "&amp;IF(LEN(INDEX('Documents'!$K$4:$K$503,_calc!$E$183))=0,"",INDEX('Documents'!$K$4:$K$503,_calc!$E$183))&amp;". ")&amp;IF(LEN(IF(LEN(INDEX('Documents'!$L$4:$L$503,_calc!$E$183))=0,"",INDEX('Documents'!$L$4:$L$503,_calc!$E$183)))=0,"","Contractor email: "&amp;IF(LEN(INDEX('Documents'!$L$4:$L$503,_calc!$E$183))=0,"",INDEX('Documents'!$L$4:$L$503,_calc!$E$183))&amp;". ")&amp;IF(LEN(IF(LEN(INDEX('Documents'!$P$4:$P$503,_calc!$E$183))=0,"",INDEX('Documents'!$P$4:$P$503,_calc!$E$183)))=0,"",IF(LEN(INDEX('Documents'!$P$4:$P$503,_calc!$E$183))=0,"",INDEX('Documents'!$P$4:$P$503,_calc!$E$183)))))</f>
        <v/>
      </c>
      <c r="G181" s="43">
        <f>IF(_calc!$E$183="","",IF(LEN(INDEX('Documents'!$O$4:$O$503,_calc!$E$183))=0,"",INDEX('Documents'!$O$4:$O$503,_calc!$E$183)))</f>
        <v/>
      </c>
      <c r="K181" s="43">
        <f>IF(_calc!$E$183="","",IF(LEN(INDEX('Documents'!$M$4:$M$503,_calc!$E$183))=0,"",INDEX('Documents'!$M$4:$M$503,_calc!$E$183)))</f>
        <v/>
      </c>
    </row>
    <row r="182">
      <c r="A182" s="43">
        <f>IF(_calc!$E$184="","",IF(LEN(INDEX('Documents'!$C$4:$C$503,_calc!$E$184))=0,"",INDEX('Documents'!$C$4:$C$503,_calc!$E$184))&amp;" – "&amp;IF(LEN(INDEX('Documents'!$A$4:$A$503,_calc!$E$184))=0,"",INDEX('Documents'!$A$4:$A$503,_calc!$E$184)))</f>
        <v/>
      </c>
      <c r="B182" s="43">
        <f>IF(_calc!$E$184="","",IF(ISNUMBER(INDEX('Documents'!$F$4:$F$503,_calc!$E$184)),TEXT(INDEX('Documents'!$F$4:$F$503,_calc!$E$184),"yyyy-mm-dd"),""))</f>
        <v/>
      </c>
      <c r="C182" s="43">
        <f>IF(_calc!$E$184="","","Contractor document")</f>
        <v/>
      </c>
      <c r="D182" s="43">
        <f>IF(_calc!$E$184="","",IF(ISNUMBER(INDEX('Documents'!$E$4:$E$503,_calc!$E$184)),TEXT(INDEX('Documents'!$E$4:$E$503,_calc!$E$184),"yyyy-mm-dd"),""))</f>
        <v/>
      </c>
      <c r="E182" s="43">
        <f>IF(_calc!$E$184="","",IF(LEN(INDEX('Documents'!$N$4:$N$503,_calc!$E$184))=0,"",INDEX('Documents'!$N$4:$N$503,_calc!$E$184)))</f>
        <v/>
      </c>
      <c r="F182" s="43">
        <f>IF(_calc!$E$184="","",TRIM(IF(LEN(IF(LEN(INDEX('Documents'!$B$4:$B$503,_calc!$E$184))=0,"",INDEX('Documents'!$B$4:$B$503,_calc!$E$184)))=0,"","Trade: "&amp;IF(LEN(INDEX('Documents'!$B$4:$B$503,_calc!$E$184))=0,"",INDEX('Documents'!$B$4:$B$503,_calc!$E$184))&amp;". ")&amp;IF(LEN(IF(LEN(INDEX('Documents'!$D$4:$D$503,_calc!$E$184))=0,"",INDEX('Documents'!$D$4:$D$503,_calc!$E$184)))=0,"","Ref: "&amp;IF(LEN(INDEX('Documents'!$D$4:$D$503,_calc!$E$184))=0,"",INDEX('Documents'!$D$4:$D$503,_calc!$E$184))&amp;". ")&amp;IF(LEN(IF(LEN(INDEX('Documents'!$K$4:$K$503,_calc!$E$184))=0,"",INDEX('Documents'!$K$4:$K$503,_calc!$E$184)))=0,"","On file: "&amp;IF(LEN(INDEX('Documents'!$K$4:$K$503,_calc!$E$184))=0,"",INDEX('Documents'!$K$4:$K$503,_calc!$E$184))&amp;". ")&amp;IF(LEN(IF(LEN(INDEX('Documents'!$L$4:$L$503,_calc!$E$184))=0,"",INDEX('Documents'!$L$4:$L$503,_calc!$E$184)))=0,"","Contractor email: "&amp;IF(LEN(INDEX('Documents'!$L$4:$L$503,_calc!$E$184))=0,"",INDEX('Documents'!$L$4:$L$503,_calc!$E$184))&amp;". ")&amp;IF(LEN(IF(LEN(INDEX('Documents'!$P$4:$P$503,_calc!$E$184))=0,"",INDEX('Documents'!$P$4:$P$503,_calc!$E$184)))=0,"",IF(LEN(INDEX('Documents'!$P$4:$P$503,_calc!$E$184))=0,"",INDEX('Documents'!$P$4:$P$503,_calc!$E$184)))))</f>
        <v/>
      </c>
      <c r="G182" s="43">
        <f>IF(_calc!$E$184="","",IF(LEN(INDEX('Documents'!$O$4:$O$503,_calc!$E$184))=0,"",INDEX('Documents'!$O$4:$O$503,_calc!$E$184)))</f>
        <v/>
      </c>
      <c r="K182" s="43">
        <f>IF(_calc!$E$184="","",IF(LEN(INDEX('Documents'!$M$4:$M$503,_calc!$E$184))=0,"",INDEX('Documents'!$M$4:$M$503,_calc!$E$184)))</f>
        <v/>
      </c>
    </row>
    <row r="183">
      <c r="A183" s="43">
        <f>IF(_calc!$E$185="","",IF(LEN(INDEX('Documents'!$C$4:$C$503,_calc!$E$185))=0,"",INDEX('Documents'!$C$4:$C$503,_calc!$E$185))&amp;" – "&amp;IF(LEN(INDEX('Documents'!$A$4:$A$503,_calc!$E$185))=0,"",INDEX('Documents'!$A$4:$A$503,_calc!$E$185)))</f>
        <v/>
      </c>
      <c r="B183" s="43">
        <f>IF(_calc!$E$185="","",IF(ISNUMBER(INDEX('Documents'!$F$4:$F$503,_calc!$E$185)),TEXT(INDEX('Documents'!$F$4:$F$503,_calc!$E$185),"yyyy-mm-dd"),""))</f>
        <v/>
      </c>
      <c r="C183" s="43">
        <f>IF(_calc!$E$185="","","Contractor document")</f>
        <v/>
      </c>
      <c r="D183" s="43">
        <f>IF(_calc!$E$185="","",IF(ISNUMBER(INDEX('Documents'!$E$4:$E$503,_calc!$E$185)),TEXT(INDEX('Documents'!$E$4:$E$503,_calc!$E$185),"yyyy-mm-dd"),""))</f>
        <v/>
      </c>
      <c r="E183" s="43">
        <f>IF(_calc!$E$185="","",IF(LEN(INDEX('Documents'!$N$4:$N$503,_calc!$E$185))=0,"",INDEX('Documents'!$N$4:$N$503,_calc!$E$185)))</f>
        <v/>
      </c>
      <c r="F183" s="43">
        <f>IF(_calc!$E$185="","",TRIM(IF(LEN(IF(LEN(INDEX('Documents'!$B$4:$B$503,_calc!$E$185))=0,"",INDEX('Documents'!$B$4:$B$503,_calc!$E$185)))=0,"","Trade: "&amp;IF(LEN(INDEX('Documents'!$B$4:$B$503,_calc!$E$185))=0,"",INDEX('Documents'!$B$4:$B$503,_calc!$E$185))&amp;". ")&amp;IF(LEN(IF(LEN(INDEX('Documents'!$D$4:$D$503,_calc!$E$185))=0,"",INDEX('Documents'!$D$4:$D$503,_calc!$E$185)))=0,"","Ref: "&amp;IF(LEN(INDEX('Documents'!$D$4:$D$503,_calc!$E$185))=0,"",INDEX('Documents'!$D$4:$D$503,_calc!$E$185))&amp;". ")&amp;IF(LEN(IF(LEN(INDEX('Documents'!$K$4:$K$503,_calc!$E$185))=0,"",INDEX('Documents'!$K$4:$K$503,_calc!$E$185)))=0,"","On file: "&amp;IF(LEN(INDEX('Documents'!$K$4:$K$503,_calc!$E$185))=0,"",INDEX('Documents'!$K$4:$K$503,_calc!$E$185))&amp;". ")&amp;IF(LEN(IF(LEN(INDEX('Documents'!$L$4:$L$503,_calc!$E$185))=0,"",INDEX('Documents'!$L$4:$L$503,_calc!$E$185)))=0,"","Contractor email: "&amp;IF(LEN(INDEX('Documents'!$L$4:$L$503,_calc!$E$185))=0,"",INDEX('Documents'!$L$4:$L$503,_calc!$E$185))&amp;". ")&amp;IF(LEN(IF(LEN(INDEX('Documents'!$P$4:$P$503,_calc!$E$185))=0,"",INDEX('Documents'!$P$4:$P$503,_calc!$E$185)))=0,"",IF(LEN(INDEX('Documents'!$P$4:$P$503,_calc!$E$185))=0,"",INDEX('Documents'!$P$4:$P$503,_calc!$E$185)))))</f>
        <v/>
      </c>
      <c r="G183" s="43">
        <f>IF(_calc!$E$185="","",IF(LEN(INDEX('Documents'!$O$4:$O$503,_calc!$E$185))=0,"",INDEX('Documents'!$O$4:$O$503,_calc!$E$185)))</f>
        <v/>
      </c>
      <c r="K183" s="43">
        <f>IF(_calc!$E$185="","",IF(LEN(INDEX('Documents'!$M$4:$M$503,_calc!$E$185))=0,"",INDEX('Documents'!$M$4:$M$503,_calc!$E$185)))</f>
        <v/>
      </c>
    </row>
    <row r="184">
      <c r="A184" s="43">
        <f>IF(_calc!$E$186="","",IF(LEN(INDEX('Documents'!$C$4:$C$503,_calc!$E$186))=0,"",INDEX('Documents'!$C$4:$C$503,_calc!$E$186))&amp;" – "&amp;IF(LEN(INDEX('Documents'!$A$4:$A$503,_calc!$E$186))=0,"",INDEX('Documents'!$A$4:$A$503,_calc!$E$186)))</f>
        <v/>
      </c>
      <c r="B184" s="43">
        <f>IF(_calc!$E$186="","",IF(ISNUMBER(INDEX('Documents'!$F$4:$F$503,_calc!$E$186)),TEXT(INDEX('Documents'!$F$4:$F$503,_calc!$E$186),"yyyy-mm-dd"),""))</f>
        <v/>
      </c>
      <c r="C184" s="43">
        <f>IF(_calc!$E$186="","","Contractor document")</f>
        <v/>
      </c>
      <c r="D184" s="43">
        <f>IF(_calc!$E$186="","",IF(ISNUMBER(INDEX('Documents'!$E$4:$E$503,_calc!$E$186)),TEXT(INDEX('Documents'!$E$4:$E$503,_calc!$E$186),"yyyy-mm-dd"),""))</f>
        <v/>
      </c>
      <c r="E184" s="43">
        <f>IF(_calc!$E$186="","",IF(LEN(INDEX('Documents'!$N$4:$N$503,_calc!$E$186))=0,"",INDEX('Documents'!$N$4:$N$503,_calc!$E$186)))</f>
        <v/>
      </c>
      <c r="F184" s="43">
        <f>IF(_calc!$E$186="","",TRIM(IF(LEN(IF(LEN(INDEX('Documents'!$B$4:$B$503,_calc!$E$186))=0,"",INDEX('Documents'!$B$4:$B$503,_calc!$E$186)))=0,"","Trade: "&amp;IF(LEN(INDEX('Documents'!$B$4:$B$503,_calc!$E$186))=0,"",INDEX('Documents'!$B$4:$B$503,_calc!$E$186))&amp;". ")&amp;IF(LEN(IF(LEN(INDEX('Documents'!$D$4:$D$503,_calc!$E$186))=0,"",INDEX('Documents'!$D$4:$D$503,_calc!$E$186)))=0,"","Ref: "&amp;IF(LEN(INDEX('Documents'!$D$4:$D$503,_calc!$E$186))=0,"",INDEX('Documents'!$D$4:$D$503,_calc!$E$186))&amp;". ")&amp;IF(LEN(IF(LEN(INDEX('Documents'!$K$4:$K$503,_calc!$E$186))=0,"",INDEX('Documents'!$K$4:$K$503,_calc!$E$186)))=0,"","On file: "&amp;IF(LEN(INDEX('Documents'!$K$4:$K$503,_calc!$E$186))=0,"",INDEX('Documents'!$K$4:$K$503,_calc!$E$186))&amp;". ")&amp;IF(LEN(IF(LEN(INDEX('Documents'!$L$4:$L$503,_calc!$E$186))=0,"",INDEX('Documents'!$L$4:$L$503,_calc!$E$186)))=0,"","Contractor email: "&amp;IF(LEN(INDEX('Documents'!$L$4:$L$503,_calc!$E$186))=0,"",INDEX('Documents'!$L$4:$L$503,_calc!$E$186))&amp;". ")&amp;IF(LEN(IF(LEN(INDEX('Documents'!$P$4:$P$503,_calc!$E$186))=0,"",INDEX('Documents'!$P$4:$P$503,_calc!$E$186)))=0,"",IF(LEN(INDEX('Documents'!$P$4:$P$503,_calc!$E$186))=0,"",INDEX('Documents'!$P$4:$P$503,_calc!$E$186)))))</f>
        <v/>
      </c>
      <c r="G184" s="43">
        <f>IF(_calc!$E$186="","",IF(LEN(INDEX('Documents'!$O$4:$O$503,_calc!$E$186))=0,"",INDEX('Documents'!$O$4:$O$503,_calc!$E$186)))</f>
        <v/>
      </c>
      <c r="K184" s="43">
        <f>IF(_calc!$E$186="","",IF(LEN(INDEX('Documents'!$M$4:$M$503,_calc!$E$186))=0,"",INDEX('Documents'!$M$4:$M$503,_calc!$E$186)))</f>
        <v/>
      </c>
    </row>
    <row r="185">
      <c r="A185" s="43">
        <f>IF(_calc!$E$187="","",IF(LEN(INDEX('Documents'!$C$4:$C$503,_calc!$E$187))=0,"",INDEX('Documents'!$C$4:$C$503,_calc!$E$187))&amp;" – "&amp;IF(LEN(INDEX('Documents'!$A$4:$A$503,_calc!$E$187))=0,"",INDEX('Documents'!$A$4:$A$503,_calc!$E$187)))</f>
        <v/>
      </c>
      <c r="B185" s="43">
        <f>IF(_calc!$E$187="","",IF(ISNUMBER(INDEX('Documents'!$F$4:$F$503,_calc!$E$187)),TEXT(INDEX('Documents'!$F$4:$F$503,_calc!$E$187),"yyyy-mm-dd"),""))</f>
        <v/>
      </c>
      <c r="C185" s="43">
        <f>IF(_calc!$E$187="","","Contractor document")</f>
        <v/>
      </c>
      <c r="D185" s="43">
        <f>IF(_calc!$E$187="","",IF(ISNUMBER(INDEX('Documents'!$E$4:$E$503,_calc!$E$187)),TEXT(INDEX('Documents'!$E$4:$E$503,_calc!$E$187),"yyyy-mm-dd"),""))</f>
        <v/>
      </c>
      <c r="E185" s="43">
        <f>IF(_calc!$E$187="","",IF(LEN(INDEX('Documents'!$N$4:$N$503,_calc!$E$187))=0,"",INDEX('Documents'!$N$4:$N$503,_calc!$E$187)))</f>
        <v/>
      </c>
      <c r="F185" s="43">
        <f>IF(_calc!$E$187="","",TRIM(IF(LEN(IF(LEN(INDEX('Documents'!$B$4:$B$503,_calc!$E$187))=0,"",INDEX('Documents'!$B$4:$B$503,_calc!$E$187)))=0,"","Trade: "&amp;IF(LEN(INDEX('Documents'!$B$4:$B$503,_calc!$E$187))=0,"",INDEX('Documents'!$B$4:$B$503,_calc!$E$187))&amp;". ")&amp;IF(LEN(IF(LEN(INDEX('Documents'!$D$4:$D$503,_calc!$E$187))=0,"",INDEX('Documents'!$D$4:$D$503,_calc!$E$187)))=0,"","Ref: "&amp;IF(LEN(INDEX('Documents'!$D$4:$D$503,_calc!$E$187))=0,"",INDEX('Documents'!$D$4:$D$503,_calc!$E$187))&amp;". ")&amp;IF(LEN(IF(LEN(INDEX('Documents'!$K$4:$K$503,_calc!$E$187))=0,"",INDEX('Documents'!$K$4:$K$503,_calc!$E$187)))=0,"","On file: "&amp;IF(LEN(INDEX('Documents'!$K$4:$K$503,_calc!$E$187))=0,"",INDEX('Documents'!$K$4:$K$503,_calc!$E$187))&amp;". ")&amp;IF(LEN(IF(LEN(INDEX('Documents'!$L$4:$L$503,_calc!$E$187))=0,"",INDEX('Documents'!$L$4:$L$503,_calc!$E$187)))=0,"","Contractor email: "&amp;IF(LEN(INDEX('Documents'!$L$4:$L$503,_calc!$E$187))=0,"",INDEX('Documents'!$L$4:$L$503,_calc!$E$187))&amp;". ")&amp;IF(LEN(IF(LEN(INDEX('Documents'!$P$4:$P$503,_calc!$E$187))=0,"",INDEX('Documents'!$P$4:$P$503,_calc!$E$187)))=0,"",IF(LEN(INDEX('Documents'!$P$4:$P$503,_calc!$E$187))=0,"",INDEX('Documents'!$P$4:$P$503,_calc!$E$187)))))</f>
        <v/>
      </c>
      <c r="G185" s="43">
        <f>IF(_calc!$E$187="","",IF(LEN(INDEX('Documents'!$O$4:$O$503,_calc!$E$187))=0,"",INDEX('Documents'!$O$4:$O$503,_calc!$E$187)))</f>
        <v/>
      </c>
      <c r="K185" s="43">
        <f>IF(_calc!$E$187="","",IF(LEN(INDEX('Documents'!$M$4:$M$503,_calc!$E$187))=0,"",INDEX('Documents'!$M$4:$M$503,_calc!$E$187)))</f>
        <v/>
      </c>
    </row>
    <row r="186">
      <c r="A186" s="43">
        <f>IF(_calc!$E$188="","",IF(LEN(INDEX('Documents'!$C$4:$C$503,_calc!$E$188))=0,"",INDEX('Documents'!$C$4:$C$503,_calc!$E$188))&amp;" – "&amp;IF(LEN(INDEX('Documents'!$A$4:$A$503,_calc!$E$188))=0,"",INDEX('Documents'!$A$4:$A$503,_calc!$E$188)))</f>
        <v/>
      </c>
      <c r="B186" s="43">
        <f>IF(_calc!$E$188="","",IF(ISNUMBER(INDEX('Documents'!$F$4:$F$503,_calc!$E$188)),TEXT(INDEX('Documents'!$F$4:$F$503,_calc!$E$188),"yyyy-mm-dd"),""))</f>
        <v/>
      </c>
      <c r="C186" s="43">
        <f>IF(_calc!$E$188="","","Contractor document")</f>
        <v/>
      </c>
      <c r="D186" s="43">
        <f>IF(_calc!$E$188="","",IF(ISNUMBER(INDEX('Documents'!$E$4:$E$503,_calc!$E$188)),TEXT(INDEX('Documents'!$E$4:$E$503,_calc!$E$188),"yyyy-mm-dd"),""))</f>
        <v/>
      </c>
      <c r="E186" s="43">
        <f>IF(_calc!$E$188="","",IF(LEN(INDEX('Documents'!$N$4:$N$503,_calc!$E$188))=0,"",INDEX('Documents'!$N$4:$N$503,_calc!$E$188)))</f>
        <v/>
      </c>
      <c r="F186" s="43">
        <f>IF(_calc!$E$188="","",TRIM(IF(LEN(IF(LEN(INDEX('Documents'!$B$4:$B$503,_calc!$E$188))=0,"",INDEX('Documents'!$B$4:$B$503,_calc!$E$188)))=0,"","Trade: "&amp;IF(LEN(INDEX('Documents'!$B$4:$B$503,_calc!$E$188))=0,"",INDEX('Documents'!$B$4:$B$503,_calc!$E$188))&amp;". ")&amp;IF(LEN(IF(LEN(INDEX('Documents'!$D$4:$D$503,_calc!$E$188))=0,"",INDEX('Documents'!$D$4:$D$503,_calc!$E$188)))=0,"","Ref: "&amp;IF(LEN(INDEX('Documents'!$D$4:$D$503,_calc!$E$188))=0,"",INDEX('Documents'!$D$4:$D$503,_calc!$E$188))&amp;". ")&amp;IF(LEN(IF(LEN(INDEX('Documents'!$K$4:$K$503,_calc!$E$188))=0,"",INDEX('Documents'!$K$4:$K$503,_calc!$E$188)))=0,"","On file: "&amp;IF(LEN(INDEX('Documents'!$K$4:$K$503,_calc!$E$188))=0,"",INDEX('Documents'!$K$4:$K$503,_calc!$E$188))&amp;". ")&amp;IF(LEN(IF(LEN(INDEX('Documents'!$L$4:$L$503,_calc!$E$188))=0,"",INDEX('Documents'!$L$4:$L$503,_calc!$E$188)))=0,"","Contractor email: "&amp;IF(LEN(INDEX('Documents'!$L$4:$L$503,_calc!$E$188))=0,"",INDEX('Documents'!$L$4:$L$503,_calc!$E$188))&amp;". ")&amp;IF(LEN(IF(LEN(INDEX('Documents'!$P$4:$P$503,_calc!$E$188))=0,"",INDEX('Documents'!$P$4:$P$503,_calc!$E$188)))=0,"",IF(LEN(INDEX('Documents'!$P$4:$P$503,_calc!$E$188))=0,"",INDEX('Documents'!$P$4:$P$503,_calc!$E$188)))))</f>
        <v/>
      </c>
      <c r="G186" s="43">
        <f>IF(_calc!$E$188="","",IF(LEN(INDEX('Documents'!$O$4:$O$503,_calc!$E$188))=0,"",INDEX('Documents'!$O$4:$O$503,_calc!$E$188)))</f>
        <v/>
      </c>
      <c r="K186" s="43">
        <f>IF(_calc!$E$188="","",IF(LEN(INDEX('Documents'!$M$4:$M$503,_calc!$E$188))=0,"",INDEX('Documents'!$M$4:$M$503,_calc!$E$188)))</f>
        <v/>
      </c>
    </row>
    <row r="187">
      <c r="A187" s="43">
        <f>IF(_calc!$E$189="","",IF(LEN(INDEX('Documents'!$C$4:$C$503,_calc!$E$189))=0,"",INDEX('Documents'!$C$4:$C$503,_calc!$E$189))&amp;" – "&amp;IF(LEN(INDEX('Documents'!$A$4:$A$503,_calc!$E$189))=0,"",INDEX('Documents'!$A$4:$A$503,_calc!$E$189)))</f>
        <v/>
      </c>
      <c r="B187" s="43">
        <f>IF(_calc!$E$189="","",IF(ISNUMBER(INDEX('Documents'!$F$4:$F$503,_calc!$E$189)),TEXT(INDEX('Documents'!$F$4:$F$503,_calc!$E$189),"yyyy-mm-dd"),""))</f>
        <v/>
      </c>
      <c r="C187" s="43">
        <f>IF(_calc!$E$189="","","Contractor document")</f>
        <v/>
      </c>
      <c r="D187" s="43">
        <f>IF(_calc!$E$189="","",IF(ISNUMBER(INDEX('Documents'!$E$4:$E$503,_calc!$E$189)),TEXT(INDEX('Documents'!$E$4:$E$503,_calc!$E$189),"yyyy-mm-dd"),""))</f>
        <v/>
      </c>
      <c r="E187" s="43">
        <f>IF(_calc!$E$189="","",IF(LEN(INDEX('Documents'!$N$4:$N$503,_calc!$E$189))=0,"",INDEX('Documents'!$N$4:$N$503,_calc!$E$189)))</f>
        <v/>
      </c>
      <c r="F187" s="43">
        <f>IF(_calc!$E$189="","",TRIM(IF(LEN(IF(LEN(INDEX('Documents'!$B$4:$B$503,_calc!$E$189))=0,"",INDEX('Documents'!$B$4:$B$503,_calc!$E$189)))=0,"","Trade: "&amp;IF(LEN(INDEX('Documents'!$B$4:$B$503,_calc!$E$189))=0,"",INDEX('Documents'!$B$4:$B$503,_calc!$E$189))&amp;". ")&amp;IF(LEN(IF(LEN(INDEX('Documents'!$D$4:$D$503,_calc!$E$189))=0,"",INDEX('Documents'!$D$4:$D$503,_calc!$E$189)))=0,"","Ref: "&amp;IF(LEN(INDEX('Documents'!$D$4:$D$503,_calc!$E$189))=0,"",INDEX('Documents'!$D$4:$D$503,_calc!$E$189))&amp;". ")&amp;IF(LEN(IF(LEN(INDEX('Documents'!$K$4:$K$503,_calc!$E$189))=0,"",INDEX('Documents'!$K$4:$K$503,_calc!$E$189)))=0,"","On file: "&amp;IF(LEN(INDEX('Documents'!$K$4:$K$503,_calc!$E$189))=0,"",INDEX('Documents'!$K$4:$K$503,_calc!$E$189))&amp;". ")&amp;IF(LEN(IF(LEN(INDEX('Documents'!$L$4:$L$503,_calc!$E$189))=0,"",INDEX('Documents'!$L$4:$L$503,_calc!$E$189)))=0,"","Contractor email: "&amp;IF(LEN(INDEX('Documents'!$L$4:$L$503,_calc!$E$189))=0,"",INDEX('Documents'!$L$4:$L$503,_calc!$E$189))&amp;". ")&amp;IF(LEN(IF(LEN(INDEX('Documents'!$P$4:$P$503,_calc!$E$189))=0,"",INDEX('Documents'!$P$4:$P$503,_calc!$E$189)))=0,"",IF(LEN(INDEX('Documents'!$P$4:$P$503,_calc!$E$189))=0,"",INDEX('Documents'!$P$4:$P$503,_calc!$E$189)))))</f>
        <v/>
      </c>
      <c r="G187" s="43">
        <f>IF(_calc!$E$189="","",IF(LEN(INDEX('Documents'!$O$4:$O$503,_calc!$E$189))=0,"",INDEX('Documents'!$O$4:$O$503,_calc!$E$189)))</f>
        <v/>
      </c>
      <c r="K187" s="43">
        <f>IF(_calc!$E$189="","",IF(LEN(INDEX('Documents'!$M$4:$M$503,_calc!$E$189))=0,"",INDEX('Documents'!$M$4:$M$503,_calc!$E$189)))</f>
        <v/>
      </c>
    </row>
    <row r="188">
      <c r="A188" s="43">
        <f>IF(_calc!$E$190="","",IF(LEN(INDEX('Documents'!$C$4:$C$503,_calc!$E$190))=0,"",INDEX('Documents'!$C$4:$C$503,_calc!$E$190))&amp;" – "&amp;IF(LEN(INDEX('Documents'!$A$4:$A$503,_calc!$E$190))=0,"",INDEX('Documents'!$A$4:$A$503,_calc!$E$190)))</f>
        <v/>
      </c>
      <c r="B188" s="43">
        <f>IF(_calc!$E$190="","",IF(ISNUMBER(INDEX('Documents'!$F$4:$F$503,_calc!$E$190)),TEXT(INDEX('Documents'!$F$4:$F$503,_calc!$E$190),"yyyy-mm-dd"),""))</f>
        <v/>
      </c>
      <c r="C188" s="43">
        <f>IF(_calc!$E$190="","","Contractor document")</f>
        <v/>
      </c>
      <c r="D188" s="43">
        <f>IF(_calc!$E$190="","",IF(ISNUMBER(INDEX('Documents'!$E$4:$E$503,_calc!$E$190)),TEXT(INDEX('Documents'!$E$4:$E$503,_calc!$E$190),"yyyy-mm-dd"),""))</f>
        <v/>
      </c>
      <c r="E188" s="43">
        <f>IF(_calc!$E$190="","",IF(LEN(INDEX('Documents'!$N$4:$N$503,_calc!$E$190))=0,"",INDEX('Documents'!$N$4:$N$503,_calc!$E$190)))</f>
        <v/>
      </c>
      <c r="F188" s="43">
        <f>IF(_calc!$E$190="","",TRIM(IF(LEN(IF(LEN(INDEX('Documents'!$B$4:$B$503,_calc!$E$190))=0,"",INDEX('Documents'!$B$4:$B$503,_calc!$E$190)))=0,"","Trade: "&amp;IF(LEN(INDEX('Documents'!$B$4:$B$503,_calc!$E$190))=0,"",INDEX('Documents'!$B$4:$B$503,_calc!$E$190))&amp;". ")&amp;IF(LEN(IF(LEN(INDEX('Documents'!$D$4:$D$503,_calc!$E$190))=0,"",INDEX('Documents'!$D$4:$D$503,_calc!$E$190)))=0,"","Ref: "&amp;IF(LEN(INDEX('Documents'!$D$4:$D$503,_calc!$E$190))=0,"",INDEX('Documents'!$D$4:$D$503,_calc!$E$190))&amp;". ")&amp;IF(LEN(IF(LEN(INDEX('Documents'!$K$4:$K$503,_calc!$E$190))=0,"",INDEX('Documents'!$K$4:$K$503,_calc!$E$190)))=0,"","On file: "&amp;IF(LEN(INDEX('Documents'!$K$4:$K$503,_calc!$E$190))=0,"",INDEX('Documents'!$K$4:$K$503,_calc!$E$190))&amp;". ")&amp;IF(LEN(IF(LEN(INDEX('Documents'!$L$4:$L$503,_calc!$E$190))=0,"",INDEX('Documents'!$L$4:$L$503,_calc!$E$190)))=0,"","Contractor email: "&amp;IF(LEN(INDEX('Documents'!$L$4:$L$503,_calc!$E$190))=0,"",INDEX('Documents'!$L$4:$L$503,_calc!$E$190))&amp;". ")&amp;IF(LEN(IF(LEN(INDEX('Documents'!$P$4:$P$503,_calc!$E$190))=0,"",INDEX('Documents'!$P$4:$P$503,_calc!$E$190)))=0,"",IF(LEN(INDEX('Documents'!$P$4:$P$503,_calc!$E$190))=0,"",INDEX('Documents'!$P$4:$P$503,_calc!$E$190)))))</f>
        <v/>
      </c>
      <c r="G188" s="43">
        <f>IF(_calc!$E$190="","",IF(LEN(INDEX('Documents'!$O$4:$O$503,_calc!$E$190))=0,"",INDEX('Documents'!$O$4:$O$503,_calc!$E$190)))</f>
        <v/>
      </c>
      <c r="K188" s="43">
        <f>IF(_calc!$E$190="","",IF(LEN(INDEX('Documents'!$M$4:$M$503,_calc!$E$190))=0,"",INDEX('Documents'!$M$4:$M$503,_calc!$E$190)))</f>
        <v/>
      </c>
    </row>
    <row r="189">
      <c r="A189" s="43">
        <f>IF(_calc!$E$191="","",IF(LEN(INDEX('Documents'!$C$4:$C$503,_calc!$E$191))=0,"",INDEX('Documents'!$C$4:$C$503,_calc!$E$191))&amp;" – "&amp;IF(LEN(INDEX('Documents'!$A$4:$A$503,_calc!$E$191))=0,"",INDEX('Documents'!$A$4:$A$503,_calc!$E$191)))</f>
        <v/>
      </c>
      <c r="B189" s="43">
        <f>IF(_calc!$E$191="","",IF(ISNUMBER(INDEX('Documents'!$F$4:$F$503,_calc!$E$191)),TEXT(INDEX('Documents'!$F$4:$F$503,_calc!$E$191),"yyyy-mm-dd"),""))</f>
        <v/>
      </c>
      <c r="C189" s="43">
        <f>IF(_calc!$E$191="","","Contractor document")</f>
        <v/>
      </c>
      <c r="D189" s="43">
        <f>IF(_calc!$E$191="","",IF(ISNUMBER(INDEX('Documents'!$E$4:$E$503,_calc!$E$191)),TEXT(INDEX('Documents'!$E$4:$E$503,_calc!$E$191),"yyyy-mm-dd"),""))</f>
        <v/>
      </c>
      <c r="E189" s="43">
        <f>IF(_calc!$E$191="","",IF(LEN(INDEX('Documents'!$N$4:$N$503,_calc!$E$191))=0,"",INDEX('Documents'!$N$4:$N$503,_calc!$E$191)))</f>
        <v/>
      </c>
      <c r="F189" s="43">
        <f>IF(_calc!$E$191="","",TRIM(IF(LEN(IF(LEN(INDEX('Documents'!$B$4:$B$503,_calc!$E$191))=0,"",INDEX('Documents'!$B$4:$B$503,_calc!$E$191)))=0,"","Trade: "&amp;IF(LEN(INDEX('Documents'!$B$4:$B$503,_calc!$E$191))=0,"",INDEX('Documents'!$B$4:$B$503,_calc!$E$191))&amp;". ")&amp;IF(LEN(IF(LEN(INDEX('Documents'!$D$4:$D$503,_calc!$E$191))=0,"",INDEX('Documents'!$D$4:$D$503,_calc!$E$191)))=0,"","Ref: "&amp;IF(LEN(INDEX('Documents'!$D$4:$D$503,_calc!$E$191))=0,"",INDEX('Documents'!$D$4:$D$503,_calc!$E$191))&amp;". ")&amp;IF(LEN(IF(LEN(INDEX('Documents'!$K$4:$K$503,_calc!$E$191))=0,"",INDEX('Documents'!$K$4:$K$503,_calc!$E$191)))=0,"","On file: "&amp;IF(LEN(INDEX('Documents'!$K$4:$K$503,_calc!$E$191))=0,"",INDEX('Documents'!$K$4:$K$503,_calc!$E$191))&amp;". ")&amp;IF(LEN(IF(LEN(INDEX('Documents'!$L$4:$L$503,_calc!$E$191))=0,"",INDEX('Documents'!$L$4:$L$503,_calc!$E$191)))=0,"","Contractor email: "&amp;IF(LEN(INDEX('Documents'!$L$4:$L$503,_calc!$E$191))=0,"",INDEX('Documents'!$L$4:$L$503,_calc!$E$191))&amp;". ")&amp;IF(LEN(IF(LEN(INDEX('Documents'!$P$4:$P$503,_calc!$E$191))=0,"",INDEX('Documents'!$P$4:$P$503,_calc!$E$191)))=0,"",IF(LEN(INDEX('Documents'!$P$4:$P$503,_calc!$E$191))=0,"",INDEX('Documents'!$P$4:$P$503,_calc!$E$191)))))</f>
        <v/>
      </c>
      <c r="G189" s="43">
        <f>IF(_calc!$E$191="","",IF(LEN(INDEX('Documents'!$O$4:$O$503,_calc!$E$191))=0,"",INDEX('Documents'!$O$4:$O$503,_calc!$E$191)))</f>
        <v/>
      </c>
      <c r="K189" s="43">
        <f>IF(_calc!$E$191="","",IF(LEN(INDEX('Documents'!$M$4:$M$503,_calc!$E$191))=0,"",INDEX('Documents'!$M$4:$M$503,_calc!$E$191)))</f>
        <v/>
      </c>
    </row>
    <row r="190">
      <c r="A190" s="43">
        <f>IF(_calc!$E$192="","",IF(LEN(INDEX('Documents'!$C$4:$C$503,_calc!$E$192))=0,"",INDEX('Documents'!$C$4:$C$503,_calc!$E$192))&amp;" – "&amp;IF(LEN(INDEX('Documents'!$A$4:$A$503,_calc!$E$192))=0,"",INDEX('Documents'!$A$4:$A$503,_calc!$E$192)))</f>
        <v/>
      </c>
      <c r="B190" s="43">
        <f>IF(_calc!$E$192="","",IF(ISNUMBER(INDEX('Documents'!$F$4:$F$503,_calc!$E$192)),TEXT(INDEX('Documents'!$F$4:$F$503,_calc!$E$192),"yyyy-mm-dd"),""))</f>
        <v/>
      </c>
      <c r="C190" s="43">
        <f>IF(_calc!$E$192="","","Contractor document")</f>
        <v/>
      </c>
      <c r="D190" s="43">
        <f>IF(_calc!$E$192="","",IF(ISNUMBER(INDEX('Documents'!$E$4:$E$503,_calc!$E$192)),TEXT(INDEX('Documents'!$E$4:$E$503,_calc!$E$192),"yyyy-mm-dd"),""))</f>
        <v/>
      </c>
      <c r="E190" s="43">
        <f>IF(_calc!$E$192="","",IF(LEN(INDEX('Documents'!$N$4:$N$503,_calc!$E$192))=0,"",INDEX('Documents'!$N$4:$N$503,_calc!$E$192)))</f>
        <v/>
      </c>
      <c r="F190" s="43">
        <f>IF(_calc!$E$192="","",TRIM(IF(LEN(IF(LEN(INDEX('Documents'!$B$4:$B$503,_calc!$E$192))=0,"",INDEX('Documents'!$B$4:$B$503,_calc!$E$192)))=0,"","Trade: "&amp;IF(LEN(INDEX('Documents'!$B$4:$B$503,_calc!$E$192))=0,"",INDEX('Documents'!$B$4:$B$503,_calc!$E$192))&amp;". ")&amp;IF(LEN(IF(LEN(INDEX('Documents'!$D$4:$D$503,_calc!$E$192))=0,"",INDEX('Documents'!$D$4:$D$503,_calc!$E$192)))=0,"","Ref: "&amp;IF(LEN(INDEX('Documents'!$D$4:$D$503,_calc!$E$192))=0,"",INDEX('Documents'!$D$4:$D$503,_calc!$E$192))&amp;". ")&amp;IF(LEN(IF(LEN(INDEX('Documents'!$K$4:$K$503,_calc!$E$192))=0,"",INDEX('Documents'!$K$4:$K$503,_calc!$E$192)))=0,"","On file: "&amp;IF(LEN(INDEX('Documents'!$K$4:$K$503,_calc!$E$192))=0,"",INDEX('Documents'!$K$4:$K$503,_calc!$E$192))&amp;". ")&amp;IF(LEN(IF(LEN(INDEX('Documents'!$L$4:$L$503,_calc!$E$192))=0,"",INDEX('Documents'!$L$4:$L$503,_calc!$E$192)))=0,"","Contractor email: "&amp;IF(LEN(INDEX('Documents'!$L$4:$L$503,_calc!$E$192))=0,"",INDEX('Documents'!$L$4:$L$503,_calc!$E$192))&amp;". ")&amp;IF(LEN(IF(LEN(INDEX('Documents'!$P$4:$P$503,_calc!$E$192))=0,"",INDEX('Documents'!$P$4:$P$503,_calc!$E$192)))=0,"",IF(LEN(INDEX('Documents'!$P$4:$P$503,_calc!$E$192))=0,"",INDEX('Documents'!$P$4:$P$503,_calc!$E$192)))))</f>
        <v/>
      </c>
      <c r="G190" s="43">
        <f>IF(_calc!$E$192="","",IF(LEN(INDEX('Documents'!$O$4:$O$503,_calc!$E$192))=0,"",INDEX('Documents'!$O$4:$O$503,_calc!$E$192)))</f>
        <v/>
      </c>
      <c r="K190" s="43">
        <f>IF(_calc!$E$192="","",IF(LEN(INDEX('Documents'!$M$4:$M$503,_calc!$E$192))=0,"",INDEX('Documents'!$M$4:$M$503,_calc!$E$192)))</f>
        <v/>
      </c>
    </row>
    <row r="191">
      <c r="A191" s="43">
        <f>IF(_calc!$E$193="","",IF(LEN(INDEX('Documents'!$C$4:$C$503,_calc!$E$193))=0,"",INDEX('Documents'!$C$4:$C$503,_calc!$E$193))&amp;" – "&amp;IF(LEN(INDEX('Documents'!$A$4:$A$503,_calc!$E$193))=0,"",INDEX('Documents'!$A$4:$A$503,_calc!$E$193)))</f>
        <v/>
      </c>
      <c r="B191" s="43">
        <f>IF(_calc!$E$193="","",IF(ISNUMBER(INDEX('Documents'!$F$4:$F$503,_calc!$E$193)),TEXT(INDEX('Documents'!$F$4:$F$503,_calc!$E$193),"yyyy-mm-dd"),""))</f>
        <v/>
      </c>
      <c r="C191" s="43">
        <f>IF(_calc!$E$193="","","Contractor document")</f>
        <v/>
      </c>
      <c r="D191" s="43">
        <f>IF(_calc!$E$193="","",IF(ISNUMBER(INDEX('Documents'!$E$4:$E$503,_calc!$E$193)),TEXT(INDEX('Documents'!$E$4:$E$503,_calc!$E$193),"yyyy-mm-dd"),""))</f>
        <v/>
      </c>
      <c r="E191" s="43">
        <f>IF(_calc!$E$193="","",IF(LEN(INDEX('Documents'!$N$4:$N$503,_calc!$E$193))=0,"",INDEX('Documents'!$N$4:$N$503,_calc!$E$193)))</f>
        <v/>
      </c>
      <c r="F191" s="43">
        <f>IF(_calc!$E$193="","",TRIM(IF(LEN(IF(LEN(INDEX('Documents'!$B$4:$B$503,_calc!$E$193))=0,"",INDEX('Documents'!$B$4:$B$503,_calc!$E$193)))=0,"","Trade: "&amp;IF(LEN(INDEX('Documents'!$B$4:$B$503,_calc!$E$193))=0,"",INDEX('Documents'!$B$4:$B$503,_calc!$E$193))&amp;". ")&amp;IF(LEN(IF(LEN(INDEX('Documents'!$D$4:$D$503,_calc!$E$193))=0,"",INDEX('Documents'!$D$4:$D$503,_calc!$E$193)))=0,"","Ref: "&amp;IF(LEN(INDEX('Documents'!$D$4:$D$503,_calc!$E$193))=0,"",INDEX('Documents'!$D$4:$D$503,_calc!$E$193))&amp;". ")&amp;IF(LEN(IF(LEN(INDEX('Documents'!$K$4:$K$503,_calc!$E$193))=0,"",INDEX('Documents'!$K$4:$K$503,_calc!$E$193)))=0,"","On file: "&amp;IF(LEN(INDEX('Documents'!$K$4:$K$503,_calc!$E$193))=0,"",INDEX('Documents'!$K$4:$K$503,_calc!$E$193))&amp;". ")&amp;IF(LEN(IF(LEN(INDEX('Documents'!$L$4:$L$503,_calc!$E$193))=0,"",INDEX('Documents'!$L$4:$L$503,_calc!$E$193)))=0,"","Contractor email: "&amp;IF(LEN(INDEX('Documents'!$L$4:$L$503,_calc!$E$193))=0,"",INDEX('Documents'!$L$4:$L$503,_calc!$E$193))&amp;". ")&amp;IF(LEN(IF(LEN(INDEX('Documents'!$P$4:$P$503,_calc!$E$193))=0,"",INDEX('Documents'!$P$4:$P$503,_calc!$E$193)))=0,"",IF(LEN(INDEX('Documents'!$P$4:$P$503,_calc!$E$193))=0,"",INDEX('Documents'!$P$4:$P$503,_calc!$E$193)))))</f>
        <v/>
      </c>
      <c r="G191" s="43">
        <f>IF(_calc!$E$193="","",IF(LEN(INDEX('Documents'!$O$4:$O$503,_calc!$E$193))=0,"",INDEX('Documents'!$O$4:$O$503,_calc!$E$193)))</f>
        <v/>
      </c>
      <c r="K191" s="43">
        <f>IF(_calc!$E$193="","",IF(LEN(INDEX('Documents'!$M$4:$M$503,_calc!$E$193))=0,"",INDEX('Documents'!$M$4:$M$503,_calc!$E$193)))</f>
        <v/>
      </c>
    </row>
    <row r="192">
      <c r="A192" s="43">
        <f>IF(_calc!$E$194="","",IF(LEN(INDEX('Documents'!$C$4:$C$503,_calc!$E$194))=0,"",INDEX('Documents'!$C$4:$C$503,_calc!$E$194))&amp;" – "&amp;IF(LEN(INDEX('Documents'!$A$4:$A$503,_calc!$E$194))=0,"",INDEX('Documents'!$A$4:$A$503,_calc!$E$194)))</f>
        <v/>
      </c>
      <c r="B192" s="43">
        <f>IF(_calc!$E$194="","",IF(ISNUMBER(INDEX('Documents'!$F$4:$F$503,_calc!$E$194)),TEXT(INDEX('Documents'!$F$4:$F$503,_calc!$E$194),"yyyy-mm-dd"),""))</f>
        <v/>
      </c>
      <c r="C192" s="43">
        <f>IF(_calc!$E$194="","","Contractor document")</f>
        <v/>
      </c>
      <c r="D192" s="43">
        <f>IF(_calc!$E$194="","",IF(ISNUMBER(INDEX('Documents'!$E$4:$E$503,_calc!$E$194)),TEXT(INDEX('Documents'!$E$4:$E$503,_calc!$E$194),"yyyy-mm-dd"),""))</f>
        <v/>
      </c>
      <c r="E192" s="43">
        <f>IF(_calc!$E$194="","",IF(LEN(INDEX('Documents'!$N$4:$N$503,_calc!$E$194))=0,"",INDEX('Documents'!$N$4:$N$503,_calc!$E$194)))</f>
        <v/>
      </c>
      <c r="F192" s="43">
        <f>IF(_calc!$E$194="","",TRIM(IF(LEN(IF(LEN(INDEX('Documents'!$B$4:$B$503,_calc!$E$194))=0,"",INDEX('Documents'!$B$4:$B$503,_calc!$E$194)))=0,"","Trade: "&amp;IF(LEN(INDEX('Documents'!$B$4:$B$503,_calc!$E$194))=0,"",INDEX('Documents'!$B$4:$B$503,_calc!$E$194))&amp;". ")&amp;IF(LEN(IF(LEN(INDEX('Documents'!$D$4:$D$503,_calc!$E$194))=0,"",INDEX('Documents'!$D$4:$D$503,_calc!$E$194)))=0,"","Ref: "&amp;IF(LEN(INDEX('Documents'!$D$4:$D$503,_calc!$E$194))=0,"",INDEX('Documents'!$D$4:$D$503,_calc!$E$194))&amp;". ")&amp;IF(LEN(IF(LEN(INDEX('Documents'!$K$4:$K$503,_calc!$E$194))=0,"",INDEX('Documents'!$K$4:$K$503,_calc!$E$194)))=0,"","On file: "&amp;IF(LEN(INDEX('Documents'!$K$4:$K$503,_calc!$E$194))=0,"",INDEX('Documents'!$K$4:$K$503,_calc!$E$194))&amp;". ")&amp;IF(LEN(IF(LEN(INDEX('Documents'!$L$4:$L$503,_calc!$E$194))=0,"",INDEX('Documents'!$L$4:$L$503,_calc!$E$194)))=0,"","Contractor email: "&amp;IF(LEN(INDEX('Documents'!$L$4:$L$503,_calc!$E$194))=0,"",INDEX('Documents'!$L$4:$L$503,_calc!$E$194))&amp;". ")&amp;IF(LEN(IF(LEN(INDEX('Documents'!$P$4:$P$503,_calc!$E$194))=0,"",INDEX('Documents'!$P$4:$P$503,_calc!$E$194)))=0,"",IF(LEN(INDEX('Documents'!$P$4:$P$503,_calc!$E$194))=0,"",INDEX('Documents'!$P$4:$P$503,_calc!$E$194)))))</f>
        <v/>
      </c>
      <c r="G192" s="43">
        <f>IF(_calc!$E$194="","",IF(LEN(INDEX('Documents'!$O$4:$O$503,_calc!$E$194))=0,"",INDEX('Documents'!$O$4:$O$503,_calc!$E$194)))</f>
        <v/>
      </c>
      <c r="K192" s="43">
        <f>IF(_calc!$E$194="","",IF(LEN(INDEX('Documents'!$M$4:$M$503,_calc!$E$194))=0,"",INDEX('Documents'!$M$4:$M$503,_calc!$E$194)))</f>
        <v/>
      </c>
    </row>
    <row r="193">
      <c r="A193" s="43">
        <f>IF(_calc!$E$195="","",IF(LEN(INDEX('Documents'!$C$4:$C$503,_calc!$E$195))=0,"",INDEX('Documents'!$C$4:$C$503,_calc!$E$195))&amp;" – "&amp;IF(LEN(INDEX('Documents'!$A$4:$A$503,_calc!$E$195))=0,"",INDEX('Documents'!$A$4:$A$503,_calc!$E$195)))</f>
        <v/>
      </c>
      <c r="B193" s="43">
        <f>IF(_calc!$E$195="","",IF(ISNUMBER(INDEX('Documents'!$F$4:$F$503,_calc!$E$195)),TEXT(INDEX('Documents'!$F$4:$F$503,_calc!$E$195),"yyyy-mm-dd"),""))</f>
        <v/>
      </c>
      <c r="C193" s="43">
        <f>IF(_calc!$E$195="","","Contractor document")</f>
        <v/>
      </c>
      <c r="D193" s="43">
        <f>IF(_calc!$E$195="","",IF(ISNUMBER(INDEX('Documents'!$E$4:$E$503,_calc!$E$195)),TEXT(INDEX('Documents'!$E$4:$E$503,_calc!$E$195),"yyyy-mm-dd"),""))</f>
        <v/>
      </c>
      <c r="E193" s="43">
        <f>IF(_calc!$E$195="","",IF(LEN(INDEX('Documents'!$N$4:$N$503,_calc!$E$195))=0,"",INDEX('Documents'!$N$4:$N$503,_calc!$E$195)))</f>
        <v/>
      </c>
      <c r="F193" s="43">
        <f>IF(_calc!$E$195="","",TRIM(IF(LEN(IF(LEN(INDEX('Documents'!$B$4:$B$503,_calc!$E$195))=0,"",INDEX('Documents'!$B$4:$B$503,_calc!$E$195)))=0,"","Trade: "&amp;IF(LEN(INDEX('Documents'!$B$4:$B$503,_calc!$E$195))=0,"",INDEX('Documents'!$B$4:$B$503,_calc!$E$195))&amp;". ")&amp;IF(LEN(IF(LEN(INDEX('Documents'!$D$4:$D$503,_calc!$E$195))=0,"",INDEX('Documents'!$D$4:$D$503,_calc!$E$195)))=0,"","Ref: "&amp;IF(LEN(INDEX('Documents'!$D$4:$D$503,_calc!$E$195))=0,"",INDEX('Documents'!$D$4:$D$503,_calc!$E$195))&amp;". ")&amp;IF(LEN(IF(LEN(INDEX('Documents'!$K$4:$K$503,_calc!$E$195))=0,"",INDEX('Documents'!$K$4:$K$503,_calc!$E$195)))=0,"","On file: "&amp;IF(LEN(INDEX('Documents'!$K$4:$K$503,_calc!$E$195))=0,"",INDEX('Documents'!$K$4:$K$503,_calc!$E$195))&amp;". ")&amp;IF(LEN(IF(LEN(INDEX('Documents'!$L$4:$L$503,_calc!$E$195))=0,"",INDEX('Documents'!$L$4:$L$503,_calc!$E$195)))=0,"","Contractor email: "&amp;IF(LEN(INDEX('Documents'!$L$4:$L$503,_calc!$E$195))=0,"",INDEX('Documents'!$L$4:$L$503,_calc!$E$195))&amp;". ")&amp;IF(LEN(IF(LEN(INDEX('Documents'!$P$4:$P$503,_calc!$E$195))=0,"",INDEX('Documents'!$P$4:$P$503,_calc!$E$195)))=0,"",IF(LEN(INDEX('Documents'!$P$4:$P$503,_calc!$E$195))=0,"",INDEX('Documents'!$P$4:$P$503,_calc!$E$195)))))</f>
        <v/>
      </c>
      <c r="G193" s="43">
        <f>IF(_calc!$E$195="","",IF(LEN(INDEX('Documents'!$O$4:$O$503,_calc!$E$195))=0,"",INDEX('Documents'!$O$4:$O$503,_calc!$E$195)))</f>
        <v/>
      </c>
      <c r="K193" s="43">
        <f>IF(_calc!$E$195="","",IF(LEN(INDEX('Documents'!$M$4:$M$503,_calc!$E$195))=0,"",INDEX('Documents'!$M$4:$M$503,_calc!$E$195)))</f>
        <v/>
      </c>
    </row>
    <row r="194">
      <c r="A194" s="43">
        <f>IF(_calc!$E$196="","",IF(LEN(INDEX('Documents'!$C$4:$C$503,_calc!$E$196))=0,"",INDEX('Documents'!$C$4:$C$503,_calc!$E$196))&amp;" – "&amp;IF(LEN(INDEX('Documents'!$A$4:$A$503,_calc!$E$196))=0,"",INDEX('Documents'!$A$4:$A$503,_calc!$E$196)))</f>
        <v/>
      </c>
      <c r="B194" s="43">
        <f>IF(_calc!$E$196="","",IF(ISNUMBER(INDEX('Documents'!$F$4:$F$503,_calc!$E$196)),TEXT(INDEX('Documents'!$F$4:$F$503,_calc!$E$196),"yyyy-mm-dd"),""))</f>
        <v/>
      </c>
      <c r="C194" s="43">
        <f>IF(_calc!$E$196="","","Contractor document")</f>
        <v/>
      </c>
      <c r="D194" s="43">
        <f>IF(_calc!$E$196="","",IF(ISNUMBER(INDEX('Documents'!$E$4:$E$503,_calc!$E$196)),TEXT(INDEX('Documents'!$E$4:$E$503,_calc!$E$196),"yyyy-mm-dd"),""))</f>
        <v/>
      </c>
      <c r="E194" s="43">
        <f>IF(_calc!$E$196="","",IF(LEN(INDEX('Documents'!$N$4:$N$503,_calc!$E$196))=0,"",INDEX('Documents'!$N$4:$N$503,_calc!$E$196)))</f>
        <v/>
      </c>
      <c r="F194" s="43">
        <f>IF(_calc!$E$196="","",TRIM(IF(LEN(IF(LEN(INDEX('Documents'!$B$4:$B$503,_calc!$E$196))=0,"",INDEX('Documents'!$B$4:$B$503,_calc!$E$196)))=0,"","Trade: "&amp;IF(LEN(INDEX('Documents'!$B$4:$B$503,_calc!$E$196))=0,"",INDEX('Documents'!$B$4:$B$503,_calc!$E$196))&amp;". ")&amp;IF(LEN(IF(LEN(INDEX('Documents'!$D$4:$D$503,_calc!$E$196))=0,"",INDEX('Documents'!$D$4:$D$503,_calc!$E$196)))=0,"","Ref: "&amp;IF(LEN(INDEX('Documents'!$D$4:$D$503,_calc!$E$196))=0,"",INDEX('Documents'!$D$4:$D$503,_calc!$E$196))&amp;". ")&amp;IF(LEN(IF(LEN(INDEX('Documents'!$K$4:$K$503,_calc!$E$196))=0,"",INDEX('Documents'!$K$4:$K$503,_calc!$E$196)))=0,"","On file: "&amp;IF(LEN(INDEX('Documents'!$K$4:$K$503,_calc!$E$196))=0,"",INDEX('Documents'!$K$4:$K$503,_calc!$E$196))&amp;". ")&amp;IF(LEN(IF(LEN(INDEX('Documents'!$L$4:$L$503,_calc!$E$196))=0,"",INDEX('Documents'!$L$4:$L$503,_calc!$E$196)))=0,"","Contractor email: "&amp;IF(LEN(INDEX('Documents'!$L$4:$L$503,_calc!$E$196))=0,"",INDEX('Documents'!$L$4:$L$503,_calc!$E$196))&amp;". ")&amp;IF(LEN(IF(LEN(INDEX('Documents'!$P$4:$P$503,_calc!$E$196))=0,"",INDEX('Documents'!$P$4:$P$503,_calc!$E$196)))=0,"",IF(LEN(INDEX('Documents'!$P$4:$P$503,_calc!$E$196))=0,"",INDEX('Documents'!$P$4:$P$503,_calc!$E$196)))))</f>
        <v/>
      </c>
      <c r="G194" s="43">
        <f>IF(_calc!$E$196="","",IF(LEN(INDEX('Documents'!$O$4:$O$503,_calc!$E$196))=0,"",INDEX('Documents'!$O$4:$O$503,_calc!$E$196)))</f>
        <v/>
      </c>
      <c r="K194" s="43">
        <f>IF(_calc!$E$196="","",IF(LEN(INDEX('Documents'!$M$4:$M$503,_calc!$E$196))=0,"",INDEX('Documents'!$M$4:$M$503,_calc!$E$196)))</f>
        <v/>
      </c>
    </row>
    <row r="195">
      <c r="A195" s="43">
        <f>IF(_calc!$E$197="","",IF(LEN(INDEX('Documents'!$C$4:$C$503,_calc!$E$197))=0,"",INDEX('Documents'!$C$4:$C$503,_calc!$E$197))&amp;" – "&amp;IF(LEN(INDEX('Documents'!$A$4:$A$503,_calc!$E$197))=0,"",INDEX('Documents'!$A$4:$A$503,_calc!$E$197)))</f>
        <v/>
      </c>
      <c r="B195" s="43">
        <f>IF(_calc!$E$197="","",IF(ISNUMBER(INDEX('Documents'!$F$4:$F$503,_calc!$E$197)),TEXT(INDEX('Documents'!$F$4:$F$503,_calc!$E$197),"yyyy-mm-dd"),""))</f>
        <v/>
      </c>
      <c r="C195" s="43">
        <f>IF(_calc!$E$197="","","Contractor document")</f>
        <v/>
      </c>
      <c r="D195" s="43">
        <f>IF(_calc!$E$197="","",IF(ISNUMBER(INDEX('Documents'!$E$4:$E$503,_calc!$E$197)),TEXT(INDEX('Documents'!$E$4:$E$503,_calc!$E$197),"yyyy-mm-dd"),""))</f>
        <v/>
      </c>
      <c r="E195" s="43">
        <f>IF(_calc!$E$197="","",IF(LEN(INDEX('Documents'!$N$4:$N$503,_calc!$E$197))=0,"",INDEX('Documents'!$N$4:$N$503,_calc!$E$197)))</f>
        <v/>
      </c>
      <c r="F195" s="43">
        <f>IF(_calc!$E$197="","",TRIM(IF(LEN(IF(LEN(INDEX('Documents'!$B$4:$B$503,_calc!$E$197))=0,"",INDEX('Documents'!$B$4:$B$503,_calc!$E$197)))=0,"","Trade: "&amp;IF(LEN(INDEX('Documents'!$B$4:$B$503,_calc!$E$197))=0,"",INDEX('Documents'!$B$4:$B$503,_calc!$E$197))&amp;". ")&amp;IF(LEN(IF(LEN(INDEX('Documents'!$D$4:$D$503,_calc!$E$197))=0,"",INDEX('Documents'!$D$4:$D$503,_calc!$E$197)))=0,"","Ref: "&amp;IF(LEN(INDEX('Documents'!$D$4:$D$503,_calc!$E$197))=0,"",INDEX('Documents'!$D$4:$D$503,_calc!$E$197))&amp;". ")&amp;IF(LEN(IF(LEN(INDEX('Documents'!$K$4:$K$503,_calc!$E$197))=0,"",INDEX('Documents'!$K$4:$K$503,_calc!$E$197)))=0,"","On file: "&amp;IF(LEN(INDEX('Documents'!$K$4:$K$503,_calc!$E$197))=0,"",INDEX('Documents'!$K$4:$K$503,_calc!$E$197))&amp;". ")&amp;IF(LEN(IF(LEN(INDEX('Documents'!$L$4:$L$503,_calc!$E$197))=0,"",INDEX('Documents'!$L$4:$L$503,_calc!$E$197)))=0,"","Contractor email: "&amp;IF(LEN(INDEX('Documents'!$L$4:$L$503,_calc!$E$197))=0,"",INDEX('Documents'!$L$4:$L$503,_calc!$E$197))&amp;". ")&amp;IF(LEN(IF(LEN(INDEX('Documents'!$P$4:$P$503,_calc!$E$197))=0,"",INDEX('Documents'!$P$4:$P$503,_calc!$E$197)))=0,"",IF(LEN(INDEX('Documents'!$P$4:$P$503,_calc!$E$197))=0,"",INDEX('Documents'!$P$4:$P$503,_calc!$E$197)))))</f>
        <v/>
      </c>
      <c r="G195" s="43">
        <f>IF(_calc!$E$197="","",IF(LEN(INDEX('Documents'!$O$4:$O$503,_calc!$E$197))=0,"",INDEX('Documents'!$O$4:$O$503,_calc!$E$197)))</f>
        <v/>
      </c>
      <c r="K195" s="43">
        <f>IF(_calc!$E$197="","",IF(LEN(INDEX('Documents'!$M$4:$M$503,_calc!$E$197))=0,"",INDEX('Documents'!$M$4:$M$503,_calc!$E$197)))</f>
        <v/>
      </c>
    </row>
    <row r="196">
      <c r="A196" s="43">
        <f>IF(_calc!$E$198="","",IF(LEN(INDEX('Documents'!$C$4:$C$503,_calc!$E$198))=0,"",INDEX('Documents'!$C$4:$C$503,_calc!$E$198))&amp;" – "&amp;IF(LEN(INDEX('Documents'!$A$4:$A$503,_calc!$E$198))=0,"",INDEX('Documents'!$A$4:$A$503,_calc!$E$198)))</f>
        <v/>
      </c>
      <c r="B196" s="43">
        <f>IF(_calc!$E$198="","",IF(ISNUMBER(INDEX('Documents'!$F$4:$F$503,_calc!$E$198)),TEXT(INDEX('Documents'!$F$4:$F$503,_calc!$E$198),"yyyy-mm-dd"),""))</f>
        <v/>
      </c>
      <c r="C196" s="43">
        <f>IF(_calc!$E$198="","","Contractor document")</f>
        <v/>
      </c>
      <c r="D196" s="43">
        <f>IF(_calc!$E$198="","",IF(ISNUMBER(INDEX('Documents'!$E$4:$E$503,_calc!$E$198)),TEXT(INDEX('Documents'!$E$4:$E$503,_calc!$E$198),"yyyy-mm-dd"),""))</f>
        <v/>
      </c>
      <c r="E196" s="43">
        <f>IF(_calc!$E$198="","",IF(LEN(INDEX('Documents'!$N$4:$N$503,_calc!$E$198))=0,"",INDEX('Documents'!$N$4:$N$503,_calc!$E$198)))</f>
        <v/>
      </c>
      <c r="F196" s="43">
        <f>IF(_calc!$E$198="","",TRIM(IF(LEN(IF(LEN(INDEX('Documents'!$B$4:$B$503,_calc!$E$198))=0,"",INDEX('Documents'!$B$4:$B$503,_calc!$E$198)))=0,"","Trade: "&amp;IF(LEN(INDEX('Documents'!$B$4:$B$503,_calc!$E$198))=0,"",INDEX('Documents'!$B$4:$B$503,_calc!$E$198))&amp;". ")&amp;IF(LEN(IF(LEN(INDEX('Documents'!$D$4:$D$503,_calc!$E$198))=0,"",INDEX('Documents'!$D$4:$D$503,_calc!$E$198)))=0,"","Ref: "&amp;IF(LEN(INDEX('Documents'!$D$4:$D$503,_calc!$E$198))=0,"",INDEX('Documents'!$D$4:$D$503,_calc!$E$198))&amp;". ")&amp;IF(LEN(IF(LEN(INDEX('Documents'!$K$4:$K$503,_calc!$E$198))=0,"",INDEX('Documents'!$K$4:$K$503,_calc!$E$198)))=0,"","On file: "&amp;IF(LEN(INDEX('Documents'!$K$4:$K$503,_calc!$E$198))=0,"",INDEX('Documents'!$K$4:$K$503,_calc!$E$198))&amp;". ")&amp;IF(LEN(IF(LEN(INDEX('Documents'!$L$4:$L$503,_calc!$E$198))=0,"",INDEX('Documents'!$L$4:$L$503,_calc!$E$198)))=0,"","Contractor email: "&amp;IF(LEN(INDEX('Documents'!$L$4:$L$503,_calc!$E$198))=0,"",INDEX('Documents'!$L$4:$L$503,_calc!$E$198))&amp;". ")&amp;IF(LEN(IF(LEN(INDEX('Documents'!$P$4:$P$503,_calc!$E$198))=0,"",INDEX('Documents'!$P$4:$P$503,_calc!$E$198)))=0,"",IF(LEN(INDEX('Documents'!$P$4:$P$503,_calc!$E$198))=0,"",INDEX('Documents'!$P$4:$P$503,_calc!$E$198)))))</f>
        <v/>
      </c>
      <c r="G196" s="43">
        <f>IF(_calc!$E$198="","",IF(LEN(INDEX('Documents'!$O$4:$O$503,_calc!$E$198))=0,"",INDEX('Documents'!$O$4:$O$503,_calc!$E$198)))</f>
        <v/>
      </c>
      <c r="K196" s="43">
        <f>IF(_calc!$E$198="","",IF(LEN(INDEX('Documents'!$M$4:$M$503,_calc!$E$198))=0,"",INDEX('Documents'!$M$4:$M$503,_calc!$E$198)))</f>
        <v/>
      </c>
    </row>
    <row r="197">
      <c r="A197" s="43">
        <f>IF(_calc!$E$199="","",IF(LEN(INDEX('Documents'!$C$4:$C$503,_calc!$E$199))=0,"",INDEX('Documents'!$C$4:$C$503,_calc!$E$199))&amp;" – "&amp;IF(LEN(INDEX('Documents'!$A$4:$A$503,_calc!$E$199))=0,"",INDEX('Documents'!$A$4:$A$503,_calc!$E$199)))</f>
        <v/>
      </c>
      <c r="B197" s="43">
        <f>IF(_calc!$E$199="","",IF(ISNUMBER(INDEX('Documents'!$F$4:$F$503,_calc!$E$199)),TEXT(INDEX('Documents'!$F$4:$F$503,_calc!$E$199),"yyyy-mm-dd"),""))</f>
        <v/>
      </c>
      <c r="C197" s="43">
        <f>IF(_calc!$E$199="","","Contractor document")</f>
        <v/>
      </c>
      <c r="D197" s="43">
        <f>IF(_calc!$E$199="","",IF(ISNUMBER(INDEX('Documents'!$E$4:$E$503,_calc!$E$199)),TEXT(INDEX('Documents'!$E$4:$E$503,_calc!$E$199),"yyyy-mm-dd"),""))</f>
        <v/>
      </c>
      <c r="E197" s="43">
        <f>IF(_calc!$E$199="","",IF(LEN(INDEX('Documents'!$N$4:$N$503,_calc!$E$199))=0,"",INDEX('Documents'!$N$4:$N$503,_calc!$E$199)))</f>
        <v/>
      </c>
      <c r="F197" s="43">
        <f>IF(_calc!$E$199="","",TRIM(IF(LEN(IF(LEN(INDEX('Documents'!$B$4:$B$503,_calc!$E$199))=0,"",INDEX('Documents'!$B$4:$B$503,_calc!$E$199)))=0,"","Trade: "&amp;IF(LEN(INDEX('Documents'!$B$4:$B$503,_calc!$E$199))=0,"",INDEX('Documents'!$B$4:$B$503,_calc!$E$199))&amp;". ")&amp;IF(LEN(IF(LEN(INDEX('Documents'!$D$4:$D$503,_calc!$E$199))=0,"",INDEX('Documents'!$D$4:$D$503,_calc!$E$199)))=0,"","Ref: "&amp;IF(LEN(INDEX('Documents'!$D$4:$D$503,_calc!$E$199))=0,"",INDEX('Documents'!$D$4:$D$503,_calc!$E$199))&amp;". ")&amp;IF(LEN(IF(LEN(INDEX('Documents'!$K$4:$K$503,_calc!$E$199))=0,"",INDEX('Documents'!$K$4:$K$503,_calc!$E$199)))=0,"","On file: "&amp;IF(LEN(INDEX('Documents'!$K$4:$K$503,_calc!$E$199))=0,"",INDEX('Documents'!$K$4:$K$503,_calc!$E$199))&amp;". ")&amp;IF(LEN(IF(LEN(INDEX('Documents'!$L$4:$L$503,_calc!$E$199))=0,"",INDEX('Documents'!$L$4:$L$503,_calc!$E$199)))=0,"","Contractor email: "&amp;IF(LEN(INDEX('Documents'!$L$4:$L$503,_calc!$E$199))=0,"",INDEX('Documents'!$L$4:$L$503,_calc!$E$199))&amp;". ")&amp;IF(LEN(IF(LEN(INDEX('Documents'!$P$4:$P$503,_calc!$E$199))=0,"",INDEX('Documents'!$P$4:$P$503,_calc!$E$199)))=0,"",IF(LEN(INDEX('Documents'!$P$4:$P$503,_calc!$E$199))=0,"",INDEX('Documents'!$P$4:$P$503,_calc!$E$199)))))</f>
        <v/>
      </c>
      <c r="G197" s="43">
        <f>IF(_calc!$E$199="","",IF(LEN(INDEX('Documents'!$O$4:$O$503,_calc!$E$199))=0,"",INDEX('Documents'!$O$4:$O$503,_calc!$E$199)))</f>
        <v/>
      </c>
      <c r="K197" s="43">
        <f>IF(_calc!$E$199="","",IF(LEN(INDEX('Documents'!$M$4:$M$503,_calc!$E$199))=0,"",INDEX('Documents'!$M$4:$M$503,_calc!$E$199)))</f>
        <v/>
      </c>
    </row>
    <row r="198">
      <c r="A198" s="43">
        <f>IF(_calc!$E$200="","",IF(LEN(INDEX('Documents'!$C$4:$C$503,_calc!$E$200))=0,"",INDEX('Documents'!$C$4:$C$503,_calc!$E$200))&amp;" – "&amp;IF(LEN(INDEX('Documents'!$A$4:$A$503,_calc!$E$200))=0,"",INDEX('Documents'!$A$4:$A$503,_calc!$E$200)))</f>
        <v/>
      </c>
      <c r="B198" s="43">
        <f>IF(_calc!$E$200="","",IF(ISNUMBER(INDEX('Documents'!$F$4:$F$503,_calc!$E$200)),TEXT(INDEX('Documents'!$F$4:$F$503,_calc!$E$200),"yyyy-mm-dd"),""))</f>
        <v/>
      </c>
      <c r="C198" s="43">
        <f>IF(_calc!$E$200="","","Contractor document")</f>
        <v/>
      </c>
      <c r="D198" s="43">
        <f>IF(_calc!$E$200="","",IF(ISNUMBER(INDEX('Documents'!$E$4:$E$503,_calc!$E$200)),TEXT(INDEX('Documents'!$E$4:$E$503,_calc!$E$200),"yyyy-mm-dd"),""))</f>
        <v/>
      </c>
      <c r="E198" s="43">
        <f>IF(_calc!$E$200="","",IF(LEN(INDEX('Documents'!$N$4:$N$503,_calc!$E$200))=0,"",INDEX('Documents'!$N$4:$N$503,_calc!$E$200)))</f>
        <v/>
      </c>
      <c r="F198" s="43">
        <f>IF(_calc!$E$200="","",TRIM(IF(LEN(IF(LEN(INDEX('Documents'!$B$4:$B$503,_calc!$E$200))=0,"",INDEX('Documents'!$B$4:$B$503,_calc!$E$200)))=0,"","Trade: "&amp;IF(LEN(INDEX('Documents'!$B$4:$B$503,_calc!$E$200))=0,"",INDEX('Documents'!$B$4:$B$503,_calc!$E$200))&amp;". ")&amp;IF(LEN(IF(LEN(INDEX('Documents'!$D$4:$D$503,_calc!$E$200))=0,"",INDEX('Documents'!$D$4:$D$503,_calc!$E$200)))=0,"","Ref: "&amp;IF(LEN(INDEX('Documents'!$D$4:$D$503,_calc!$E$200))=0,"",INDEX('Documents'!$D$4:$D$503,_calc!$E$200))&amp;". ")&amp;IF(LEN(IF(LEN(INDEX('Documents'!$K$4:$K$503,_calc!$E$200))=0,"",INDEX('Documents'!$K$4:$K$503,_calc!$E$200)))=0,"","On file: "&amp;IF(LEN(INDEX('Documents'!$K$4:$K$503,_calc!$E$200))=0,"",INDEX('Documents'!$K$4:$K$503,_calc!$E$200))&amp;". ")&amp;IF(LEN(IF(LEN(INDEX('Documents'!$L$4:$L$503,_calc!$E$200))=0,"",INDEX('Documents'!$L$4:$L$503,_calc!$E$200)))=0,"","Contractor email: "&amp;IF(LEN(INDEX('Documents'!$L$4:$L$503,_calc!$E$200))=0,"",INDEX('Documents'!$L$4:$L$503,_calc!$E$200))&amp;". ")&amp;IF(LEN(IF(LEN(INDEX('Documents'!$P$4:$P$503,_calc!$E$200))=0,"",INDEX('Documents'!$P$4:$P$503,_calc!$E$200)))=0,"",IF(LEN(INDEX('Documents'!$P$4:$P$503,_calc!$E$200))=0,"",INDEX('Documents'!$P$4:$P$503,_calc!$E$200)))))</f>
        <v/>
      </c>
      <c r="G198" s="43">
        <f>IF(_calc!$E$200="","",IF(LEN(INDEX('Documents'!$O$4:$O$503,_calc!$E$200))=0,"",INDEX('Documents'!$O$4:$O$503,_calc!$E$200)))</f>
        <v/>
      </c>
      <c r="K198" s="43">
        <f>IF(_calc!$E$200="","",IF(LEN(INDEX('Documents'!$M$4:$M$503,_calc!$E$200))=0,"",INDEX('Documents'!$M$4:$M$503,_calc!$E$200)))</f>
        <v/>
      </c>
    </row>
    <row r="199">
      <c r="A199" s="43">
        <f>IF(_calc!$E$201="","",IF(LEN(INDEX('Documents'!$C$4:$C$503,_calc!$E$201))=0,"",INDEX('Documents'!$C$4:$C$503,_calc!$E$201))&amp;" – "&amp;IF(LEN(INDEX('Documents'!$A$4:$A$503,_calc!$E$201))=0,"",INDEX('Documents'!$A$4:$A$503,_calc!$E$201)))</f>
        <v/>
      </c>
      <c r="B199" s="43">
        <f>IF(_calc!$E$201="","",IF(ISNUMBER(INDEX('Documents'!$F$4:$F$503,_calc!$E$201)),TEXT(INDEX('Documents'!$F$4:$F$503,_calc!$E$201),"yyyy-mm-dd"),""))</f>
        <v/>
      </c>
      <c r="C199" s="43">
        <f>IF(_calc!$E$201="","","Contractor document")</f>
        <v/>
      </c>
      <c r="D199" s="43">
        <f>IF(_calc!$E$201="","",IF(ISNUMBER(INDEX('Documents'!$E$4:$E$503,_calc!$E$201)),TEXT(INDEX('Documents'!$E$4:$E$503,_calc!$E$201),"yyyy-mm-dd"),""))</f>
        <v/>
      </c>
      <c r="E199" s="43">
        <f>IF(_calc!$E$201="","",IF(LEN(INDEX('Documents'!$N$4:$N$503,_calc!$E$201))=0,"",INDEX('Documents'!$N$4:$N$503,_calc!$E$201)))</f>
        <v/>
      </c>
      <c r="F199" s="43">
        <f>IF(_calc!$E$201="","",TRIM(IF(LEN(IF(LEN(INDEX('Documents'!$B$4:$B$503,_calc!$E$201))=0,"",INDEX('Documents'!$B$4:$B$503,_calc!$E$201)))=0,"","Trade: "&amp;IF(LEN(INDEX('Documents'!$B$4:$B$503,_calc!$E$201))=0,"",INDEX('Documents'!$B$4:$B$503,_calc!$E$201))&amp;". ")&amp;IF(LEN(IF(LEN(INDEX('Documents'!$D$4:$D$503,_calc!$E$201))=0,"",INDEX('Documents'!$D$4:$D$503,_calc!$E$201)))=0,"","Ref: "&amp;IF(LEN(INDEX('Documents'!$D$4:$D$503,_calc!$E$201))=0,"",INDEX('Documents'!$D$4:$D$503,_calc!$E$201))&amp;". ")&amp;IF(LEN(IF(LEN(INDEX('Documents'!$K$4:$K$503,_calc!$E$201))=0,"",INDEX('Documents'!$K$4:$K$503,_calc!$E$201)))=0,"","On file: "&amp;IF(LEN(INDEX('Documents'!$K$4:$K$503,_calc!$E$201))=0,"",INDEX('Documents'!$K$4:$K$503,_calc!$E$201))&amp;". ")&amp;IF(LEN(IF(LEN(INDEX('Documents'!$L$4:$L$503,_calc!$E$201))=0,"",INDEX('Documents'!$L$4:$L$503,_calc!$E$201)))=0,"","Contractor email: "&amp;IF(LEN(INDEX('Documents'!$L$4:$L$503,_calc!$E$201))=0,"",INDEX('Documents'!$L$4:$L$503,_calc!$E$201))&amp;". ")&amp;IF(LEN(IF(LEN(INDEX('Documents'!$P$4:$P$503,_calc!$E$201))=0,"",INDEX('Documents'!$P$4:$P$503,_calc!$E$201)))=0,"",IF(LEN(INDEX('Documents'!$P$4:$P$503,_calc!$E$201))=0,"",INDEX('Documents'!$P$4:$P$503,_calc!$E$201)))))</f>
        <v/>
      </c>
      <c r="G199" s="43">
        <f>IF(_calc!$E$201="","",IF(LEN(INDEX('Documents'!$O$4:$O$503,_calc!$E$201))=0,"",INDEX('Documents'!$O$4:$O$503,_calc!$E$201)))</f>
        <v/>
      </c>
      <c r="K199" s="43">
        <f>IF(_calc!$E$201="","",IF(LEN(INDEX('Documents'!$M$4:$M$503,_calc!$E$201))=0,"",INDEX('Documents'!$M$4:$M$503,_calc!$E$201)))</f>
        <v/>
      </c>
    </row>
    <row r="200">
      <c r="A200" s="43">
        <f>IF(_calc!$E$202="","",IF(LEN(INDEX('Documents'!$C$4:$C$503,_calc!$E$202))=0,"",INDEX('Documents'!$C$4:$C$503,_calc!$E$202))&amp;" – "&amp;IF(LEN(INDEX('Documents'!$A$4:$A$503,_calc!$E$202))=0,"",INDEX('Documents'!$A$4:$A$503,_calc!$E$202)))</f>
        <v/>
      </c>
      <c r="B200" s="43">
        <f>IF(_calc!$E$202="","",IF(ISNUMBER(INDEX('Documents'!$F$4:$F$503,_calc!$E$202)),TEXT(INDEX('Documents'!$F$4:$F$503,_calc!$E$202),"yyyy-mm-dd"),""))</f>
        <v/>
      </c>
      <c r="C200" s="43">
        <f>IF(_calc!$E$202="","","Contractor document")</f>
        <v/>
      </c>
      <c r="D200" s="43">
        <f>IF(_calc!$E$202="","",IF(ISNUMBER(INDEX('Documents'!$E$4:$E$503,_calc!$E$202)),TEXT(INDEX('Documents'!$E$4:$E$503,_calc!$E$202),"yyyy-mm-dd"),""))</f>
        <v/>
      </c>
      <c r="E200" s="43">
        <f>IF(_calc!$E$202="","",IF(LEN(INDEX('Documents'!$N$4:$N$503,_calc!$E$202))=0,"",INDEX('Documents'!$N$4:$N$503,_calc!$E$202)))</f>
        <v/>
      </c>
      <c r="F200" s="43">
        <f>IF(_calc!$E$202="","",TRIM(IF(LEN(IF(LEN(INDEX('Documents'!$B$4:$B$503,_calc!$E$202))=0,"",INDEX('Documents'!$B$4:$B$503,_calc!$E$202)))=0,"","Trade: "&amp;IF(LEN(INDEX('Documents'!$B$4:$B$503,_calc!$E$202))=0,"",INDEX('Documents'!$B$4:$B$503,_calc!$E$202))&amp;". ")&amp;IF(LEN(IF(LEN(INDEX('Documents'!$D$4:$D$503,_calc!$E$202))=0,"",INDEX('Documents'!$D$4:$D$503,_calc!$E$202)))=0,"","Ref: "&amp;IF(LEN(INDEX('Documents'!$D$4:$D$503,_calc!$E$202))=0,"",INDEX('Documents'!$D$4:$D$503,_calc!$E$202))&amp;". ")&amp;IF(LEN(IF(LEN(INDEX('Documents'!$K$4:$K$503,_calc!$E$202))=0,"",INDEX('Documents'!$K$4:$K$503,_calc!$E$202)))=0,"","On file: "&amp;IF(LEN(INDEX('Documents'!$K$4:$K$503,_calc!$E$202))=0,"",INDEX('Documents'!$K$4:$K$503,_calc!$E$202))&amp;". ")&amp;IF(LEN(IF(LEN(INDEX('Documents'!$L$4:$L$503,_calc!$E$202))=0,"",INDEX('Documents'!$L$4:$L$503,_calc!$E$202)))=0,"","Contractor email: "&amp;IF(LEN(INDEX('Documents'!$L$4:$L$503,_calc!$E$202))=0,"",INDEX('Documents'!$L$4:$L$503,_calc!$E$202))&amp;". ")&amp;IF(LEN(IF(LEN(INDEX('Documents'!$P$4:$P$503,_calc!$E$202))=0,"",INDEX('Documents'!$P$4:$P$503,_calc!$E$202)))=0,"",IF(LEN(INDEX('Documents'!$P$4:$P$503,_calc!$E$202))=0,"",INDEX('Documents'!$P$4:$P$503,_calc!$E$202)))))</f>
        <v/>
      </c>
      <c r="G200" s="43">
        <f>IF(_calc!$E$202="","",IF(LEN(INDEX('Documents'!$O$4:$O$503,_calc!$E$202))=0,"",INDEX('Documents'!$O$4:$O$503,_calc!$E$202)))</f>
        <v/>
      </c>
      <c r="K200" s="43">
        <f>IF(_calc!$E$202="","",IF(LEN(INDEX('Documents'!$M$4:$M$503,_calc!$E$202))=0,"",INDEX('Documents'!$M$4:$M$503,_calc!$E$202)))</f>
        <v/>
      </c>
    </row>
    <row r="201">
      <c r="A201" s="43">
        <f>IF(_calc!$E$203="","",IF(LEN(INDEX('Documents'!$C$4:$C$503,_calc!$E$203))=0,"",INDEX('Documents'!$C$4:$C$503,_calc!$E$203))&amp;" – "&amp;IF(LEN(INDEX('Documents'!$A$4:$A$503,_calc!$E$203))=0,"",INDEX('Documents'!$A$4:$A$503,_calc!$E$203)))</f>
        <v/>
      </c>
      <c r="B201" s="43">
        <f>IF(_calc!$E$203="","",IF(ISNUMBER(INDEX('Documents'!$F$4:$F$503,_calc!$E$203)),TEXT(INDEX('Documents'!$F$4:$F$503,_calc!$E$203),"yyyy-mm-dd"),""))</f>
        <v/>
      </c>
      <c r="C201" s="43">
        <f>IF(_calc!$E$203="","","Contractor document")</f>
        <v/>
      </c>
      <c r="D201" s="43">
        <f>IF(_calc!$E$203="","",IF(ISNUMBER(INDEX('Documents'!$E$4:$E$503,_calc!$E$203)),TEXT(INDEX('Documents'!$E$4:$E$503,_calc!$E$203),"yyyy-mm-dd"),""))</f>
        <v/>
      </c>
      <c r="E201" s="43">
        <f>IF(_calc!$E$203="","",IF(LEN(INDEX('Documents'!$N$4:$N$503,_calc!$E$203))=0,"",INDEX('Documents'!$N$4:$N$503,_calc!$E$203)))</f>
        <v/>
      </c>
      <c r="F201" s="43">
        <f>IF(_calc!$E$203="","",TRIM(IF(LEN(IF(LEN(INDEX('Documents'!$B$4:$B$503,_calc!$E$203))=0,"",INDEX('Documents'!$B$4:$B$503,_calc!$E$203)))=0,"","Trade: "&amp;IF(LEN(INDEX('Documents'!$B$4:$B$503,_calc!$E$203))=0,"",INDEX('Documents'!$B$4:$B$503,_calc!$E$203))&amp;". ")&amp;IF(LEN(IF(LEN(INDEX('Documents'!$D$4:$D$503,_calc!$E$203))=0,"",INDEX('Documents'!$D$4:$D$503,_calc!$E$203)))=0,"","Ref: "&amp;IF(LEN(INDEX('Documents'!$D$4:$D$503,_calc!$E$203))=0,"",INDEX('Documents'!$D$4:$D$503,_calc!$E$203))&amp;". ")&amp;IF(LEN(IF(LEN(INDEX('Documents'!$K$4:$K$503,_calc!$E$203))=0,"",INDEX('Documents'!$K$4:$K$503,_calc!$E$203)))=0,"","On file: "&amp;IF(LEN(INDEX('Documents'!$K$4:$K$503,_calc!$E$203))=0,"",INDEX('Documents'!$K$4:$K$503,_calc!$E$203))&amp;". ")&amp;IF(LEN(IF(LEN(INDEX('Documents'!$L$4:$L$503,_calc!$E$203))=0,"",INDEX('Documents'!$L$4:$L$503,_calc!$E$203)))=0,"","Contractor email: "&amp;IF(LEN(INDEX('Documents'!$L$4:$L$503,_calc!$E$203))=0,"",INDEX('Documents'!$L$4:$L$503,_calc!$E$203))&amp;". ")&amp;IF(LEN(IF(LEN(INDEX('Documents'!$P$4:$P$503,_calc!$E$203))=0,"",INDEX('Documents'!$P$4:$P$503,_calc!$E$203)))=0,"",IF(LEN(INDEX('Documents'!$P$4:$P$503,_calc!$E$203))=0,"",INDEX('Documents'!$P$4:$P$503,_calc!$E$203)))))</f>
        <v/>
      </c>
      <c r="G201" s="43">
        <f>IF(_calc!$E$203="","",IF(LEN(INDEX('Documents'!$O$4:$O$503,_calc!$E$203))=0,"",INDEX('Documents'!$O$4:$O$503,_calc!$E$203)))</f>
        <v/>
      </c>
      <c r="K201" s="43">
        <f>IF(_calc!$E$203="","",IF(LEN(INDEX('Documents'!$M$4:$M$503,_calc!$E$203))=0,"",INDEX('Documents'!$M$4:$M$503,_calc!$E$203)))</f>
        <v/>
      </c>
    </row>
    <row r="202">
      <c r="A202" s="43">
        <f>IF(_calc!$E$204="","",IF(LEN(INDEX('Documents'!$C$4:$C$503,_calc!$E$204))=0,"",INDEX('Documents'!$C$4:$C$503,_calc!$E$204))&amp;" – "&amp;IF(LEN(INDEX('Documents'!$A$4:$A$503,_calc!$E$204))=0,"",INDEX('Documents'!$A$4:$A$503,_calc!$E$204)))</f>
        <v/>
      </c>
      <c r="B202" s="43">
        <f>IF(_calc!$E$204="","",IF(ISNUMBER(INDEX('Documents'!$F$4:$F$503,_calc!$E$204)),TEXT(INDEX('Documents'!$F$4:$F$503,_calc!$E$204),"yyyy-mm-dd"),""))</f>
        <v/>
      </c>
      <c r="C202" s="43">
        <f>IF(_calc!$E$204="","","Contractor document")</f>
        <v/>
      </c>
      <c r="D202" s="43">
        <f>IF(_calc!$E$204="","",IF(ISNUMBER(INDEX('Documents'!$E$4:$E$503,_calc!$E$204)),TEXT(INDEX('Documents'!$E$4:$E$503,_calc!$E$204),"yyyy-mm-dd"),""))</f>
        <v/>
      </c>
      <c r="E202" s="43">
        <f>IF(_calc!$E$204="","",IF(LEN(INDEX('Documents'!$N$4:$N$503,_calc!$E$204))=0,"",INDEX('Documents'!$N$4:$N$503,_calc!$E$204)))</f>
        <v/>
      </c>
      <c r="F202" s="43">
        <f>IF(_calc!$E$204="","",TRIM(IF(LEN(IF(LEN(INDEX('Documents'!$B$4:$B$503,_calc!$E$204))=0,"",INDEX('Documents'!$B$4:$B$503,_calc!$E$204)))=0,"","Trade: "&amp;IF(LEN(INDEX('Documents'!$B$4:$B$503,_calc!$E$204))=0,"",INDEX('Documents'!$B$4:$B$503,_calc!$E$204))&amp;". ")&amp;IF(LEN(IF(LEN(INDEX('Documents'!$D$4:$D$503,_calc!$E$204))=0,"",INDEX('Documents'!$D$4:$D$503,_calc!$E$204)))=0,"","Ref: "&amp;IF(LEN(INDEX('Documents'!$D$4:$D$503,_calc!$E$204))=0,"",INDEX('Documents'!$D$4:$D$503,_calc!$E$204))&amp;". ")&amp;IF(LEN(IF(LEN(INDEX('Documents'!$K$4:$K$503,_calc!$E$204))=0,"",INDEX('Documents'!$K$4:$K$503,_calc!$E$204)))=0,"","On file: "&amp;IF(LEN(INDEX('Documents'!$K$4:$K$503,_calc!$E$204))=0,"",INDEX('Documents'!$K$4:$K$503,_calc!$E$204))&amp;". ")&amp;IF(LEN(IF(LEN(INDEX('Documents'!$L$4:$L$503,_calc!$E$204))=0,"",INDEX('Documents'!$L$4:$L$503,_calc!$E$204)))=0,"","Contractor email: "&amp;IF(LEN(INDEX('Documents'!$L$4:$L$503,_calc!$E$204))=0,"",INDEX('Documents'!$L$4:$L$503,_calc!$E$204))&amp;". ")&amp;IF(LEN(IF(LEN(INDEX('Documents'!$P$4:$P$503,_calc!$E$204))=0,"",INDEX('Documents'!$P$4:$P$503,_calc!$E$204)))=0,"",IF(LEN(INDEX('Documents'!$P$4:$P$503,_calc!$E$204))=0,"",INDEX('Documents'!$P$4:$P$503,_calc!$E$204)))))</f>
        <v/>
      </c>
      <c r="G202" s="43">
        <f>IF(_calc!$E$204="","",IF(LEN(INDEX('Documents'!$O$4:$O$503,_calc!$E$204))=0,"",INDEX('Documents'!$O$4:$O$503,_calc!$E$204)))</f>
        <v/>
      </c>
      <c r="K202" s="43">
        <f>IF(_calc!$E$204="","",IF(LEN(INDEX('Documents'!$M$4:$M$503,_calc!$E$204))=0,"",INDEX('Documents'!$M$4:$M$503,_calc!$E$204)))</f>
        <v/>
      </c>
    </row>
    <row r="203">
      <c r="A203" s="43">
        <f>IF(_calc!$E$205="","",IF(LEN(INDEX('Documents'!$C$4:$C$503,_calc!$E$205))=0,"",INDEX('Documents'!$C$4:$C$503,_calc!$E$205))&amp;" – "&amp;IF(LEN(INDEX('Documents'!$A$4:$A$503,_calc!$E$205))=0,"",INDEX('Documents'!$A$4:$A$503,_calc!$E$205)))</f>
        <v/>
      </c>
      <c r="B203" s="43">
        <f>IF(_calc!$E$205="","",IF(ISNUMBER(INDEX('Documents'!$F$4:$F$503,_calc!$E$205)),TEXT(INDEX('Documents'!$F$4:$F$503,_calc!$E$205),"yyyy-mm-dd"),""))</f>
        <v/>
      </c>
      <c r="C203" s="43">
        <f>IF(_calc!$E$205="","","Contractor document")</f>
        <v/>
      </c>
      <c r="D203" s="43">
        <f>IF(_calc!$E$205="","",IF(ISNUMBER(INDEX('Documents'!$E$4:$E$503,_calc!$E$205)),TEXT(INDEX('Documents'!$E$4:$E$503,_calc!$E$205),"yyyy-mm-dd"),""))</f>
        <v/>
      </c>
      <c r="E203" s="43">
        <f>IF(_calc!$E$205="","",IF(LEN(INDEX('Documents'!$N$4:$N$503,_calc!$E$205))=0,"",INDEX('Documents'!$N$4:$N$503,_calc!$E$205)))</f>
        <v/>
      </c>
      <c r="F203" s="43">
        <f>IF(_calc!$E$205="","",TRIM(IF(LEN(IF(LEN(INDEX('Documents'!$B$4:$B$503,_calc!$E$205))=0,"",INDEX('Documents'!$B$4:$B$503,_calc!$E$205)))=0,"","Trade: "&amp;IF(LEN(INDEX('Documents'!$B$4:$B$503,_calc!$E$205))=0,"",INDEX('Documents'!$B$4:$B$503,_calc!$E$205))&amp;". ")&amp;IF(LEN(IF(LEN(INDEX('Documents'!$D$4:$D$503,_calc!$E$205))=0,"",INDEX('Documents'!$D$4:$D$503,_calc!$E$205)))=0,"","Ref: "&amp;IF(LEN(INDEX('Documents'!$D$4:$D$503,_calc!$E$205))=0,"",INDEX('Documents'!$D$4:$D$503,_calc!$E$205))&amp;". ")&amp;IF(LEN(IF(LEN(INDEX('Documents'!$K$4:$K$503,_calc!$E$205))=0,"",INDEX('Documents'!$K$4:$K$503,_calc!$E$205)))=0,"","On file: "&amp;IF(LEN(INDEX('Documents'!$K$4:$K$503,_calc!$E$205))=0,"",INDEX('Documents'!$K$4:$K$503,_calc!$E$205))&amp;". ")&amp;IF(LEN(IF(LEN(INDEX('Documents'!$L$4:$L$503,_calc!$E$205))=0,"",INDEX('Documents'!$L$4:$L$503,_calc!$E$205)))=0,"","Contractor email: "&amp;IF(LEN(INDEX('Documents'!$L$4:$L$503,_calc!$E$205))=0,"",INDEX('Documents'!$L$4:$L$503,_calc!$E$205))&amp;". ")&amp;IF(LEN(IF(LEN(INDEX('Documents'!$P$4:$P$503,_calc!$E$205))=0,"",INDEX('Documents'!$P$4:$P$503,_calc!$E$205)))=0,"",IF(LEN(INDEX('Documents'!$P$4:$P$503,_calc!$E$205))=0,"",INDEX('Documents'!$P$4:$P$503,_calc!$E$205)))))</f>
        <v/>
      </c>
      <c r="G203" s="43">
        <f>IF(_calc!$E$205="","",IF(LEN(INDEX('Documents'!$O$4:$O$503,_calc!$E$205))=0,"",INDEX('Documents'!$O$4:$O$503,_calc!$E$205)))</f>
        <v/>
      </c>
      <c r="K203" s="43">
        <f>IF(_calc!$E$205="","",IF(LEN(INDEX('Documents'!$M$4:$M$503,_calc!$E$205))=0,"",INDEX('Documents'!$M$4:$M$503,_calc!$E$205)))</f>
        <v/>
      </c>
    </row>
    <row r="204">
      <c r="A204" s="43">
        <f>IF(_calc!$E$206="","",IF(LEN(INDEX('Documents'!$C$4:$C$503,_calc!$E$206))=0,"",INDEX('Documents'!$C$4:$C$503,_calc!$E$206))&amp;" – "&amp;IF(LEN(INDEX('Documents'!$A$4:$A$503,_calc!$E$206))=0,"",INDEX('Documents'!$A$4:$A$503,_calc!$E$206)))</f>
        <v/>
      </c>
      <c r="B204" s="43">
        <f>IF(_calc!$E$206="","",IF(ISNUMBER(INDEX('Documents'!$F$4:$F$503,_calc!$E$206)),TEXT(INDEX('Documents'!$F$4:$F$503,_calc!$E$206),"yyyy-mm-dd"),""))</f>
        <v/>
      </c>
      <c r="C204" s="43">
        <f>IF(_calc!$E$206="","","Contractor document")</f>
        <v/>
      </c>
      <c r="D204" s="43">
        <f>IF(_calc!$E$206="","",IF(ISNUMBER(INDEX('Documents'!$E$4:$E$503,_calc!$E$206)),TEXT(INDEX('Documents'!$E$4:$E$503,_calc!$E$206),"yyyy-mm-dd"),""))</f>
        <v/>
      </c>
      <c r="E204" s="43">
        <f>IF(_calc!$E$206="","",IF(LEN(INDEX('Documents'!$N$4:$N$503,_calc!$E$206))=0,"",INDEX('Documents'!$N$4:$N$503,_calc!$E$206)))</f>
        <v/>
      </c>
      <c r="F204" s="43">
        <f>IF(_calc!$E$206="","",TRIM(IF(LEN(IF(LEN(INDEX('Documents'!$B$4:$B$503,_calc!$E$206))=0,"",INDEX('Documents'!$B$4:$B$503,_calc!$E$206)))=0,"","Trade: "&amp;IF(LEN(INDEX('Documents'!$B$4:$B$503,_calc!$E$206))=0,"",INDEX('Documents'!$B$4:$B$503,_calc!$E$206))&amp;". ")&amp;IF(LEN(IF(LEN(INDEX('Documents'!$D$4:$D$503,_calc!$E$206))=0,"",INDEX('Documents'!$D$4:$D$503,_calc!$E$206)))=0,"","Ref: "&amp;IF(LEN(INDEX('Documents'!$D$4:$D$503,_calc!$E$206))=0,"",INDEX('Documents'!$D$4:$D$503,_calc!$E$206))&amp;". ")&amp;IF(LEN(IF(LEN(INDEX('Documents'!$K$4:$K$503,_calc!$E$206))=0,"",INDEX('Documents'!$K$4:$K$503,_calc!$E$206)))=0,"","On file: "&amp;IF(LEN(INDEX('Documents'!$K$4:$K$503,_calc!$E$206))=0,"",INDEX('Documents'!$K$4:$K$503,_calc!$E$206))&amp;". ")&amp;IF(LEN(IF(LEN(INDEX('Documents'!$L$4:$L$503,_calc!$E$206))=0,"",INDEX('Documents'!$L$4:$L$503,_calc!$E$206)))=0,"","Contractor email: "&amp;IF(LEN(INDEX('Documents'!$L$4:$L$503,_calc!$E$206))=0,"",INDEX('Documents'!$L$4:$L$503,_calc!$E$206))&amp;". ")&amp;IF(LEN(IF(LEN(INDEX('Documents'!$P$4:$P$503,_calc!$E$206))=0,"",INDEX('Documents'!$P$4:$P$503,_calc!$E$206)))=0,"",IF(LEN(INDEX('Documents'!$P$4:$P$503,_calc!$E$206))=0,"",INDEX('Documents'!$P$4:$P$503,_calc!$E$206)))))</f>
        <v/>
      </c>
      <c r="G204" s="43">
        <f>IF(_calc!$E$206="","",IF(LEN(INDEX('Documents'!$O$4:$O$503,_calc!$E$206))=0,"",INDEX('Documents'!$O$4:$O$503,_calc!$E$206)))</f>
        <v/>
      </c>
      <c r="K204" s="43">
        <f>IF(_calc!$E$206="","",IF(LEN(INDEX('Documents'!$M$4:$M$503,_calc!$E$206))=0,"",INDEX('Documents'!$M$4:$M$503,_calc!$E$206)))</f>
        <v/>
      </c>
    </row>
    <row r="205">
      <c r="A205" s="43">
        <f>IF(_calc!$E$207="","",IF(LEN(INDEX('Documents'!$C$4:$C$503,_calc!$E$207))=0,"",INDEX('Documents'!$C$4:$C$503,_calc!$E$207))&amp;" – "&amp;IF(LEN(INDEX('Documents'!$A$4:$A$503,_calc!$E$207))=0,"",INDEX('Documents'!$A$4:$A$503,_calc!$E$207)))</f>
        <v/>
      </c>
      <c r="B205" s="43">
        <f>IF(_calc!$E$207="","",IF(ISNUMBER(INDEX('Documents'!$F$4:$F$503,_calc!$E$207)),TEXT(INDEX('Documents'!$F$4:$F$503,_calc!$E$207),"yyyy-mm-dd"),""))</f>
        <v/>
      </c>
      <c r="C205" s="43">
        <f>IF(_calc!$E$207="","","Contractor document")</f>
        <v/>
      </c>
      <c r="D205" s="43">
        <f>IF(_calc!$E$207="","",IF(ISNUMBER(INDEX('Documents'!$E$4:$E$503,_calc!$E$207)),TEXT(INDEX('Documents'!$E$4:$E$503,_calc!$E$207),"yyyy-mm-dd"),""))</f>
        <v/>
      </c>
      <c r="E205" s="43">
        <f>IF(_calc!$E$207="","",IF(LEN(INDEX('Documents'!$N$4:$N$503,_calc!$E$207))=0,"",INDEX('Documents'!$N$4:$N$503,_calc!$E$207)))</f>
        <v/>
      </c>
      <c r="F205" s="43">
        <f>IF(_calc!$E$207="","",TRIM(IF(LEN(IF(LEN(INDEX('Documents'!$B$4:$B$503,_calc!$E$207))=0,"",INDEX('Documents'!$B$4:$B$503,_calc!$E$207)))=0,"","Trade: "&amp;IF(LEN(INDEX('Documents'!$B$4:$B$503,_calc!$E$207))=0,"",INDEX('Documents'!$B$4:$B$503,_calc!$E$207))&amp;". ")&amp;IF(LEN(IF(LEN(INDEX('Documents'!$D$4:$D$503,_calc!$E$207))=0,"",INDEX('Documents'!$D$4:$D$503,_calc!$E$207)))=0,"","Ref: "&amp;IF(LEN(INDEX('Documents'!$D$4:$D$503,_calc!$E$207))=0,"",INDEX('Documents'!$D$4:$D$503,_calc!$E$207))&amp;". ")&amp;IF(LEN(IF(LEN(INDEX('Documents'!$K$4:$K$503,_calc!$E$207))=0,"",INDEX('Documents'!$K$4:$K$503,_calc!$E$207)))=0,"","On file: "&amp;IF(LEN(INDEX('Documents'!$K$4:$K$503,_calc!$E$207))=0,"",INDEX('Documents'!$K$4:$K$503,_calc!$E$207))&amp;". ")&amp;IF(LEN(IF(LEN(INDEX('Documents'!$L$4:$L$503,_calc!$E$207))=0,"",INDEX('Documents'!$L$4:$L$503,_calc!$E$207)))=0,"","Contractor email: "&amp;IF(LEN(INDEX('Documents'!$L$4:$L$503,_calc!$E$207))=0,"",INDEX('Documents'!$L$4:$L$503,_calc!$E$207))&amp;". ")&amp;IF(LEN(IF(LEN(INDEX('Documents'!$P$4:$P$503,_calc!$E$207))=0,"",INDEX('Documents'!$P$4:$P$503,_calc!$E$207)))=0,"",IF(LEN(INDEX('Documents'!$P$4:$P$503,_calc!$E$207))=0,"",INDEX('Documents'!$P$4:$P$503,_calc!$E$207)))))</f>
        <v/>
      </c>
      <c r="G205" s="43">
        <f>IF(_calc!$E$207="","",IF(LEN(INDEX('Documents'!$O$4:$O$503,_calc!$E$207))=0,"",INDEX('Documents'!$O$4:$O$503,_calc!$E$207)))</f>
        <v/>
      </c>
      <c r="K205" s="43">
        <f>IF(_calc!$E$207="","",IF(LEN(INDEX('Documents'!$M$4:$M$503,_calc!$E$207))=0,"",INDEX('Documents'!$M$4:$M$503,_calc!$E$207)))</f>
        <v/>
      </c>
    </row>
    <row r="206">
      <c r="A206" s="43">
        <f>IF(_calc!$E$208="","",IF(LEN(INDEX('Documents'!$C$4:$C$503,_calc!$E$208))=0,"",INDEX('Documents'!$C$4:$C$503,_calc!$E$208))&amp;" – "&amp;IF(LEN(INDEX('Documents'!$A$4:$A$503,_calc!$E$208))=0,"",INDEX('Documents'!$A$4:$A$503,_calc!$E$208)))</f>
        <v/>
      </c>
      <c r="B206" s="43">
        <f>IF(_calc!$E$208="","",IF(ISNUMBER(INDEX('Documents'!$F$4:$F$503,_calc!$E$208)),TEXT(INDEX('Documents'!$F$4:$F$503,_calc!$E$208),"yyyy-mm-dd"),""))</f>
        <v/>
      </c>
      <c r="C206" s="43">
        <f>IF(_calc!$E$208="","","Contractor document")</f>
        <v/>
      </c>
      <c r="D206" s="43">
        <f>IF(_calc!$E$208="","",IF(ISNUMBER(INDEX('Documents'!$E$4:$E$503,_calc!$E$208)),TEXT(INDEX('Documents'!$E$4:$E$503,_calc!$E$208),"yyyy-mm-dd"),""))</f>
        <v/>
      </c>
      <c r="E206" s="43">
        <f>IF(_calc!$E$208="","",IF(LEN(INDEX('Documents'!$N$4:$N$503,_calc!$E$208))=0,"",INDEX('Documents'!$N$4:$N$503,_calc!$E$208)))</f>
        <v/>
      </c>
      <c r="F206" s="43">
        <f>IF(_calc!$E$208="","",TRIM(IF(LEN(IF(LEN(INDEX('Documents'!$B$4:$B$503,_calc!$E$208))=0,"",INDEX('Documents'!$B$4:$B$503,_calc!$E$208)))=0,"","Trade: "&amp;IF(LEN(INDEX('Documents'!$B$4:$B$503,_calc!$E$208))=0,"",INDEX('Documents'!$B$4:$B$503,_calc!$E$208))&amp;". ")&amp;IF(LEN(IF(LEN(INDEX('Documents'!$D$4:$D$503,_calc!$E$208))=0,"",INDEX('Documents'!$D$4:$D$503,_calc!$E$208)))=0,"","Ref: "&amp;IF(LEN(INDEX('Documents'!$D$4:$D$503,_calc!$E$208))=0,"",INDEX('Documents'!$D$4:$D$503,_calc!$E$208))&amp;". ")&amp;IF(LEN(IF(LEN(INDEX('Documents'!$K$4:$K$503,_calc!$E$208))=0,"",INDEX('Documents'!$K$4:$K$503,_calc!$E$208)))=0,"","On file: "&amp;IF(LEN(INDEX('Documents'!$K$4:$K$503,_calc!$E$208))=0,"",INDEX('Documents'!$K$4:$K$503,_calc!$E$208))&amp;". ")&amp;IF(LEN(IF(LEN(INDEX('Documents'!$L$4:$L$503,_calc!$E$208))=0,"",INDEX('Documents'!$L$4:$L$503,_calc!$E$208)))=0,"","Contractor email: "&amp;IF(LEN(INDEX('Documents'!$L$4:$L$503,_calc!$E$208))=0,"",INDEX('Documents'!$L$4:$L$503,_calc!$E$208))&amp;". ")&amp;IF(LEN(IF(LEN(INDEX('Documents'!$P$4:$P$503,_calc!$E$208))=0,"",INDEX('Documents'!$P$4:$P$503,_calc!$E$208)))=0,"",IF(LEN(INDEX('Documents'!$P$4:$P$503,_calc!$E$208))=0,"",INDEX('Documents'!$P$4:$P$503,_calc!$E$208)))))</f>
        <v/>
      </c>
      <c r="G206" s="43">
        <f>IF(_calc!$E$208="","",IF(LEN(INDEX('Documents'!$O$4:$O$503,_calc!$E$208))=0,"",INDEX('Documents'!$O$4:$O$503,_calc!$E$208)))</f>
        <v/>
      </c>
      <c r="K206" s="43">
        <f>IF(_calc!$E$208="","",IF(LEN(INDEX('Documents'!$M$4:$M$503,_calc!$E$208))=0,"",INDEX('Documents'!$M$4:$M$503,_calc!$E$208)))</f>
        <v/>
      </c>
    </row>
    <row r="207">
      <c r="A207" s="43">
        <f>IF(_calc!$E$209="","",IF(LEN(INDEX('Documents'!$C$4:$C$503,_calc!$E$209))=0,"",INDEX('Documents'!$C$4:$C$503,_calc!$E$209))&amp;" – "&amp;IF(LEN(INDEX('Documents'!$A$4:$A$503,_calc!$E$209))=0,"",INDEX('Documents'!$A$4:$A$503,_calc!$E$209)))</f>
        <v/>
      </c>
      <c r="B207" s="43">
        <f>IF(_calc!$E$209="","",IF(ISNUMBER(INDEX('Documents'!$F$4:$F$503,_calc!$E$209)),TEXT(INDEX('Documents'!$F$4:$F$503,_calc!$E$209),"yyyy-mm-dd"),""))</f>
        <v/>
      </c>
      <c r="C207" s="43">
        <f>IF(_calc!$E$209="","","Contractor document")</f>
        <v/>
      </c>
      <c r="D207" s="43">
        <f>IF(_calc!$E$209="","",IF(ISNUMBER(INDEX('Documents'!$E$4:$E$503,_calc!$E$209)),TEXT(INDEX('Documents'!$E$4:$E$503,_calc!$E$209),"yyyy-mm-dd"),""))</f>
        <v/>
      </c>
      <c r="E207" s="43">
        <f>IF(_calc!$E$209="","",IF(LEN(INDEX('Documents'!$N$4:$N$503,_calc!$E$209))=0,"",INDEX('Documents'!$N$4:$N$503,_calc!$E$209)))</f>
        <v/>
      </c>
      <c r="F207" s="43">
        <f>IF(_calc!$E$209="","",TRIM(IF(LEN(IF(LEN(INDEX('Documents'!$B$4:$B$503,_calc!$E$209))=0,"",INDEX('Documents'!$B$4:$B$503,_calc!$E$209)))=0,"","Trade: "&amp;IF(LEN(INDEX('Documents'!$B$4:$B$503,_calc!$E$209))=0,"",INDEX('Documents'!$B$4:$B$503,_calc!$E$209))&amp;". ")&amp;IF(LEN(IF(LEN(INDEX('Documents'!$D$4:$D$503,_calc!$E$209))=0,"",INDEX('Documents'!$D$4:$D$503,_calc!$E$209)))=0,"","Ref: "&amp;IF(LEN(INDEX('Documents'!$D$4:$D$503,_calc!$E$209))=0,"",INDEX('Documents'!$D$4:$D$503,_calc!$E$209))&amp;". ")&amp;IF(LEN(IF(LEN(INDEX('Documents'!$K$4:$K$503,_calc!$E$209))=0,"",INDEX('Documents'!$K$4:$K$503,_calc!$E$209)))=0,"","On file: "&amp;IF(LEN(INDEX('Documents'!$K$4:$K$503,_calc!$E$209))=0,"",INDEX('Documents'!$K$4:$K$503,_calc!$E$209))&amp;". ")&amp;IF(LEN(IF(LEN(INDEX('Documents'!$L$4:$L$503,_calc!$E$209))=0,"",INDEX('Documents'!$L$4:$L$503,_calc!$E$209)))=0,"","Contractor email: "&amp;IF(LEN(INDEX('Documents'!$L$4:$L$503,_calc!$E$209))=0,"",INDEX('Documents'!$L$4:$L$503,_calc!$E$209))&amp;". ")&amp;IF(LEN(IF(LEN(INDEX('Documents'!$P$4:$P$503,_calc!$E$209))=0,"",INDEX('Documents'!$P$4:$P$503,_calc!$E$209)))=0,"",IF(LEN(INDEX('Documents'!$P$4:$P$503,_calc!$E$209))=0,"",INDEX('Documents'!$P$4:$P$503,_calc!$E$209)))))</f>
        <v/>
      </c>
      <c r="G207" s="43">
        <f>IF(_calc!$E$209="","",IF(LEN(INDEX('Documents'!$O$4:$O$503,_calc!$E$209))=0,"",INDEX('Documents'!$O$4:$O$503,_calc!$E$209)))</f>
        <v/>
      </c>
      <c r="K207" s="43">
        <f>IF(_calc!$E$209="","",IF(LEN(INDEX('Documents'!$M$4:$M$503,_calc!$E$209))=0,"",INDEX('Documents'!$M$4:$M$503,_calc!$E$209)))</f>
        <v/>
      </c>
    </row>
    <row r="208">
      <c r="A208" s="43">
        <f>IF(_calc!$E$210="","",IF(LEN(INDEX('Documents'!$C$4:$C$503,_calc!$E$210))=0,"",INDEX('Documents'!$C$4:$C$503,_calc!$E$210))&amp;" – "&amp;IF(LEN(INDEX('Documents'!$A$4:$A$503,_calc!$E$210))=0,"",INDEX('Documents'!$A$4:$A$503,_calc!$E$210)))</f>
        <v/>
      </c>
      <c r="B208" s="43">
        <f>IF(_calc!$E$210="","",IF(ISNUMBER(INDEX('Documents'!$F$4:$F$503,_calc!$E$210)),TEXT(INDEX('Documents'!$F$4:$F$503,_calc!$E$210),"yyyy-mm-dd"),""))</f>
        <v/>
      </c>
      <c r="C208" s="43">
        <f>IF(_calc!$E$210="","","Contractor document")</f>
        <v/>
      </c>
      <c r="D208" s="43">
        <f>IF(_calc!$E$210="","",IF(ISNUMBER(INDEX('Documents'!$E$4:$E$503,_calc!$E$210)),TEXT(INDEX('Documents'!$E$4:$E$503,_calc!$E$210),"yyyy-mm-dd"),""))</f>
        <v/>
      </c>
      <c r="E208" s="43">
        <f>IF(_calc!$E$210="","",IF(LEN(INDEX('Documents'!$N$4:$N$503,_calc!$E$210))=0,"",INDEX('Documents'!$N$4:$N$503,_calc!$E$210)))</f>
        <v/>
      </c>
      <c r="F208" s="43">
        <f>IF(_calc!$E$210="","",TRIM(IF(LEN(IF(LEN(INDEX('Documents'!$B$4:$B$503,_calc!$E$210))=0,"",INDEX('Documents'!$B$4:$B$503,_calc!$E$210)))=0,"","Trade: "&amp;IF(LEN(INDEX('Documents'!$B$4:$B$503,_calc!$E$210))=0,"",INDEX('Documents'!$B$4:$B$503,_calc!$E$210))&amp;". ")&amp;IF(LEN(IF(LEN(INDEX('Documents'!$D$4:$D$503,_calc!$E$210))=0,"",INDEX('Documents'!$D$4:$D$503,_calc!$E$210)))=0,"","Ref: "&amp;IF(LEN(INDEX('Documents'!$D$4:$D$503,_calc!$E$210))=0,"",INDEX('Documents'!$D$4:$D$503,_calc!$E$210))&amp;". ")&amp;IF(LEN(IF(LEN(INDEX('Documents'!$K$4:$K$503,_calc!$E$210))=0,"",INDEX('Documents'!$K$4:$K$503,_calc!$E$210)))=0,"","On file: "&amp;IF(LEN(INDEX('Documents'!$K$4:$K$503,_calc!$E$210))=0,"",INDEX('Documents'!$K$4:$K$503,_calc!$E$210))&amp;". ")&amp;IF(LEN(IF(LEN(INDEX('Documents'!$L$4:$L$503,_calc!$E$210))=0,"",INDEX('Documents'!$L$4:$L$503,_calc!$E$210)))=0,"","Contractor email: "&amp;IF(LEN(INDEX('Documents'!$L$4:$L$503,_calc!$E$210))=0,"",INDEX('Documents'!$L$4:$L$503,_calc!$E$210))&amp;". ")&amp;IF(LEN(IF(LEN(INDEX('Documents'!$P$4:$P$503,_calc!$E$210))=0,"",INDEX('Documents'!$P$4:$P$503,_calc!$E$210)))=0,"",IF(LEN(INDEX('Documents'!$P$4:$P$503,_calc!$E$210))=0,"",INDEX('Documents'!$P$4:$P$503,_calc!$E$210)))))</f>
        <v/>
      </c>
      <c r="G208" s="43">
        <f>IF(_calc!$E$210="","",IF(LEN(INDEX('Documents'!$O$4:$O$503,_calc!$E$210))=0,"",INDEX('Documents'!$O$4:$O$503,_calc!$E$210)))</f>
        <v/>
      </c>
      <c r="K208" s="43">
        <f>IF(_calc!$E$210="","",IF(LEN(INDEX('Documents'!$M$4:$M$503,_calc!$E$210))=0,"",INDEX('Documents'!$M$4:$M$503,_calc!$E$210)))</f>
        <v/>
      </c>
    </row>
    <row r="209">
      <c r="A209" s="43">
        <f>IF(_calc!$E$211="","",IF(LEN(INDEX('Documents'!$C$4:$C$503,_calc!$E$211))=0,"",INDEX('Documents'!$C$4:$C$503,_calc!$E$211))&amp;" – "&amp;IF(LEN(INDEX('Documents'!$A$4:$A$503,_calc!$E$211))=0,"",INDEX('Documents'!$A$4:$A$503,_calc!$E$211)))</f>
        <v/>
      </c>
      <c r="B209" s="43">
        <f>IF(_calc!$E$211="","",IF(ISNUMBER(INDEX('Documents'!$F$4:$F$503,_calc!$E$211)),TEXT(INDEX('Documents'!$F$4:$F$503,_calc!$E$211),"yyyy-mm-dd"),""))</f>
        <v/>
      </c>
      <c r="C209" s="43">
        <f>IF(_calc!$E$211="","","Contractor document")</f>
        <v/>
      </c>
      <c r="D209" s="43">
        <f>IF(_calc!$E$211="","",IF(ISNUMBER(INDEX('Documents'!$E$4:$E$503,_calc!$E$211)),TEXT(INDEX('Documents'!$E$4:$E$503,_calc!$E$211),"yyyy-mm-dd"),""))</f>
        <v/>
      </c>
      <c r="E209" s="43">
        <f>IF(_calc!$E$211="","",IF(LEN(INDEX('Documents'!$N$4:$N$503,_calc!$E$211))=0,"",INDEX('Documents'!$N$4:$N$503,_calc!$E$211)))</f>
        <v/>
      </c>
      <c r="F209" s="43">
        <f>IF(_calc!$E$211="","",TRIM(IF(LEN(IF(LEN(INDEX('Documents'!$B$4:$B$503,_calc!$E$211))=0,"",INDEX('Documents'!$B$4:$B$503,_calc!$E$211)))=0,"","Trade: "&amp;IF(LEN(INDEX('Documents'!$B$4:$B$503,_calc!$E$211))=0,"",INDEX('Documents'!$B$4:$B$503,_calc!$E$211))&amp;". ")&amp;IF(LEN(IF(LEN(INDEX('Documents'!$D$4:$D$503,_calc!$E$211))=0,"",INDEX('Documents'!$D$4:$D$503,_calc!$E$211)))=0,"","Ref: "&amp;IF(LEN(INDEX('Documents'!$D$4:$D$503,_calc!$E$211))=0,"",INDEX('Documents'!$D$4:$D$503,_calc!$E$211))&amp;". ")&amp;IF(LEN(IF(LEN(INDEX('Documents'!$K$4:$K$503,_calc!$E$211))=0,"",INDEX('Documents'!$K$4:$K$503,_calc!$E$211)))=0,"","On file: "&amp;IF(LEN(INDEX('Documents'!$K$4:$K$503,_calc!$E$211))=0,"",INDEX('Documents'!$K$4:$K$503,_calc!$E$211))&amp;". ")&amp;IF(LEN(IF(LEN(INDEX('Documents'!$L$4:$L$503,_calc!$E$211))=0,"",INDEX('Documents'!$L$4:$L$503,_calc!$E$211)))=0,"","Contractor email: "&amp;IF(LEN(INDEX('Documents'!$L$4:$L$503,_calc!$E$211))=0,"",INDEX('Documents'!$L$4:$L$503,_calc!$E$211))&amp;". ")&amp;IF(LEN(IF(LEN(INDEX('Documents'!$P$4:$P$503,_calc!$E$211))=0,"",INDEX('Documents'!$P$4:$P$503,_calc!$E$211)))=0,"",IF(LEN(INDEX('Documents'!$P$4:$P$503,_calc!$E$211))=0,"",INDEX('Documents'!$P$4:$P$503,_calc!$E$211)))))</f>
        <v/>
      </c>
      <c r="G209" s="43">
        <f>IF(_calc!$E$211="","",IF(LEN(INDEX('Documents'!$O$4:$O$503,_calc!$E$211))=0,"",INDEX('Documents'!$O$4:$O$503,_calc!$E$211)))</f>
        <v/>
      </c>
      <c r="K209" s="43">
        <f>IF(_calc!$E$211="","",IF(LEN(INDEX('Documents'!$M$4:$M$503,_calc!$E$211))=0,"",INDEX('Documents'!$M$4:$M$503,_calc!$E$211)))</f>
        <v/>
      </c>
    </row>
    <row r="210">
      <c r="A210" s="43">
        <f>IF(_calc!$E$212="","",IF(LEN(INDEX('Documents'!$C$4:$C$503,_calc!$E$212))=0,"",INDEX('Documents'!$C$4:$C$503,_calc!$E$212))&amp;" – "&amp;IF(LEN(INDEX('Documents'!$A$4:$A$503,_calc!$E$212))=0,"",INDEX('Documents'!$A$4:$A$503,_calc!$E$212)))</f>
        <v/>
      </c>
      <c r="B210" s="43">
        <f>IF(_calc!$E$212="","",IF(ISNUMBER(INDEX('Documents'!$F$4:$F$503,_calc!$E$212)),TEXT(INDEX('Documents'!$F$4:$F$503,_calc!$E$212),"yyyy-mm-dd"),""))</f>
        <v/>
      </c>
      <c r="C210" s="43">
        <f>IF(_calc!$E$212="","","Contractor document")</f>
        <v/>
      </c>
      <c r="D210" s="43">
        <f>IF(_calc!$E$212="","",IF(ISNUMBER(INDEX('Documents'!$E$4:$E$503,_calc!$E$212)),TEXT(INDEX('Documents'!$E$4:$E$503,_calc!$E$212),"yyyy-mm-dd"),""))</f>
        <v/>
      </c>
      <c r="E210" s="43">
        <f>IF(_calc!$E$212="","",IF(LEN(INDEX('Documents'!$N$4:$N$503,_calc!$E$212))=0,"",INDEX('Documents'!$N$4:$N$503,_calc!$E$212)))</f>
        <v/>
      </c>
      <c r="F210" s="43">
        <f>IF(_calc!$E$212="","",TRIM(IF(LEN(IF(LEN(INDEX('Documents'!$B$4:$B$503,_calc!$E$212))=0,"",INDEX('Documents'!$B$4:$B$503,_calc!$E$212)))=0,"","Trade: "&amp;IF(LEN(INDEX('Documents'!$B$4:$B$503,_calc!$E$212))=0,"",INDEX('Documents'!$B$4:$B$503,_calc!$E$212))&amp;". ")&amp;IF(LEN(IF(LEN(INDEX('Documents'!$D$4:$D$503,_calc!$E$212))=0,"",INDEX('Documents'!$D$4:$D$503,_calc!$E$212)))=0,"","Ref: "&amp;IF(LEN(INDEX('Documents'!$D$4:$D$503,_calc!$E$212))=0,"",INDEX('Documents'!$D$4:$D$503,_calc!$E$212))&amp;". ")&amp;IF(LEN(IF(LEN(INDEX('Documents'!$K$4:$K$503,_calc!$E$212))=0,"",INDEX('Documents'!$K$4:$K$503,_calc!$E$212)))=0,"","On file: "&amp;IF(LEN(INDEX('Documents'!$K$4:$K$503,_calc!$E$212))=0,"",INDEX('Documents'!$K$4:$K$503,_calc!$E$212))&amp;". ")&amp;IF(LEN(IF(LEN(INDEX('Documents'!$L$4:$L$503,_calc!$E$212))=0,"",INDEX('Documents'!$L$4:$L$503,_calc!$E$212)))=0,"","Contractor email: "&amp;IF(LEN(INDEX('Documents'!$L$4:$L$503,_calc!$E$212))=0,"",INDEX('Documents'!$L$4:$L$503,_calc!$E$212))&amp;". ")&amp;IF(LEN(IF(LEN(INDEX('Documents'!$P$4:$P$503,_calc!$E$212))=0,"",INDEX('Documents'!$P$4:$P$503,_calc!$E$212)))=0,"",IF(LEN(INDEX('Documents'!$P$4:$P$503,_calc!$E$212))=0,"",INDEX('Documents'!$P$4:$P$503,_calc!$E$212)))))</f>
        <v/>
      </c>
      <c r="G210" s="43">
        <f>IF(_calc!$E$212="","",IF(LEN(INDEX('Documents'!$O$4:$O$503,_calc!$E$212))=0,"",INDEX('Documents'!$O$4:$O$503,_calc!$E$212)))</f>
        <v/>
      </c>
      <c r="K210" s="43">
        <f>IF(_calc!$E$212="","",IF(LEN(INDEX('Documents'!$M$4:$M$503,_calc!$E$212))=0,"",INDEX('Documents'!$M$4:$M$503,_calc!$E$212)))</f>
        <v/>
      </c>
    </row>
    <row r="211">
      <c r="A211" s="43">
        <f>IF(_calc!$E$213="","",IF(LEN(INDEX('Documents'!$C$4:$C$503,_calc!$E$213))=0,"",INDEX('Documents'!$C$4:$C$503,_calc!$E$213))&amp;" – "&amp;IF(LEN(INDEX('Documents'!$A$4:$A$503,_calc!$E$213))=0,"",INDEX('Documents'!$A$4:$A$503,_calc!$E$213)))</f>
        <v/>
      </c>
      <c r="B211" s="43">
        <f>IF(_calc!$E$213="","",IF(ISNUMBER(INDEX('Documents'!$F$4:$F$503,_calc!$E$213)),TEXT(INDEX('Documents'!$F$4:$F$503,_calc!$E$213),"yyyy-mm-dd"),""))</f>
        <v/>
      </c>
      <c r="C211" s="43">
        <f>IF(_calc!$E$213="","","Contractor document")</f>
        <v/>
      </c>
      <c r="D211" s="43">
        <f>IF(_calc!$E$213="","",IF(ISNUMBER(INDEX('Documents'!$E$4:$E$503,_calc!$E$213)),TEXT(INDEX('Documents'!$E$4:$E$503,_calc!$E$213),"yyyy-mm-dd"),""))</f>
        <v/>
      </c>
      <c r="E211" s="43">
        <f>IF(_calc!$E$213="","",IF(LEN(INDEX('Documents'!$N$4:$N$503,_calc!$E$213))=0,"",INDEX('Documents'!$N$4:$N$503,_calc!$E$213)))</f>
        <v/>
      </c>
      <c r="F211" s="43">
        <f>IF(_calc!$E$213="","",TRIM(IF(LEN(IF(LEN(INDEX('Documents'!$B$4:$B$503,_calc!$E$213))=0,"",INDEX('Documents'!$B$4:$B$503,_calc!$E$213)))=0,"","Trade: "&amp;IF(LEN(INDEX('Documents'!$B$4:$B$503,_calc!$E$213))=0,"",INDEX('Documents'!$B$4:$B$503,_calc!$E$213))&amp;". ")&amp;IF(LEN(IF(LEN(INDEX('Documents'!$D$4:$D$503,_calc!$E$213))=0,"",INDEX('Documents'!$D$4:$D$503,_calc!$E$213)))=0,"","Ref: "&amp;IF(LEN(INDEX('Documents'!$D$4:$D$503,_calc!$E$213))=0,"",INDEX('Documents'!$D$4:$D$503,_calc!$E$213))&amp;". ")&amp;IF(LEN(IF(LEN(INDEX('Documents'!$K$4:$K$503,_calc!$E$213))=0,"",INDEX('Documents'!$K$4:$K$503,_calc!$E$213)))=0,"","On file: "&amp;IF(LEN(INDEX('Documents'!$K$4:$K$503,_calc!$E$213))=0,"",INDEX('Documents'!$K$4:$K$503,_calc!$E$213))&amp;". ")&amp;IF(LEN(IF(LEN(INDEX('Documents'!$L$4:$L$503,_calc!$E$213))=0,"",INDEX('Documents'!$L$4:$L$503,_calc!$E$213)))=0,"","Contractor email: "&amp;IF(LEN(INDEX('Documents'!$L$4:$L$503,_calc!$E$213))=0,"",INDEX('Documents'!$L$4:$L$503,_calc!$E$213))&amp;". ")&amp;IF(LEN(IF(LEN(INDEX('Documents'!$P$4:$P$503,_calc!$E$213))=0,"",INDEX('Documents'!$P$4:$P$503,_calc!$E$213)))=0,"",IF(LEN(INDEX('Documents'!$P$4:$P$503,_calc!$E$213))=0,"",INDEX('Documents'!$P$4:$P$503,_calc!$E$213)))))</f>
        <v/>
      </c>
      <c r="G211" s="43">
        <f>IF(_calc!$E$213="","",IF(LEN(INDEX('Documents'!$O$4:$O$503,_calc!$E$213))=0,"",INDEX('Documents'!$O$4:$O$503,_calc!$E$213)))</f>
        <v/>
      </c>
      <c r="K211" s="43">
        <f>IF(_calc!$E$213="","",IF(LEN(INDEX('Documents'!$M$4:$M$503,_calc!$E$213))=0,"",INDEX('Documents'!$M$4:$M$503,_calc!$E$213)))</f>
        <v/>
      </c>
    </row>
    <row r="212">
      <c r="A212" s="43">
        <f>IF(_calc!$E$214="","",IF(LEN(INDEX('Documents'!$C$4:$C$503,_calc!$E$214))=0,"",INDEX('Documents'!$C$4:$C$503,_calc!$E$214))&amp;" – "&amp;IF(LEN(INDEX('Documents'!$A$4:$A$503,_calc!$E$214))=0,"",INDEX('Documents'!$A$4:$A$503,_calc!$E$214)))</f>
        <v/>
      </c>
      <c r="B212" s="43">
        <f>IF(_calc!$E$214="","",IF(ISNUMBER(INDEX('Documents'!$F$4:$F$503,_calc!$E$214)),TEXT(INDEX('Documents'!$F$4:$F$503,_calc!$E$214),"yyyy-mm-dd"),""))</f>
        <v/>
      </c>
      <c r="C212" s="43">
        <f>IF(_calc!$E$214="","","Contractor document")</f>
        <v/>
      </c>
      <c r="D212" s="43">
        <f>IF(_calc!$E$214="","",IF(ISNUMBER(INDEX('Documents'!$E$4:$E$503,_calc!$E$214)),TEXT(INDEX('Documents'!$E$4:$E$503,_calc!$E$214),"yyyy-mm-dd"),""))</f>
        <v/>
      </c>
      <c r="E212" s="43">
        <f>IF(_calc!$E$214="","",IF(LEN(INDEX('Documents'!$N$4:$N$503,_calc!$E$214))=0,"",INDEX('Documents'!$N$4:$N$503,_calc!$E$214)))</f>
        <v/>
      </c>
      <c r="F212" s="43">
        <f>IF(_calc!$E$214="","",TRIM(IF(LEN(IF(LEN(INDEX('Documents'!$B$4:$B$503,_calc!$E$214))=0,"",INDEX('Documents'!$B$4:$B$503,_calc!$E$214)))=0,"","Trade: "&amp;IF(LEN(INDEX('Documents'!$B$4:$B$503,_calc!$E$214))=0,"",INDEX('Documents'!$B$4:$B$503,_calc!$E$214))&amp;". ")&amp;IF(LEN(IF(LEN(INDEX('Documents'!$D$4:$D$503,_calc!$E$214))=0,"",INDEX('Documents'!$D$4:$D$503,_calc!$E$214)))=0,"","Ref: "&amp;IF(LEN(INDEX('Documents'!$D$4:$D$503,_calc!$E$214))=0,"",INDEX('Documents'!$D$4:$D$503,_calc!$E$214))&amp;". ")&amp;IF(LEN(IF(LEN(INDEX('Documents'!$K$4:$K$503,_calc!$E$214))=0,"",INDEX('Documents'!$K$4:$K$503,_calc!$E$214)))=0,"","On file: "&amp;IF(LEN(INDEX('Documents'!$K$4:$K$503,_calc!$E$214))=0,"",INDEX('Documents'!$K$4:$K$503,_calc!$E$214))&amp;". ")&amp;IF(LEN(IF(LEN(INDEX('Documents'!$L$4:$L$503,_calc!$E$214))=0,"",INDEX('Documents'!$L$4:$L$503,_calc!$E$214)))=0,"","Contractor email: "&amp;IF(LEN(INDEX('Documents'!$L$4:$L$503,_calc!$E$214))=0,"",INDEX('Documents'!$L$4:$L$503,_calc!$E$214))&amp;". ")&amp;IF(LEN(IF(LEN(INDEX('Documents'!$P$4:$P$503,_calc!$E$214))=0,"",INDEX('Documents'!$P$4:$P$503,_calc!$E$214)))=0,"",IF(LEN(INDEX('Documents'!$P$4:$P$503,_calc!$E$214))=0,"",INDEX('Documents'!$P$4:$P$503,_calc!$E$214)))))</f>
        <v/>
      </c>
      <c r="G212" s="43">
        <f>IF(_calc!$E$214="","",IF(LEN(INDEX('Documents'!$O$4:$O$503,_calc!$E$214))=0,"",INDEX('Documents'!$O$4:$O$503,_calc!$E$214)))</f>
        <v/>
      </c>
      <c r="K212" s="43">
        <f>IF(_calc!$E$214="","",IF(LEN(INDEX('Documents'!$M$4:$M$503,_calc!$E$214))=0,"",INDEX('Documents'!$M$4:$M$503,_calc!$E$214)))</f>
        <v/>
      </c>
    </row>
    <row r="213">
      <c r="A213" s="43">
        <f>IF(_calc!$E$215="","",IF(LEN(INDEX('Documents'!$C$4:$C$503,_calc!$E$215))=0,"",INDEX('Documents'!$C$4:$C$503,_calc!$E$215))&amp;" – "&amp;IF(LEN(INDEX('Documents'!$A$4:$A$503,_calc!$E$215))=0,"",INDEX('Documents'!$A$4:$A$503,_calc!$E$215)))</f>
        <v/>
      </c>
      <c r="B213" s="43">
        <f>IF(_calc!$E$215="","",IF(ISNUMBER(INDEX('Documents'!$F$4:$F$503,_calc!$E$215)),TEXT(INDEX('Documents'!$F$4:$F$503,_calc!$E$215),"yyyy-mm-dd"),""))</f>
        <v/>
      </c>
      <c r="C213" s="43">
        <f>IF(_calc!$E$215="","","Contractor document")</f>
        <v/>
      </c>
      <c r="D213" s="43">
        <f>IF(_calc!$E$215="","",IF(ISNUMBER(INDEX('Documents'!$E$4:$E$503,_calc!$E$215)),TEXT(INDEX('Documents'!$E$4:$E$503,_calc!$E$215),"yyyy-mm-dd"),""))</f>
        <v/>
      </c>
      <c r="E213" s="43">
        <f>IF(_calc!$E$215="","",IF(LEN(INDEX('Documents'!$N$4:$N$503,_calc!$E$215))=0,"",INDEX('Documents'!$N$4:$N$503,_calc!$E$215)))</f>
        <v/>
      </c>
      <c r="F213" s="43">
        <f>IF(_calc!$E$215="","",TRIM(IF(LEN(IF(LEN(INDEX('Documents'!$B$4:$B$503,_calc!$E$215))=0,"",INDEX('Documents'!$B$4:$B$503,_calc!$E$215)))=0,"","Trade: "&amp;IF(LEN(INDEX('Documents'!$B$4:$B$503,_calc!$E$215))=0,"",INDEX('Documents'!$B$4:$B$503,_calc!$E$215))&amp;". ")&amp;IF(LEN(IF(LEN(INDEX('Documents'!$D$4:$D$503,_calc!$E$215))=0,"",INDEX('Documents'!$D$4:$D$503,_calc!$E$215)))=0,"","Ref: "&amp;IF(LEN(INDEX('Documents'!$D$4:$D$503,_calc!$E$215))=0,"",INDEX('Documents'!$D$4:$D$503,_calc!$E$215))&amp;". ")&amp;IF(LEN(IF(LEN(INDEX('Documents'!$K$4:$K$503,_calc!$E$215))=0,"",INDEX('Documents'!$K$4:$K$503,_calc!$E$215)))=0,"","On file: "&amp;IF(LEN(INDEX('Documents'!$K$4:$K$503,_calc!$E$215))=0,"",INDEX('Documents'!$K$4:$K$503,_calc!$E$215))&amp;". ")&amp;IF(LEN(IF(LEN(INDEX('Documents'!$L$4:$L$503,_calc!$E$215))=0,"",INDEX('Documents'!$L$4:$L$503,_calc!$E$215)))=0,"","Contractor email: "&amp;IF(LEN(INDEX('Documents'!$L$4:$L$503,_calc!$E$215))=0,"",INDEX('Documents'!$L$4:$L$503,_calc!$E$215))&amp;". ")&amp;IF(LEN(IF(LEN(INDEX('Documents'!$P$4:$P$503,_calc!$E$215))=0,"",INDEX('Documents'!$P$4:$P$503,_calc!$E$215)))=0,"",IF(LEN(INDEX('Documents'!$P$4:$P$503,_calc!$E$215))=0,"",INDEX('Documents'!$P$4:$P$503,_calc!$E$215)))))</f>
        <v/>
      </c>
      <c r="G213" s="43">
        <f>IF(_calc!$E$215="","",IF(LEN(INDEX('Documents'!$O$4:$O$503,_calc!$E$215))=0,"",INDEX('Documents'!$O$4:$O$503,_calc!$E$215)))</f>
        <v/>
      </c>
      <c r="K213" s="43">
        <f>IF(_calc!$E$215="","",IF(LEN(INDEX('Documents'!$M$4:$M$503,_calc!$E$215))=0,"",INDEX('Documents'!$M$4:$M$503,_calc!$E$215)))</f>
        <v/>
      </c>
    </row>
    <row r="214">
      <c r="A214" s="43">
        <f>IF(_calc!$E$216="","",IF(LEN(INDEX('Documents'!$C$4:$C$503,_calc!$E$216))=0,"",INDEX('Documents'!$C$4:$C$503,_calc!$E$216))&amp;" – "&amp;IF(LEN(INDEX('Documents'!$A$4:$A$503,_calc!$E$216))=0,"",INDEX('Documents'!$A$4:$A$503,_calc!$E$216)))</f>
        <v/>
      </c>
      <c r="B214" s="43">
        <f>IF(_calc!$E$216="","",IF(ISNUMBER(INDEX('Documents'!$F$4:$F$503,_calc!$E$216)),TEXT(INDEX('Documents'!$F$4:$F$503,_calc!$E$216),"yyyy-mm-dd"),""))</f>
        <v/>
      </c>
      <c r="C214" s="43">
        <f>IF(_calc!$E$216="","","Contractor document")</f>
        <v/>
      </c>
      <c r="D214" s="43">
        <f>IF(_calc!$E$216="","",IF(ISNUMBER(INDEX('Documents'!$E$4:$E$503,_calc!$E$216)),TEXT(INDEX('Documents'!$E$4:$E$503,_calc!$E$216),"yyyy-mm-dd"),""))</f>
        <v/>
      </c>
      <c r="E214" s="43">
        <f>IF(_calc!$E$216="","",IF(LEN(INDEX('Documents'!$N$4:$N$503,_calc!$E$216))=0,"",INDEX('Documents'!$N$4:$N$503,_calc!$E$216)))</f>
        <v/>
      </c>
      <c r="F214" s="43">
        <f>IF(_calc!$E$216="","",TRIM(IF(LEN(IF(LEN(INDEX('Documents'!$B$4:$B$503,_calc!$E$216))=0,"",INDEX('Documents'!$B$4:$B$503,_calc!$E$216)))=0,"","Trade: "&amp;IF(LEN(INDEX('Documents'!$B$4:$B$503,_calc!$E$216))=0,"",INDEX('Documents'!$B$4:$B$503,_calc!$E$216))&amp;". ")&amp;IF(LEN(IF(LEN(INDEX('Documents'!$D$4:$D$503,_calc!$E$216))=0,"",INDEX('Documents'!$D$4:$D$503,_calc!$E$216)))=0,"","Ref: "&amp;IF(LEN(INDEX('Documents'!$D$4:$D$503,_calc!$E$216))=0,"",INDEX('Documents'!$D$4:$D$503,_calc!$E$216))&amp;". ")&amp;IF(LEN(IF(LEN(INDEX('Documents'!$K$4:$K$503,_calc!$E$216))=0,"",INDEX('Documents'!$K$4:$K$503,_calc!$E$216)))=0,"","On file: "&amp;IF(LEN(INDEX('Documents'!$K$4:$K$503,_calc!$E$216))=0,"",INDEX('Documents'!$K$4:$K$503,_calc!$E$216))&amp;". ")&amp;IF(LEN(IF(LEN(INDEX('Documents'!$L$4:$L$503,_calc!$E$216))=0,"",INDEX('Documents'!$L$4:$L$503,_calc!$E$216)))=0,"","Contractor email: "&amp;IF(LEN(INDEX('Documents'!$L$4:$L$503,_calc!$E$216))=0,"",INDEX('Documents'!$L$4:$L$503,_calc!$E$216))&amp;". ")&amp;IF(LEN(IF(LEN(INDEX('Documents'!$P$4:$P$503,_calc!$E$216))=0,"",INDEX('Documents'!$P$4:$P$503,_calc!$E$216)))=0,"",IF(LEN(INDEX('Documents'!$P$4:$P$503,_calc!$E$216))=0,"",INDEX('Documents'!$P$4:$P$503,_calc!$E$216)))))</f>
        <v/>
      </c>
      <c r="G214" s="43">
        <f>IF(_calc!$E$216="","",IF(LEN(INDEX('Documents'!$O$4:$O$503,_calc!$E$216))=0,"",INDEX('Documents'!$O$4:$O$503,_calc!$E$216)))</f>
        <v/>
      </c>
      <c r="K214" s="43">
        <f>IF(_calc!$E$216="","",IF(LEN(INDEX('Documents'!$M$4:$M$503,_calc!$E$216))=0,"",INDEX('Documents'!$M$4:$M$503,_calc!$E$216)))</f>
        <v/>
      </c>
    </row>
    <row r="215">
      <c r="A215" s="43">
        <f>IF(_calc!$E$217="","",IF(LEN(INDEX('Documents'!$C$4:$C$503,_calc!$E$217))=0,"",INDEX('Documents'!$C$4:$C$503,_calc!$E$217))&amp;" – "&amp;IF(LEN(INDEX('Documents'!$A$4:$A$503,_calc!$E$217))=0,"",INDEX('Documents'!$A$4:$A$503,_calc!$E$217)))</f>
        <v/>
      </c>
      <c r="B215" s="43">
        <f>IF(_calc!$E$217="","",IF(ISNUMBER(INDEX('Documents'!$F$4:$F$503,_calc!$E$217)),TEXT(INDEX('Documents'!$F$4:$F$503,_calc!$E$217),"yyyy-mm-dd"),""))</f>
        <v/>
      </c>
      <c r="C215" s="43">
        <f>IF(_calc!$E$217="","","Contractor document")</f>
        <v/>
      </c>
      <c r="D215" s="43">
        <f>IF(_calc!$E$217="","",IF(ISNUMBER(INDEX('Documents'!$E$4:$E$503,_calc!$E$217)),TEXT(INDEX('Documents'!$E$4:$E$503,_calc!$E$217),"yyyy-mm-dd"),""))</f>
        <v/>
      </c>
      <c r="E215" s="43">
        <f>IF(_calc!$E$217="","",IF(LEN(INDEX('Documents'!$N$4:$N$503,_calc!$E$217))=0,"",INDEX('Documents'!$N$4:$N$503,_calc!$E$217)))</f>
        <v/>
      </c>
      <c r="F215" s="43">
        <f>IF(_calc!$E$217="","",TRIM(IF(LEN(IF(LEN(INDEX('Documents'!$B$4:$B$503,_calc!$E$217))=0,"",INDEX('Documents'!$B$4:$B$503,_calc!$E$217)))=0,"","Trade: "&amp;IF(LEN(INDEX('Documents'!$B$4:$B$503,_calc!$E$217))=0,"",INDEX('Documents'!$B$4:$B$503,_calc!$E$217))&amp;". ")&amp;IF(LEN(IF(LEN(INDEX('Documents'!$D$4:$D$503,_calc!$E$217))=0,"",INDEX('Documents'!$D$4:$D$503,_calc!$E$217)))=0,"","Ref: "&amp;IF(LEN(INDEX('Documents'!$D$4:$D$503,_calc!$E$217))=0,"",INDEX('Documents'!$D$4:$D$503,_calc!$E$217))&amp;". ")&amp;IF(LEN(IF(LEN(INDEX('Documents'!$K$4:$K$503,_calc!$E$217))=0,"",INDEX('Documents'!$K$4:$K$503,_calc!$E$217)))=0,"","On file: "&amp;IF(LEN(INDEX('Documents'!$K$4:$K$503,_calc!$E$217))=0,"",INDEX('Documents'!$K$4:$K$503,_calc!$E$217))&amp;". ")&amp;IF(LEN(IF(LEN(INDEX('Documents'!$L$4:$L$503,_calc!$E$217))=0,"",INDEX('Documents'!$L$4:$L$503,_calc!$E$217)))=0,"","Contractor email: "&amp;IF(LEN(INDEX('Documents'!$L$4:$L$503,_calc!$E$217))=0,"",INDEX('Documents'!$L$4:$L$503,_calc!$E$217))&amp;". ")&amp;IF(LEN(IF(LEN(INDEX('Documents'!$P$4:$P$503,_calc!$E$217))=0,"",INDEX('Documents'!$P$4:$P$503,_calc!$E$217)))=0,"",IF(LEN(INDEX('Documents'!$P$4:$P$503,_calc!$E$217))=0,"",INDEX('Documents'!$P$4:$P$503,_calc!$E$217)))))</f>
        <v/>
      </c>
      <c r="G215" s="43">
        <f>IF(_calc!$E$217="","",IF(LEN(INDEX('Documents'!$O$4:$O$503,_calc!$E$217))=0,"",INDEX('Documents'!$O$4:$O$503,_calc!$E$217)))</f>
        <v/>
      </c>
      <c r="K215" s="43">
        <f>IF(_calc!$E$217="","",IF(LEN(INDEX('Documents'!$M$4:$M$503,_calc!$E$217))=0,"",INDEX('Documents'!$M$4:$M$503,_calc!$E$217)))</f>
        <v/>
      </c>
    </row>
    <row r="216">
      <c r="A216" s="43">
        <f>IF(_calc!$E$218="","",IF(LEN(INDEX('Documents'!$C$4:$C$503,_calc!$E$218))=0,"",INDEX('Documents'!$C$4:$C$503,_calc!$E$218))&amp;" – "&amp;IF(LEN(INDEX('Documents'!$A$4:$A$503,_calc!$E$218))=0,"",INDEX('Documents'!$A$4:$A$503,_calc!$E$218)))</f>
        <v/>
      </c>
      <c r="B216" s="43">
        <f>IF(_calc!$E$218="","",IF(ISNUMBER(INDEX('Documents'!$F$4:$F$503,_calc!$E$218)),TEXT(INDEX('Documents'!$F$4:$F$503,_calc!$E$218),"yyyy-mm-dd"),""))</f>
        <v/>
      </c>
      <c r="C216" s="43">
        <f>IF(_calc!$E$218="","","Contractor document")</f>
        <v/>
      </c>
      <c r="D216" s="43">
        <f>IF(_calc!$E$218="","",IF(ISNUMBER(INDEX('Documents'!$E$4:$E$503,_calc!$E$218)),TEXT(INDEX('Documents'!$E$4:$E$503,_calc!$E$218),"yyyy-mm-dd"),""))</f>
        <v/>
      </c>
      <c r="E216" s="43">
        <f>IF(_calc!$E$218="","",IF(LEN(INDEX('Documents'!$N$4:$N$503,_calc!$E$218))=0,"",INDEX('Documents'!$N$4:$N$503,_calc!$E$218)))</f>
        <v/>
      </c>
      <c r="F216" s="43">
        <f>IF(_calc!$E$218="","",TRIM(IF(LEN(IF(LEN(INDEX('Documents'!$B$4:$B$503,_calc!$E$218))=0,"",INDEX('Documents'!$B$4:$B$503,_calc!$E$218)))=0,"","Trade: "&amp;IF(LEN(INDEX('Documents'!$B$4:$B$503,_calc!$E$218))=0,"",INDEX('Documents'!$B$4:$B$503,_calc!$E$218))&amp;". ")&amp;IF(LEN(IF(LEN(INDEX('Documents'!$D$4:$D$503,_calc!$E$218))=0,"",INDEX('Documents'!$D$4:$D$503,_calc!$E$218)))=0,"","Ref: "&amp;IF(LEN(INDEX('Documents'!$D$4:$D$503,_calc!$E$218))=0,"",INDEX('Documents'!$D$4:$D$503,_calc!$E$218))&amp;". ")&amp;IF(LEN(IF(LEN(INDEX('Documents'!$K$4:$K$503,_calc!$E$218))=0,"",INDEX('Documents'!$K$4:$K$503,_calc!$E$218)))=0,"","On file: "&amp;IF(LEN(INDEX('Documents'!$K$4:$K$503,_calc!$E$218))=0,"",INDEX('Documents'!$K$4:$K$503,_calc!$E$218))&amp;". ")&amp;IF(LEN(IF(LEN(INDEX('Documents'!$L$4:$L$503,_calc!$E$218))=0,"",INDEX('Documents'!$L$4:$L$503,_calc!$E$218)))=0,"","Contractor email: "&amp;IF(LEN(INDEX('Documents'!$L$4:$L$503,_calc!$E$218))=0,"",INDEX('Documents'!$L$4:$L$503,_calc!$E$218))&amp;". ")&amp;IF(LEN(IF(LEN(INDEX('Documents'!$P$4:$P$503,_calc!$E$218))=0,"",INDEX('Documents'!$P$4:$P$503,_calc!$E$218)))=0,"",IF(LEN(INDEX('Documents'!$P$4:$P$503,_calc!$E$218))=0,"",INDEX('Documents'!$P$4:$P$503,_calc!$E$218)))))</f>
        <v/>
      </c>
      <c r="G216" s="43">
        <f>IF(_calc!$E$218="","",IF(LEN(INDEX('Documents'!$O$4:$O$503,_calc!$E$218))=0,"",INDEX('Documents'!$O$4:$O$503,_calc!$E$218)))</f>
        <v/>
      </c>
      <c r="K216" s="43">
        <f>IF(_calc!$E$218="","",IF(LEN(INDEX('Documents'!$M$4:$M$503,_calc!$E$218))=0,"",INDEX('Documents'!$M$4:$M$503,_calc!$E$218)))</f>
        <v/>
      </c>
    </row>
    <row r="217">
      <c r="A217" s="43">
        <f>IF(_calc!$E$219="","",IF(LEN(INDEX('Documents'!$C$4:$C$503,_calc!$E$219))=0,"",INDEX('Documents'!$C$4:$C$503,_calc!$E$219))&amp;" – "&amp;IF(LEN(INDEX('Documents'!$A$4:$A$503,_calc!$E$219))=0,"",INDEX('Documents'!$A$4:$A$503,_calc!$E$219)))</f>
        <v/>
      </c>
      <c r="B217" s="43">
        <f>IF(_calc!$E$219="","",IF(ISNUMBER(INDEX('Documents'!$F$4:$F$503,_calc!$E$219)),TEXT(INDEX('Documents'!$F$4:$F$503,_calc!$E$219),"yyyy-mm-dd"),""))</f>
        <v/>
      </c>
      <c r="C217" s="43">
        <f>IF(_calc!$E$219="","","Contractor document")</f>
        <v/>
      </c>
      <c r="D217" s="43">
        <f>IF(_calc!$E$219="","",IF(ISNUMBER(INDEX('Documents'!$E$4:$E$503,_calc!$E$219)),TEXT(INDEX('Documents'!$E$4:$E$503,_calc!$E$219),"yyyy-mm-dd"),""))</f>
        <v/>
      </c>
      <c r="E217" s="43">
        <f>IF(_calc!$E$219="","",IF(LEN(INDEX('Documents'!$N$4:$N$503,_calc!$E$219))=0,"",INDEX('Documents'!$N$4:$N$503,_calc!$E$219)))</f>
        <v/>
      </c>
      <c r="F217" s="43">
        <f>IF(_calc!$E$219="","",TRIM(IF(LEN(IF(LEN(INDEX('Documents'!$B$4:$B$503,_calc!$E$219))=0,"",INDEX('Documents'!$B$4:$B$503,_calc!$E$219)))=0,"","Trade: "&amp;IF(LEN(INDEX('Documents'!$B$4:$B$503,_calc!$E$219))=0,"",INDEX('Documents'!$B$4:$B$503,_calc!$E$219))&amp;". ")&amp;IF(LEN(IF(LEN(INDEX('Documents'!$D$4:$D$503,_calc!$E$219))=0,"",INDEX('Documents'!$D$4:$D$503,_calc!$E$219)))=0,"","Ref: "&amp;IF(LEN(INDEX('Documents'!$D$4:$D$503,_calc!$E$219))=0,"",INDEX('Documents'!$D$4:$D$503,_calc!$E$219))&amp;". ")&amp;IF(LEN(IF(LEN(INDEX('Documents'!$K$4:$K$503,_calc!$E$219))=0,"",INDEX('Documents'!$K$4:$K$503,_calc!$E$219)))=0,"","On file: "&amp;IF(LEN(INDEX('Documents'!$K$4:$K$503,_calc!$E$219))=0,"",INDEX('Documents'!$K$4:$K$503,_calc!$E$219))&amp;". ")&amp;IF(LEN(IF(LEN(INDEX('Documents'!$L$4:$L$503,_calc!$E$219))=0,"",INDEX('Documents'!$L$4:$L$503,_calc!$E$219)))=0,"","Contractor email: "&amp;IF(LEN(INDEX('Documents'!$L$4:$L$503,_calc!$E$219))=0,"",INDEX('Documents'!$L$4:$L$503,_calc!$E$219))&amp;". ")&amp;IF(LEN(IF(LEN(INDEX('Documents'!$P$4:$P$503,_calc!$E$219))=0,"",INDEX('Documents'!$P$4:$P$503,_calc!$E$219)))=0,"",IF(LEN(INDEX('Documents'!$P$4:$P$503,_calc!$E$219))=0,"",INDEX('Documents'!$P$4:$P$503,_calc!$E$219)))))</f>
        <v/>
      </c>
      <c r="G217" s="43">
        <f>IF(_calc!$E$219="","",IF(LEN(INDEX('Documents'!$O$4:$O$503,_calc!$E$219))=0,"",INDEX('Documents'!$O$4:$O$503,_calc!$E$219)))</f>
        <v/>
      </c>
      <c r="K217" s="43">
        <f>IF(_calc!$E$219="","",IF(LEN(INDEX('Documents'!$M$4:$M$503,_calc!$E$219))=0,"",INDEX('Documents'!$M$4:$M$503,_calc!$E$219)))</f>
        <v/>
      </c>
    </row>
    <row r="218">
      <c r="A218" s="43">
        <f>IF(_calc!$E$220="","",IF(LEN(INDEX('Documents'!$C$4:$C$503,_calc!$E$220))=0,"",INDEX('Documents'!$C$4:$C$503,_calc!$E$220))&amp;" – "&amp;IF(LEN(INDEX('Documents'!$A$4:$A$503,_calc!$E$220))=0,"",INDEX('Documents'!$A$4:$A$503,_calc!$E$220)))</f>
        <v/>
      </c>
      <c r="B218" s="43">
        <f>IF(_calc!$E$220="","",IF(ISNUMBER(INDEX('Documents'!$F$4:$F$503,_calc!$E$220)),TEXT(INDEX('Documents'!$F$4:$F$503,_calc!$E$220),"yyyy-mm-dd"),""))</f>
        <v/>
      </c>
      <c r="C218" s="43">
        <f>IF(_calc!$E$220="","","Contractor document")</f>
        <v/>
      </c>
      <c r="D218" s="43">
        <f>IF(_calc!$E$220="","",IF(ISNUMBER(INDEX('Documents'!$E$4:$E$503,_calc!$E$220)),TEXT(INDEX('Documents'!$E$4:$E$503,_calc!$E$220),"yyyy-mm-dd"),""))</f>
        <v/>
      </c>
      <c r="E218" s="43">
        <f>IF(_calc!$E$220="","",IF(LEN(INDEX('Documents'!$N$4:$N$503,_calc!$E$220))=0,"",INDEX('Documents'!$N$4:$N$503,_calc!$E$220)))</f>
        <v/>
      </c>
      <c r="F218" s="43">
        <f>IF(_calc!$E$220="","",TRIM(IF(LEN(IF(LEN(INDEX('Documents'!$B$4:$B$503,_calc!$E$220))=0,"",INDEX('Documents'!$B$4:$B$503,_calc!$E$220)))=0,"","Trade: "&amp;IF(LEN(INDEX('Documents'!$B$4:$B$503,_calc!$E$220))=0,"",INDEX('Documents'!$B$4:$B$503,_calc!$E$220))&amp;". ")&amp;IF(LEN(IF(LEN(INDEX('Documents'!$D$4:$D$503,_calc!$E$220))=0,"",INDEX('Documents'!$D$4:$D$503,_calc!$E$220)))=0,"","Ref: "&amp;IF(LEN(INDEX('Documents'!$D$4:$D$503,_calc!$E$220))=0,"",INDEX('Documents'!$D$4:$D$503,_calc!$E$220))&amp;". ")&amp;IF(LEN(IF(LEN(INDEX('Documents'!$K$4:$K$503,_calc!$E$220))=0,"",INDEX('Documents'!$K$4:$K$503,_calc!$E$220)))=0,"","On file: "&amp;IF(LEN(INDEX('Documents'!$K$4:$K$503,_calc!$E$220))=0,"",INDEX('Documents'!$K$4:$K$503,_calc!$E$220))&amp;". ")&amp;IF(LEN(IF(LEN(INDEX('Documents'!$L$4:$L$503,_calc!$E$220))=0,"",INDEX('Documents'!$L$4:$L$503,_calc!$E$220)))=0,"","Contractor email: "&amp;IF(LEN(INDEX('Documents'!$L$4:$L$503,_calc!$E$220))=0,"",INDEX('Documents'!$L$4:$L$503,_calc!$E$220))&amp;". ")&amp;IF(LEN(IF(LEN(INDEX('Documents'!$P$4:$P$503,_calc!$E$220))=0,"",INDEX('Documents'!$P$4:$P$503,_calc!$E$220)))=0,"",IF(LEN(INDEX('Documents'!$P$4:$P$503,_calc!$E$220))=0,"",INDEX('Documents'!$P$4:$P$503,_calc!$E$220)))))</f>
        <v/>
      </c>
      <c r="G218" s="43">
        <f>IF(_calc!$E$220="","",IF(LEN(INDEX('Documents'!$O$4:$O$503,_calc!$E$220))=0,"",INDEX('Documents'!$O$4:$O$503,_calc!$E$220)))</f>
        <v/>
      </c>
      <c r="K218" s="43">
        <f>IF(_calc!$E$220="","",IF(LEN(INDEX('Documents'!$M$4:$M$503,_calc!$E$220))=0,"",INDEX('Documents'!$M$4:$M$503,_calc!$E$220)))</f>
        <v/>
      </c>
    </row>
    <row r="219">
      <c r="A219" s="43">
        <f>IF(_calc!$E$221="","",IF(LEN(INDEX('Documents'!$C$4:$C$503,_calc!$E$221))=0,"",INDEX('Documents'!$C$4:$C$503,_calc!$E$221))&amp;" – "&amp;IF(LEN(INDEX('Documents'!$A$4:$A$503,_calc!$E$221))=0,"",INDEX('Documents'!$A$4:$A$503,_calc!$E$221)))</f>
        <v/>
      </c>
      <c r="B219" s="43">
        <f>IF(_calc!$E$221="","",IF(ISNUMBER(INDEX('Documents'!$F$4:$F$503,_calc!$E$221)),TEXT(INDEX('Documents'!$F$4:$F$503,_calc!$E$221),"yyyy-mm-dd"),""))</f>
        <v/>
      </c>
      <c r="C219" s="43">
        <f>IF(_calc!$E$221="","","Contractor document")</f>
        <v/>
      </c>
      <c r="D219" s="43">
        <f>IF(_calc!$E$221="","",IF(ISNUMBER(INDEX('Documents'!$E$4:$E$503,_calc!$E$221)),TEXT(INDEX('Documents'!$E$4:$E$503,_calc!$E$221),"yyyy-mm-dd"),""))</f>
        <v/>
      </c>
      <c r="E219" s="43">
        <f>IF(_calc!$E$221="","",IF(LEN(INDEX('Documents'!$N$4:$N$503,_calc!$E$221))=0,"",INDEX('Documents'!$N$4:$N$503,_calc!$E$221)))</f>
        <v/>
      </c>
      <c r="F219" s="43">
        <f>IF(_calc!$E$221="","",TRIM(IF(LEN(IF(LEN(INDEX('Documents'!$B$4:$B$503,_calc!$E$221))=0,"",INDEX('Documents'!$B$4:$B$503,_calc!$E$221)))=0,"","Trade: "&amp;IF(LEN(INDEX('Documents'!$B$4:$B$503,_calc!$E$221))=0,"",INDEX('Documents'!$B$4:$B$503,_calc!$E$221))&amp;". ")&amp;IF(LEN(IF(LEN(INDEX('Documents'!$D$4:$D$503,_calc!$E$221))=0,"",INDEX('Documents'!$D$4:$D$503,_calc!$E$221)))=0,"","Ref: "&amp;IF(LEN(INDEX('Documents'!$D$4:$D$503,_calc!$E$221))=0,"",INDEX('Documents'!$D$4:$D$503,_calc!$E$221))&amp;". ")&amp;IF(LEN(IF(LEN(INDEX('Documents'!$K$4:$K$503,_calc!$E$221))=0,"",INDEX('Documents'!$K$4:$K$503,_calc!$E$221)))=0,"","On file: "&amp;IF(LEN(INDEX('Documents'!$K$4:$K$503,_calc!$E$221))=0,"",INDEX('Documents'!$K$4:$K$503,_calc!$E$221))&amp;". ")&amp;IF(LEN(IF(LEN(INDEX('Documents'!$L$4:$L$503,_calc!$E$221))=0,"",INDEX('Documents'!$L$4:$L$503,_calc!$E$221)))=0,"","Contractor email: "&amp;IF(LEN(INDEX('Documents'!$L$4:$L$503,_calc!$E$221))=0,"",INDEX('Documents'!$L$4:$L$503,_calc!$E$221))&amp;". ")&amp;IF(LEN(IF(LEN(INDEX('Documents'!$P$4:$P$503,_calc!$E$221))=0,"",INDEX('Documents'!$P$4:$P$503,_calc!$E$221)))=0,"",IF(LEN(INDEX('Documents'!$P$4:$P$503,_calc!$E$221))=0,"",INDEX('Documents'!$P$4:$P$503,_calc!$E$221)))))</f>
        <v/>
      </c>
      <c r="G219" s="43">
        <f>IF(_calc!$E$221="","",IF(LEN(INDEX('Documents'!$O$4:$O$503,_calc!$E$221))=0,"",INDEX('Documents'!$O$4:$O$503,_calc!$E$221)))</f>
        <v/>
      </c>
      <c r="K219" s="43">
        <f>IF(_calc!$E$221="","",IF(LEN(INDEX('Documents'!$M$4:$M$503,_calc!$E$221))=0,"",INDEX('Documents'!$M$4:$M$503,_calc!$E$221)))</f>
        <v/>
      </c>
    </row>
    <row r="220">
      <c r="A220" s="43">
        <f>IF(_calc!$E$222="","",IF(LEN(INDEX('Documents'!$C$4:$C$503,_calc!$E$222))=0,"",INDEX('Documents'!$C$4:$C$503,_calc!$E$222))&amp;" – "&amp;IF(LEN(INDEX('Documents'!$A$4:$A$503,_calc!$E$222))=0,"",INDEX('Documents'!$A$4:$A$503,_calc!$E$222)))</f>
        <v/>
      </c>
      <c r="B220" s="43">
        <f>IF(_calc!$E$222="","",IF(ISNUMBER(INDEX('Documents'!$F$4:$F$503,_calc!$E$222)),TEXT(INDEX('Documents'!$F$4:$F$503,_calc!$E$222),"yyyy-mm-dd"),""))</f>
        <v/>
      </c>
      <c r="C220" s="43">
        <f>IF(_calc!$E$222="","","Contractor document")</f>
        <v/>
      </c>
      <c r="D220" s="43">
        <f>IF(_calc!$E$222="","",IF(ISNUMBER(INDEX('Documents'!$E$4:$E$503,_calc!$E$222)),TEXT(INDEX('Documents'!$E$4:$E$503,_calc!$E$222),"yyyy-mm-dd"),""))</f>
        <v/>
      </c>
      <c r="E220" s="43">
        <f>IF(_calc!$E$222="","",IF(LEN(INDEX('Documents'!$N$4:$N$503,_calc!$E$222))=0,"",INDEX('Documents'!$N$4:$N$503,_calc!$E$222)))</f>
        <v/>
      </c>
      <c r="F220" s="43">
        <f>IF(_calc!$E$222="","",TRIM(IF(LEN(IF(LEN(INDEX('Documents'!$B$4:$B$503,_calc!$E$222))=0,"",INDEX('Documents'!$B$4:$B$503,_calc!$E$222)))=0,"","Trade: "&amp;IF(LEN(INDEX('Documents'!$B$4:$B$503,_calc!$E$222))=0,"",INDEX('Documents'!$B$4:$B$503,_calc!$E$222))&amp;". ")&amp;IF(LEN(IF(LEN(INDEX('Documents'!$D$4:$D$503,_calc!$E$222))=0,"",INDEX('Documents'!$D$4:$D$503,_calc!$E$222)))=0,"","Ref: "&amp;IF(LEN(INDEX('Documents'!$D$4:$D$503,_calc!$E$222))=0,"",INDEX('Documents'!$D$4:$D$503,_calc!$E$222))&amp;". ")&amp;IF(LEN(IF(LEN(INDEX('Documents'!$K$4:$K$503,_calc!$E$222))=0,"",INDEX('Documents'!$K$4:$K$503,_calc!$E$222)))=0,"","On file: "&amp;IF(LEN(INDEX('Documents'!$K$4:$K$503,_calc!$E$222))=0,"",INDEX('Documents'!$K$4:$K$503,_calc!$E$222))&amp;". ")&amp;IF(LEN(IF(LEN(INDEX('Documents'!$L$4:$L$503,_calc!$E$222))=0,"",INDEX('Documents'!$L$4:$L$503,_calc!$E$222)))=0,"","Contractor email: "&amp;IF(LEN(INDEX('Documents'!$L$4:$L$503,_calc!$E$222))=0,"",INDEX('Documents'!$L$4:$L$503,_calc!$E$222))&amp;". ")&amp;IF(LEN(IF(LEN(INDEX('Documents'!$P$4:$P$503,_calc!$E$222))=0,"",INDEX('Documents'!$P$4:$P$503,_calc!$E$222)))=0,"",IF(LEN(INDEX('Documents'!$P$4:$P$503,_calc!$E$222))=0,"",INDEX('Documents'!$P$4:$P$503,_calc!$E$222)))))</f>
        <v/>
      </c>
      <c r="G220" s="43">
        <f>IF(_calc!$E$222="","",IF(LEN(INDEX('Documents'!$O$4:$O$503,_calc!$E$222))=0,"",INDEX('Documents'!$O$4:$O$503,_calc!$E$222)))</f>
        <v/>
      </c>
      <c r="K220" s="43">
        <f>IF(_calc!$E$222="","",IF(LEN(INDEX('Documents'!$M$4:$M$503,_calc!$E$222))=0,"",INDEX('Documents'!$M$4:$M$503,_calc!$E$222)))</f>
        <v/>
      </c>
    </row>
    <row r="221">
      <c r="A221" s="43">
        <f>IF(_calc!$E$223="","",IF(LEN(INDEX('Documents'!$C$4:$C$503,_calc!$E$223))=0,"",INDEX('Documents'!$C$4:$C$503,_calc!$E$223))&amp;" – "&amp;IF(LEN(INDEX('Documents'!$A$4:$A$503,_calc!$E$223))=0,"",INDEX('Documents'!$A$4:$A$503,_calc!$E$223)))</f>
        <v/>
      </c>
      <c r="B221" s="43">
        <f>IF(_calc!$E$223="","",IF(ISNUMBER(INDEX('Documents'!$F$4:$F$503,_calc!$E$223)),TEXT(INDEX('Documents'!$F$4:$F$503,_calc!$E$223),"yyyy-mm-dd"),""))</f>
        <v/>
      </c>
      <c r="C221" s="43">
        <f>IF(_calc!$E$223="","","Contractor document")</f>
        <v/>
      </c>
      <c r="D221" s="43">
        <f>IF(_calc!$E$223="","",IF(ISNUMBER(INDEX('Documents'!$E$4:$E$503,_calc!$E$223)),TEXT(INDEX('Documents'!$E$4:$E$503,_calc!$E$223),"yyyy-mm-dd"),""))</f>
        <v/>
      </c>
      <c r="E221" s="43">
        <f>IF(_calc!$E$223="","",IF(LEN(INDEX('Documents'!$N$4:$N$503,_calc!$E$223))=0,"",INDEX('Documents'!$N$4:$N$503,_calc!$E$223)))</f>
        <v/>
      </c>
      <c r="F221" s="43">
        <f>IF(_calc!$E$223="","",TRIM(IF(LEN(IF(LEN(INDEX('Documents'!$B$4:$B$503,_calc!$E$223))=0,"",INDEX('Documents'!$B$4:$B$503,_calc!$E$223)))=0,"","Trade: "&amp;IF(LEN(INDEX('Documents'!$B$4:$B$503,_calc!$E$223))=0,"",INDEX('Documents'!$B$4:$B$503,_calc!$E$223))&amp;". ")&amp;IF(LEN(IF(LEN(INDEX('Documents'!$D$4:$D$503,_calc!$E$223))=0,"",INDEX('Documents'!$D$4:$D$503,_calc!$E$223)))=0,"","Ref: "&amp;IF(LEN(INDEX('Documents'!$D$4:$D$503,_calc!$E$223))=0,"",INDEX('Documents'!$D$4:$D$503,_calc!$E$223))&amp;". ")&amp;IF(LEN(IF(LEN(INDEX('Documents'!$K$4:$K$503,_calc!$E$223))=0,"",INDEX('Documents'!$K$4:$K$503,_calc!$E$223)))=0,"","On file: "&amp;IF(LEN(INDEX('Documents'!$K$4:$K$503,_calc!$E$223))=0,"",INDEX('Documents'!$K$4:$K$503,_calc!$E$223))&amp;". ")&amp;IF(LEN(IF(LEN(INDEX('Documents'!$L$4:$L$503,_calc!$E$223))=0,"",INDEX('Documents'!$L$4:$L$503,_calc!$E$223)))=0,"","Contractor email: "&amp;IF(LEN(INDEX('Documents'!$L$4:$L$503,_calc!$E$223))=0,"",INDEX('Documents'!$L$4:$L$503,_calc!$E$223))&amp;". ")&amp;IF(LEN(IF(LEN(INDEX('Documents'!$P$4:$P$503,_calc!$E$223))=0,"",INDEX('Documents'!$P$4:$P$503,_calc!$E$223)))=0,"",IF(LEN(INDEX('Documents'!$P$4:$P$503,_calc!$E$223))=0,"",INDEX('Documents'!$P$4:$P$503,_calc!$E$223)))))</f>
        <v/>
      </c>
      <c r="G221" s="43">
        <f>IF(_calc!$E$223="","",IF(LEN(INDEX('Documents'!$O$4:$O$503,_calc!$E$223))=0,"",INDEX('Documents'!$O$4:$O$503,_calc!$E$223)))</f>
        <v/>
      </c>
      <c r="K221" s="43">
        <f>IF(_calc!$E$223="","",IF(LEN(INDEX('Documents'!$M$4:$M$503,_calc!$E$223))=0,"",INDEX('Documents'!$M$4:$M$503,_calc!$E$223)))</f>
        <v/>
      </c>
    </row>
    <row r="222">
      <c r="A222" s="43">
        <f>IF(_calc!$E$224="","",IF(LEN(INDEX('Documents'!$C$4:$C$503,_calc!$E$224))=0,"",INDEX('Documents'!$C$4:$C$503,_calc!$E$224))&amp;" – "&amp;IF(LEN(INDEX('Documents'!$A$4:$A$503,_calc!$E$224))=0,"",INDEX('Documents'!$A$4:$A$503,_calc!$E$224)))</f>
        <v/>
      </c>
      <c r="B222" s="43">
        <f>IF(_calc!$E$224="","",IF(ISNUMBER(INDEX('Documents'!$F$4:$F$503,_calc!$E$224)),TEXT(INDEX('Documents'!$F$4:$F$503,_calc!$E$224),"yyyy-mm-dd"),""))</f>
        <v/>
      </c>
      <c r="C222" s="43">
        <f>IF(_calc!$E$224="","","Contractor document")</f>
        <v/>
      </c>
      <c r="D222" s="43">
        <f>IF(_calc!$E$224="","",IF(ISNUMBER(INDEX('Documents'!$E$4:$E$503,_calc!$E$224)),TEXT(INDEX('Documents'!$E$4:$E$503,_calc!$E$224),"yyyy-mm-dd"),""))</f>
        <v/>
      </c>
      <c r="E222" s="43">
        <f>IF(_calc!$E$224="","",IF(LEN(INDEX('Documents'!$N$4:$N$503,_calc!$E$224))=0,"",INDEX('Documents'!$N$4:$N$503,_calc!$E$224)))</f>
        <v/>
      </c>
      <c r="F222" s="43">
        <f>IF(_calc!$E$224="","",TRIM(IF(LEN(IF(LEN(INDEX('Documents'!$B$4:$B$503,_calc!$E$224))=0,"",INDEX('Documents'!$B$4:$B$503,_calc!$E$224)))=0,"","Trade: "&amp;IF(LEN(INDEX('Documents'!$B$4:$B$503,_calc!$E$224))=0,"",INDEX('Documents'!$B$4:$B$503,_calc!$E$224))&amp;". ")&amp;IF(LEN(IF(LEN(INDEX('Documents'!$D$4:$D$503,_calc!$E$224))=0,"",INDEX('Documents'!$D$4:$D$503,_calc!$E$224)))=0,"","Ref: "&amp;IF(LEN(INDEX('Documents'!$D$4:$D$503,_calc!$E$224))=0,"",INDEX('Documents'!$D$4:$D$503,_calc!$E$224))&amp;". ")&amp;IF(LEN(IF(LEN(INDEX('Documents'!$K$4:$K$503,_calc!$E$224))=0,"",INDEX('Documents'!$K$4:$K$503,_calc!$E$224)))=0,"","On file: "&amp;IF(LEN(INDEX('Documents'!$K$4:$K$503,_calc!$E$224))=0,"",INDEX('Documents'!$K$4:$K$503,_calc!$E$224))&amp;". ")&amp;IF(LEN(IF(LEN(INDEX('Documents'!$L$4:$L$503,_calc!$E$224))=0,"",INDEX('Documents'!$L$4:$L$503,_calc!$E$224)))=0,"","Contractor email: "&amp;IF(LEN(INDEX('Documents'!$L$4:$L$503,_calc!$E$224))=0,"",INDEX('Documents'!$L$4:$L$503,_calc!$E$224))&amp;". ")&amp;IF(LEN(IF(LEN(INDEX('Documents'!$P$4:$P$503,_calc!$E$224))=0,"",INDEX('Documents'!$P$4:$P$503,_calc!$E$224)))=0,"",IF(LEN(INDEX('Documents'!$P$4:$P$503,_calc!$E$224))=0,"",INDEX('Documents'!$P$4:$P$503,_calc!$E$224)))))</f>
        <v/>
      </c>
      <c r="G222" s="43">
        <f>IF(_calc!$E$224="","",IF(LEN(INDEX('Documents'!$O$4:$O$503,_calc!$E$224))=0,"",INDEX('Documents'!$O$4:$O$503,_calc!$E$224)))</f>
        <v/>
      </c>
      <c r="K222" s="43">
        <f>IF(_calc!$E$224="","",IF(LEN(INDEX('Documents'!$M$4:$M$503,_calc!$E$224))=0,"",INDEX('Documents'!$M$4:$M$503,_calc!$E$224)))</f>
        <v/>
      </c>
    </row>
    <row r="223">
      <c r="A223" s="43">
        <f>IF(_calc!$E$225="","",IF(LEN(INDEX('Documents'!$C$4:$C$503,_calc!$E$225))=0,"",INDEX('Documents'!$C$4:$C$503,_calc!$E$225))&amp;" – "&amp;IF(LEN(INDEX('Documents'!$A$4:$A$503,_calc!$E$225))=0,"",INDEX('Documents'!$A$4:$A$503,_calc!$E$225)))</f>
        <v/>
      </c>
      <c r="B223" s="43">
        <f>IF(_calc!$E$225="","",IF(ISNUMBER(INDEX('Documents'!$F$4:$F$503,_calc!$E$225)),TEXT(INDEX('Documents'!$F$4:$F$503,_calc!$E$225),"yyyy-mm-dd"),""))</f>
        <v/>
      </c>
      <c r="C223" s="43">
        <f>IF(_calc!$E$225="","","Contractor document")</f>
        <v/>
      </c>
      <c r="D223" s="43">
        <f>IF(_calc!$E$225="","",IF(ISNUMBER(INDEX('Documents'!$E$4:$E$503,_calc!$E$225)),TEXT(INDEX('Documents'!$E$4:$E$503,_calc!$E$225),"yyyy-mm-dd"),""))</f>
        <v/>
      </c>
      <c r="E223" s="43">
        <f>IF(_calc!$E$225="","",IF(LEN(INDEX('Documents'!$N$4:$N$503,_calc!$E$225))=0,"",INDEX('Documents'!$N$4:$N$503,_calc!$E$225)))</f>
        <v/>
      </c>
      <c r="F223" s="43">
        <f>IF(_calc!$E$225="","",TRIM(IF(LEN(IF(LEN(INDEX('Documents'!$B$4:$B$503,_calc!$E$225))=0,"",INDEX('Documents'!$B$4:$B$503,_calc!$E$225)))=0,"","Trade: "&amp;IF(LEN(INDEX('Documents'!$B$4:$B$503,_calc!$E$225))=0,"",INDEX('Documents'!$B$4:$B$503,_calc!$E$225))&amp;". ")&amp;IF(LEN(IF(LEN(INDEX('Documents'!$D$4:$D$503,_calc!$E$225))=0,"",INDEX('Documents'!$D$4:$D$503,_calc!$E$225)))=0,"","Ref: "&amp;IF(LEN(INDEX('Documents'!$D$4:$D$503,_calc!$E$225))=0,"",INDEX('Documents'!$D$4:$D$503,_calc!$E$225))&amp;". ")&amp;IF(LEN(IF(LEN(INDEX('Documents'!$K$4:$K$503,_calc!$E$225))=0,"",INDEX('Documents'!$K$4:$K$503,_calc!$E$225)))=0,"","On file: "&amp;IF(LEN(INDEX('Documents'!$K$4:$K$503,_calc!$E$225))=0,"",INDEX('Documents'!$K$4:$K$503,_calc!$E$225))&amp;". ")&amp;IF(LEN(IF(LEN(INDEX('Documents'!$L$4:$L$503,_calc!$E$225))=0,"",INDEX('Documents'!$L$4:$L$503,_calc!$E$225)))=0,"","Contractor email: "&amp;IF(LEN(INDEX('Documents'!$L$4:$L$503,_calc!$E$225))=0,"",INDEX('Documents'!$L$4:$L$503,_calc!$E$225))&amp;". ")&amp;IF(LEN(IF(LEN(INDEX('Documents'!$P$4:$P$503,_calc!$E$225))=0,"",INDEX('Documents'!$P$4:$P$503,_calc!$E$225)))=0,"",IF(LEN(INDEX('Documents'!$P$4:$P$503,_calc!$E$225))=0,"",INDEX('Documents'!$P$4:$P$503,_calc!$E$225)))))</f>
        <v/>
      </c>
      <c r="G223" s="43">
        <f>IF(_calc!$E$225="","",IF(LEN(INDEX('Documents'!$O$4:$O$503,_calc!$E$225))=0,"",INDEX('Documents'!$O$4:$O$503,_calc!$E$225)))</f>
        <v/>
      </c>
      <c r="K223" s="43">
        <f>IF(_calc!$E$225="","",IF(LEN(INDEX('Documents'!$M$4:$M$503,_calc!$E$225))=0,"",INDEX('Documents'!$M$4:$M$503,_calc!$E$225)))</f>
        <v/>
      </c>
    </row>
    <row r="224">
      <c r="A224" s="43">
        <f>IF(_calc!$E$226="","",IF(LEN(INDEX('Documents'!$C$4:$C$503,_calc!$E$226))=0,"",INDEX('Documents'!$C$4:$C$503,_calc!$E$226))&amp;" – "&amp;IF(LEN(INDEX('Documents'!$A$4:$A$503,_calc!$E$226))=0,"",INDEX('Documents'!$A$4:$A$503,_calc!$E$226)))</f>
        <v/>
      </c>
      <c r="B224" s="43">
        <f>IF(_calc!$E$226="","",IF(ISNUMBER(INDEX('Documents'!$F$4:$F$503,_calc!$E$226)),TEXT(INDEX('Documents'!$F$4:$F$503,_calc!$E$226),"yyyy-mm-dd"),""))</f>
        <v/>
      </c>
      <c r="C224" s="43">
        <f>IF(_calc!$E$226="","","Contractor document")</f>
        <v/>
      </c>
      <c r="D224" s="43">
        <f>IF(_calc!$E$226="","",IF(ISNUMBER(INDEX('Documents'!$E$4:$E$503,_calc!$E$226)),TEXT(INDEX('Documents'!$E$4:$E$503,_calc!$E$226),"yyyy-mm-dd"),""))</f>
        <v/>
      </c>
      <c r="E224" s="43">
        <f>IF(_calc!$E$226="","",IF(LEN(INDEX('Documents'!$N$4:$N$503,_calc!$E$226))=0,"",INDEX('Documents'!$N$4:$N$503,_calc!$E$226)))</f>
        <v/>
      </c>
      <c r="F224" s="43">
        <f>IF(_calc!$E$226="","",TRIM(IF(LEN(IF(LEN(INDEX('Documents'!$B$4:$B$503,_calc!$E$226))=0,"",INDEX('Documents'!$B$4:$B$503,_calc!$E$226)))=0,"","Trade: "&amp;IF(LEN(INDEX('Documents'!$B$4:$B$503,_calc!$E$226))=0,"",INDEX('Documents'!$B$4:$B$503,_calc!$E$226))&amp;". ")&amp;IF(LEN(IF(LEN(INDEX('Documents'!$D$4:$D$503,_calc!$E$226))=0,"",INDEX('Documents'!$D$4:$D$503,_calc!$E$226)))=0,"","Ref: "&amp;IF(LEN(INDEX('Documents'!$D$4:$D$503,_calc!$E$226))=0,"",INDEX('Documents'!$D$4:$D$503,_calc!$E$226))&amp;". ")&amp;IF(LEN(IF(LEN(INDEX('Documents'!$K$4:$K$503,_calc!$E$226))=0,"",INDEX('Documents'!$K$4:$K$503,_calc!$E$226)))=0,"","On file: "&amp;IF(LEN(INDEX('Documents'!$K$4:$K$503,_calc!$E$226))=0,"",INDEX('Documents'!$K$4:$K$503,_calc!$E$226))&amp;". ")&amp;IF(LEN(IF(LEN(INDEX('Documents'!$L$4:$L$503,_calc!$E$226))=0,"",INDEX('Documents'!$L$4:$L$503,_calc!$E$226)))=0,"","Contractor email: "&amp;IF(LEN(INDEX('Documents'!$L$4:$L$503,_calc!$E$226))=0,"",INDEX('Documents'!$L$4:$L$503,_calc!$E$226))&amp;". ")&amp;IF(LEN(IF(LEN(INDEX('Documents'!$P$4:$P$503,_calc!$E$226))=0,"",INDEX('Documents'!$P$4:$P$503,_calc!$E$226)))=0,"",IF(LEN(INDEX('Documents'!$P$4:$P$503,_calc!$E$226))=0,"",INDEX('Documents'!$P$4:$P$503,_calc!$E$226)))))</f>
        <v/>
      </c>
      <c r="G224" s="43">
        <f>IF(_calc!$E$226="","",IF(LEN(INDEX('Documents'!$O$4:$O$503,_calc!$E$226))=0,"",INDEX('Documents'!$O$4:$O$503,_calc!$E$226)))</f>
        <v/>
      </c>
      <c r="K224" s="43">
        <f>IF(_calc!$E$226="","",IF(LEN(INDEX('Documents'!$M$4:$M$503,_calc!$E$226))=0,"",INDEX('Documents'!$M$4:$M$503,_calc!$E$226)))</f>
        <v/>
      </c>
    </row>
    <row r="225">
      <c r="A225" s="43">
        <f>IF(_calc!$E$227="","",IF(LEN(INDEX('Documents'!$C$4:$C$503,_calc!$E$227))=0,"",INDEX('Documents'!$C$4:$C$503,_calc!$E$227))&amp;" – "&amp;IF(LEN(INDEX('Documents'!$A$4:$A$503,_calc!$E$227))=0,"",INDEX('Documents'!$A$4:$A$503,_calc!$E$227)))</f>
        <v/>
      </c>
      <c r="B225" s="43">
        <f>IF(_calc!$E$227="","",IF(ISNUMBER(INDEX('Documents'!$F$4:$F$503,_calc!$E$227)),TEXT(INDEX('Documents'!$F$4:$F$503,_calc!$E$227),"yyyy-mm-dd"),""))</f>
        <v/>
      </c>
      <c r="C225" s="43">
        <f>IF(_calc!$E$227="","","Contractor document")</f>
        <v/>
      </c>
      <c r="D225" s="43">
        <f>IF(_calc!$E$227="","",IF(ISNUMBER(INDEX('Documents'!$E$4:$E$503,_calc!$E$227)),TEXT(INDEX('Documents'!$E$4:$E$503,_calc!$E$227),"yyyy-mm-dd"),""))</f>
        <v/>
      </c>
      <c r="E225" s="43">
        <f>IF(_calc!$E$227="","",IF(LEN(INDEX('Documents'!$N$4:$N$503,_calc!$E$227))=0,"",INDEX('Documents'!$N$4:$N$503,_calc!$E$227)))</f>
        <v/>
      </c>
      <c r="F225" s="43">
        <f>IF(_calc!$E$227="","",TRIM(IF(LEN(IF(LEN(INDEX('Documents'!$B$4:$B$503,_calc!$E$227))=0,"",INDEX('Documents'!$B$4:$B$503,_calc!$E$227)))=0,"","Trade: "&amp;IF(LEN(INDEX('Documents'!$B$4:$B$503,_calc!$E$227))=0,"",INDEX('Documents'!$B$4:$B$503,_calc!$E$227))&amp;". ")&amp;IF(LEN(IF(LEN(INDEX('Documents'!$D$4:$D$503,_calc!$E$227))=0,"",INDEX('Documents'!$D$4:$D$503,_calc!$E$227)))=0,"","Ref: "&amp;IF(LEN(INDEX('Documents'!$D$4:$D$503,_calc!$E$227))=0,"",INDEX('Documents'!$D$4:$D$503,_calc!$E$227))&amp;". ")&amp;IF(LEN(IF(LEN(INDEX('Documents'!$K$4:$K$503,_calc!$E$227))=0,"",INDEX('Documents'!$K$4:$K$503,_calc!$E$227)))=0,"","On file: "&amp;IF(LEN(INDEX('Documents'!$K$4:$K$503,_calc!$E$227))=0,"",INDEX('Documents'!$K$4:$K$503,_calc!$E$227))&amp;". ")&amp;IF(LEN(IF(LEN(INDEX('Documents'!$L$4:$L$503,_calc!$E$227))=0,"",INDEX('Documents'!$L$4:$L$503,_calc!$E$227)))=0,"","Contractor email: "&amp;IF(LEN(INDEX('Documents'!$L$4:$L$503,_calc!$E$227))=0,"",INDEX('Documents'!$L$4:$L$503,_calc!$E$227))&amp;". ")&amp;IF(LEN(IF(LEN(INDEX('Documents'!$P$4:$P$503,_calc!$E$227))=0,"",INDEX('Documents'!$P$4:$P$503,_calc!$E$227)))=0,"",IF(LEN(INDEX('Documents'!$P$4:$P$503,_calc!$E$227))=0,"",INDEX('Documents'!$P$4:$P$503,_calc!$E$227)))))</f>
        <v/>
      </c>
      <c r="G225" s="43">
        <f>IF(_calc!$E$227="","",IF(LEN(INDEX('Documents'!$O$4:$O$503,_calc!$E$227))=0,"",INDEX('Documents'!$O$4:$O$503,_calc!$E$227)))</f>
        <v/>
      </c>
      <c r="K225" s="43">
        <f>IF(_calc!$E$227="","",IF(LEN(INDEX('Documents'!$M$4:$M$503,_calc!$E$227))=0,"",INDEX('Documents'!$M$4:$M$503,_calc!$E$227)))</f>
        <v/>
      </c>
    </row>
    <row r="226">
      <c r="A226" s="43">
        <f>IF(_calc!$E$228="","",IF(LEN(INDEX('Documents'!$C$4:$C$503,_calc!$E$228))=0,"",INDEX('Documents'!$C$4:$C$503,_calc!$E$228))&amp;" – "&amp;IF(LEN(INDEX('Documents'!$A$4:$A$503,_calc!$E$228))=0,"",INDEX('Documents'!$A$4:$A$503,_calc!$E$228)))</f>
        <v/>
      </c>
      <c r="B226" s="43">
        <f>IF(_calc!$E$228="","",IF(ISNUMBER(INDEX('Documents'!$F$4:$F$503,_calc!$E$228)),TEXT(INDEX('Documents'!$F$4:$F$503,_calc!$E$228),"yyyy-mm-dd"),""))</f>
        <v/>
      </c>
      <c r="C226" s="43">
        <f>IF(_calc!$E$228="","","Contractor document")</f>
        <v/>
      </c>
      <c r="D226" s="43">
        <f>IF(_calc!$E$228="","",IF(ISNUMBER(INDEX('Documents'!$E$4:$E$503,_calc!$E$228)),TEXT(INDEX('Documents'!$E$4:$E$503,_calc!$E$228),"yyyy-mm-dd"),""))</f>
        <v/>
      </c>
      <c r="E226" s="43">
        <f>IF(_calc!$E$228="","",IF(LEN(INDEX('Documents'!$N$4:$N$503,_calc!$E$228))=0,"",INDEX('Documents'!$N$4:$N$503,_calc!$E$228)))</f>
        <v/>
      </c>
      <c r="F226" s="43">
        <f>IF(_calc!$E$228="","",TRIM(IF(LEN(IF(LEN(INDEX('Documents'!$B$4:$B$503,_calc!$E$228))=0,"",INDEX('Documents'!$B$4:$B$503,_calc!$E$228)))=0,"","Trade: "&amp;IF(LEN(INDEX('Documents'!$B$4:$B$503,_calc!$E$228))=0,"",INDEX('Documents'!$B$4:$B$503,_calc!$E$228))&amp;". ")&amp;IF(LEN(IF(LEN(INDEX('Documents'!$D$4:$D$503,_calc!$E$228))=0,"",INDEX('Documents'!$D$4:$D$503,_calc!$E$228)))=0,"","Ref: "&amp;IF(LEN(INDEX('Documents'!$D$4:$D$503,_calc!$E$228))=0,"",INDEX('Documents'!$D$4:$D$503,_calc!$E$228))&amp;". ")&amp;IF(LEN(IF(LEN(INDEX('Documents'!$K$4:$K$503,_calc!$E$228))=0,"",INDEX('Documents'!$K$4:$K$503,_calc!$E$228)))=0,"","On file: "&amp;IF(LEN(INDEX('Documents'!$K$4:$K$503,_calc!$E$228))=0,"",INDEX('Documents'!$K$4:$K$503,_calc!$E$228))&amp;". ")&amp;IF(LEN(IF(LEN(INDEX('Documents'!$L$4:$L$503,_calc!$E$228))=0,"",INDEX('Documents'!$L$4:$L$503,_calc!$E$228)))=0,"","Contractor email: "&amp;IF(LEN(INDEX('Documents'!$L$4:$L$503,_calc!$E$228))=0,"",INDEX('Documents'!$L$4:$L$503,_calc!$E$228))&amp;". ")&amp;IF(LEN(IF(LEN(INDEX('Documents'!$P$4:$P$503,_calc!$E$228))=0,"",INDEX('Documents'!$P$4:$P$503,_calc!$E$228)))=0,"",IF(LEN(INDEX('Documents'!$P$4:$P$503,_calc!$E$228))=0,"",INDEX('Documents'!$P$4:$P$503,_calc!$E$228)))))</f>
        <v/>
      </c>
      <c r="G226" s="43">
        <f>IF(_calc!$E$228="","",IF(LEN(INDEX('Documents'!$O$4:$O$503,_calc!$E$228))=0,"",INDEX('Documents'!$O$4:$O$503,_calc!$E$228)))</f>
        <v/>
      </c>
      <c r="K226" s="43">
        <f>IF(_calc!$E$228="","",IF(LEN(INDEX('Documents'!$M$4:$M$503,_calc!$E$228))=0,"",INDEX('Documents'!$M$4:$M$503,_calc!$E$228)))</f>
        <v/>
      </c>
    </row>
    <row r="227">
      <c r="A227" s="43">
        <f>IF(_calc!$E$229="","",IF(LEN(INDEX('Documents'!$C$4:$C$503,_calc!$E$229))=0,"",INDEX('Documents'!$C$4:$C$503,_calc!$E$229))&amp;" – "&amp;IF(LEN(INDEX('Documents'!$A$4:$A$503,_calc!$E$229))=0,"",INDEX('Documents'!$A$4:$A$503,_calc!$E$229)))</f>
        <v/>
      </c>
      <c r="B227" s="43">
        <f>IF(_calc!$E$229="","",IF(ISNUMBER(INDEX('Documents'!$F$4:$F$503,_calc!$E$229)),TEXT(INDEX('Documents'!$F$4:$F$503,_calc!$E$229),"yyyy-mm-dd"),""))</f>
        <v/>
      </c>
      <c r="C227" s="43">
        <f>IF(_calc!$E$229="","","Contractor document")</f>
        <v/>
      </c>
      <c r="D227" s="43">
        <f>IF(_calc!$E$229="","",IF(ISNUMBER(INDEX('Documents'!$E$4:$E$503,_calc!$E$229)),TEXT(INDEX('Documents'!$E$4:$E$503,_calc!$E$229),"yyyy-mm-dd"),""))</f>
        <v/>
      </c>
      <c r="E227" s="43">
        <f>IF(_calc!$E$229="","",IF(LEN(INDEX('Documents'!$N$4:$N$503,_calc!$E$229))=0,"",INDEX('Documents'!$N$4:$N$503,_calc!$E$229)))</f>
        <v/>
      </c>
      <c r="F227" s="43">
        <f>IF(_calc!$E$229="","",TRIM(IF(LEN(IF(LEN(INDEX('Documents'!$B$4:$B$503,_calc!$E$229))=0,"",INDEX('Documents'!$B$4:$B$503,_calc!$E$229)))=0,"","Trade: "&amp;IF(LEN(INDEX('Documents'!$B$4:$B$503,_calc!$E$229))=0,"",INDEX('Documents'!$B$4:$B$503,_calc!$E$229))&amp;". ")&amp;IF(LEN(IF(LEN(INDEX('Documents'!$D$4:$D$503,_calc!$E$229))=0,"",INDEX('Documents'!$D$4:$D$503,_calc!$E$229)))=0,"","Ref: "&amp;IF(LEN(INDEX('Documents'!$D$4:$D$503,_calc!$E$229))=0,"",INDEX('Documents'!$D$4:$D$503,_calc!$E$229))&amp;". ")&amp;IF(LEN(IF(LEN(INDEX('Documents'!$K$4:$K$503,_calc!$E$229))=0,"",INDEX('Documents'!$K$4:$K$503,_calc!$E$229)))=0,"","On file: "&amp;IF(LEN(INDEX('Documents'!$K$4:$K$503,_calc!$E$229))=0,"",INDEX('Documents'!$K$4:$K$503,_calc!$E$229))&amp;". ")&amp;IF(LEN(IF(LEN(INDEX('Documents'!$L$4:$L$503,_calc!$E$229))=0,"",INDEX('Documents'!$L$4:$L$503,_calc!$E$229)))=0,"","Contractor email: "&amp;IF(LEN(INDEX('Documents'!$L$4:$L$503,_calc!$E$229))=0,"",INDEX('Documents'!$L$4:$L$503,_calc!$E$229))&amp;". ")&amp;IF(LEN(IF(LEN(INDEX('Documents'!$P$4:$P$503,_calc!$E$229))=0,"",INDEX('Documents'!$P$4:$P$503,_calc!$E$229)))=0,"",IF(LEN(INDEX('Documents'!$P$4:$P$503,_calc!$E$229))=0,"",INDEX('Documents'!$P$4:$P$503,_calc!$E$229)))))</f>
        <v/>
      </c>
      <c r="G227" s="43">
        <f>IF(_calc!$E$229="","",IF(LEN(INDEX('Documents'!$O$4:$O$503,_calc!$E$229))=0,"",INDEX('Documents'!$O$4:$O$503,_calc!$E$229)))</f>
        <v/>
      </c>
      <c r="K227" s="43">
        <f>IF(_calc!$E$229="","",IF(LEN(INDEX('Documents'!$M$4:$M$503,_calc!$E$229))=0,"",INDEX('Documents'!$M$4:$M$503,_calc!$E$229)))</f>
        <v/>
      </c>
    </row>
    <row r="228">
      <c r="A228" s="43">
        <f>IF(_calc!$E$230="","",IF(LEN(INDEX('Documents'!$C$4:$C$503,_calc!$E$230))=0,"",INDEX('Documents'!$C$4:$C$503,_calc!$E$230))&amp;" – "&amp;IF(LEN(INDEX('Documents'!$A$4:$A$503,_calc!$E$230))=0,"",INDEX('Documents'!$A$4:$A$503,_calc!$E$230)))</f>
        <v/>
      </c>
      <c r="B228" s="43">
        <f>IF(_calc!$E$230="","",IF(ISNUMBER(INDEX('Documents'!$F$4:$F$503,_calc!$E$230)),TEXT(INDEX('Documents'!$F$4:$F$503,_calc!$E$230),"yyyy-mm-dd"),""))</f>
        <v/>
      </c>
      <c r="C228" s="43">
        <f>IF(_calc!$E$230="","","Contractor document")</f>
        <v/>
      </c>
      <c r="D228" s="43">
        <f>IF(_calc!$E$230="","",IF(ISNUMBER(INDEX('Documents'!$E$4:$E$503,_calc!$E$230)),TEXT(INDEX('Documents'!$E$4:$E$503,_calc!$E$230),"yyyy-mm-dd"),""))</f>
        <v/>
      </c>
      <c r="E228" s="43">
        <f>IF(_calc!$E$230="","",IF(LEN(INDEX('Documents'!$N$4:$N$503,_calc!$E$230))=0,"",INDEX('Documents'!$N$4:$N$503,_calc!$E$230)))</f>
        <v/>
      </c>
      <c r="F228" s="43">
        <f>IF(_calc!$E$230="","",TRIM(IF(LEN(IF(LEN(INDEX('Documents'!$B$4:$B$503,_calc!$E$230))=0,"",INDEX('Documents'!$B$4:$B$503,_calc!$E$230)))=0,"","Trade: "&amp;IF(LEN(INDEX('Documents'!$B$4:$B$503,_calc!$E$230))=0,"",INDEX('Documents'!$B$4:$B$503,_calc!$E$230))&amp;". ")&amp;IF(LEN(IF(LEN(INDEX('Documents'!$D$4:$D$503,_calc!$E$230))=0,"",INDEX('Documents'!$D$4:$D$503,_calc!$E$230)))=0,"","Ref: "&amp;IF(LEN(INDEX('Documents'!$D$4:$D$503,_calc!$E$230))=0,"",INDEX('Documents'!$D$4:$D$503,_calc!$E$230))&amp;". ")&amp;IF(LEN(IF(LEN(INDEX('Documents'!$K$4:$K$503,_calc!$E$230))=0,"",INDEX('Documents'!$K$4:$K$503,_calc!$E$230)))=0,"","On file: "&amp;IF(LEN(INDEX('Documents'!$K$4:$K$503,_calc!$E$230))=0,"",INDEX('Documents'!$K$4:$K$503,_calc!$E$230))&amp;". ")&amp;IF(LEN(IF(LEN(INDEX('Documents'!$L$4:$L$503,_calc!$E$230))=0,"",INDEX('Documents'!$L$4:$L$503,_calc!$E$230)))=0,"","Contractor email: "&amp;IF(LEN(INDEX('Documents'!$L$4:$L$503,_calc!$E$230))=0,"",INDEX('Documents'!$L$4:$L$503,_calc!$E$230))&amp;". ")&amp;IF(LEN(IF(LEN(INDEX('Documents'!$P$4:$P$503,_calc!$E$230))=0,"",INDEX('Documents'!$P$4:$P$503,_calc!$E$230)))=0,"",IF(LEN(INDEX('Documents'!$P$4:$P$503,_calc!$E$230))=0,"",INDEX('Documents'!$P$4:$P$503,_calc!$E$230)))))</f>
        <v/>
      </c>
      <c r="G228" s="43">
        <f>IF(_calc!$E$230="","",IF(LEN(INDEX('Documents'!$O$4:$O$503,_calc!$E$230))=0,"",INDEX('Documents'!$O$4:$O$503,_calc!$E$230)))</f>
        <v/>
      </c>
      <c r="K228" s="43">
        <f>IF(_calc!$E$230="","",IF(LEN(INDEX('Documents'!$M$4:$M$503,_calc!$E$230))=0,"",INDEX('Documents'!$M$4:$M$503,_calc!$E$230)))</f>
        <v/>
      </c>
    </row>
    <row r="229">
      <c r="A229" s="43">
        <f>IF(_calc!$E$231="","",IF(LEN(INDEX('Documents'!$C$4:$C$503,_calc!$E$231))=0,"",INDEX('Documents'!$C$4:$C$503,_calc!$E$231))&amp;" – "&amp;IF(LEN(INDEX('Documents'!$A$4:$A$503,_calc!$E$231))=0,"",INDEX('Documents'!$A$4:$A$503,_calc!$E$231)))</f>
        <v/>
      </c>
      <c r="B229" s="43">
        <f>IF(_calc!$E$231="","",IF(ISNUMBER(INDEX('Documents'!$F$4:$F$503,_calc!$E$231)),TEXT(INDEX('Documents'!$F$4:$F$503,_calc!$E$231),"yyyy-mm-dd"),""))</f>
        <v/>
      </c>
      <c r="C229" s="43">
        <f>IF(_calc!$E$231="","","Contractor document")</f>
        <v/>
      </c>
      <c r="D229" s="43">
        <f>IF(_calc!$E$231="","",IF(ISNUMBER(INDEX('Documents'!$E$4:$E$503,_calc!$E$231)),TEXT(INDEX('Documents'!$E$4:$E$503,_calc!$E$231),"yyyy-mm-dd"),""))</f>
        <v/>
      </c>
      <c r="E229" s="43">
        <f>IF(_calc!$E$231="","",IF(LEN(INDEX('Documents'!$N$4:$N$503,_calc!$E$231))=0,"",INDEX('Documents'!$N$4:$N$503,_calc!$E$231)))</f>
        <v/>
      </c>
      <c r="F229" s="43">
        <f>IF(_calc!$E$231="","",TRIM(IF(LEN(IF(LEN(INDEX('Documents'!$B$4:$B$503,_calc!$E$231))=0,"",INDEX('Documents'!$B$4:$B$503,_calc!$E$231)))=0,"","Trade: "&amp;IF(LEN(INDEX('Documents'!$B$4:$B$503,_calc!$E$231))=0,"",INDEX('Documents'!$B$4:$B$503,_calc!$E$231))&amp;". ")&amp;IF(LEN(IF(LEN(INDEX('Documents'!$D$4:$D$503,_calc!$E$231))=0,"",INDEX('Documents'!$D$4:$D$503,_calc!$E$231)))=0,"","Ref: "&amp;IF(LEN(INDEX('Documents'!$D$4:$D$503,_calc!$E$231))=0,"",INDEX('Documents'!$D$4:$D$503,_calc!$E$231))&amp;". ")&amp;IF(LEN(IF(LEN(INDEX('Documents'!$K$4:$K$503,_calc!$E$231))=0,"",INDEX('Documents'!$K$4:$K$503,_calc!$E$231)))=0,"","On file: "&amp;IF(LEN(INDEX('Documents'!$K$4:$K$503,_calc!$E$231))=0,"",INDEX('Documents'!$K$4:$K$503,_calc!$E$231))&amp;". ")&amp;IF(LEN(IF(LEN(INDEX('Documents'!$L$4:$L$503,_calc!$E$231))=0,"",INDEX('Documents'!$L$4:$L$503,_calc!$E$231)))=0,"","Contractor email: "&amp;IF(LEN(INDEX('Documents'!$L$4:$L$503,_calc!$E$231))=0,"",INDEX('Documents'!$L$4:$L$503,_calc!$E$231))&amp;". ")&amp;IF(LEN(IF(LEN(INDEX('Documents'!$P$4:$P$503,_calc!$E$231))=0,"",INDEX('Documents'!$P$4:$P$503,_calc!$E$231)))=0,"",IF(LEN(INDEX('Documents'!$P$4:$P$503,_calc!$E$231))=0,"",INDEX('Documents'!$P$4:$P$503,_calc!$E$231)))))</f>
        <v/>
      </c>
      <c r="G229" s="43">
        <f>IF(_calc!$E$231="","",IF(LEN(INDEX('Documents'!$O$4:$O$503,_calc!$E$231))=0,"",INDEX('Documents'!$O$4:$O$503,_calc!$E$231)))</f>
        <v/>
      </c>
      <c r="K229" s="43">
        <f>IF(_calc!$E$231="","",IF(LEN(INDEX('Documents'!$M$4:$M$503,_calc!$E$231))=0,"",INDEX('Documents'!$M$4:$M$503,_calc!$E$231)))</f>
        <v/>
      </c>
    </row>
    <row r="230">
      <c r="A230" s="43">
        <f>IF(_calc!$E$232="","",IF(LEN(INDEX('Documents'!$C$4:$C$503,_calc!$E$232))=0,"",INDEX('Documents'!$C$4:$C$503,_calc!$E$232))&amp;" – "&amp;IF(LEN(INDEX('Documents'!$A$4:$A$503,_calc!$E$232))=0,"",INDEX('Documents'!$A$4:$A$503,_calc!$E$232)))</f>
        <v/>
      </c>
      <c r="B230" s="43">
        <f>IF(_calc!$E$232="","",IF(ISNUMBER(INDEX('Documents'!$F$4:$F$503,_calc!$E$232)),TEXT(INDEX('Documents'!$F$4:$F$503,_calc!$E$232),"yyyy-mm-dd"),""))</f>
        <v/>
      </c>
      <c r="C230" s="43">
        <f>IF(_calc!$E$232="","","Contractor document")</f>
        <v/>
      </c>
      <c r="D230" s="43">
        <f>IF(_calc!$E$232="","",IF(ISNUMBER(INDEX('Documents'!$E$4:$E$503,_calc!$E$232)),TEXT(INDEX('Documents'!$E$4:$E$503,_calc!$E$232),"yyyy-mm-dd"),""))</f>
        <v/>
      </c>
      <c r="E230" s="43">
        <f>IF(_calc!$E$232="","",IF(LEN(INDEX('Documents'!$N$4:$N$503,_calc!$E$232))=0,"",INDEX('Documents'!$N$4:$N$503,_calc!$E$232)))</f>
        <v/>
      </c>
      <c r="F230" s="43">
        <f>IF(_calc!$E$232="","",TRIM(IF(LEN(IF(LEN(INDEX('Documents'!$B$4:$B$503,_calc!$E$232))=0,"",INDEX('Documents'!$B$4:$B$503,_calc!$E$232)))=0,"","Trade: "&amp;IF(LEN(INDEX('Documents'!$B$4:$B$503,_calc!$E$232))=0,"",INDEX('Documents'!$B$4:$B$503,_calc!$E$232))&amp;". ")&amp;IF(LEN(IF(LEN(INDEX('Documents'!$D$4:$D$503,_calc!$E$232))=0,"",INDEX('Documents'!$D$4:$D$503,_calc!$E$232)))=0,"","Ref: "&amp;IF(LEN(INDEX('Documents'!$D$4:$D$503,_calc!$E$232))=0,"",INDEX('Documents'!$D$4:$D$503,_calc!$E$232))&amp;". ")&amp;IF(LEN(IF(LEN(INDEX('Documents'!$K$4:$K$503,_calc!$E$232))=0,"",INDEX('Documents'!$K$4:$K$503,_calc!$E$232)))=0,"","On file: "&amp;IF(LEN(INDEX('Documents'!$K$4:$K$503,_calc!$E$232))=0,"",INDEX('Documents'!$K$4:$K$503,_calc!$E$232))&amp;". ")&amp;IF(LEN(IF(LEN(INDEX('Documents'!$L$4:$L$503,_calc!$E$232))=0,"",INDEX('Documents'!$L$4:$L$503,_calc!$E$232)))=0,"","Contractor email: "&amp;IF(LEN(INDEX('Documents'!$L$4:$L$503,_calc!$E$232))=0,"",INDEX('Documents'!$L$4:$L$503,_calc!$E$232))&amp;". ")&amp;IF(LEN(IF(LEN(INDEX('Documents'!$P$4:$P$503,_calc!$E$232))=0,"",INDEX('Documents'!$P$4:$P$503,_calc!$E$232)))=0,"",IF(LEN(INDEX('Documents'!$P$4:$P$503,_calc!$E$232))=0,"",INDEX('Documents'!$P$4:$P$503,_calc!$E$232)))))</f>
        <v/>
      </c>
      <c r="G230" s="43">
        <f>IF(_calc!$E$232="","",IF(LEN(INDEX('Documents'!$O$4:$O$503,_calc!$E$232))=0,"",INDEX('Documents'!$O$4:$O$503,_calc!$E$232)))</f>
        <v/>
      </c>
      <c r="K230" s="43">
        <f>IF(_calc!$E$232="","",IF(LEN(INDEX('Documents'!$M$4:$M$503,_calc!$E$232))=0,"",INDEX('Documents'!$M$4:$M$503,_calc!$E$232)))</f>
        <v/>
      </c>
    </row>
    <row r="231">
      <c r="A231" s="43">
        <f>IF(_calc!$E$233="","",IF(LEN(INDEX('Documents'!$C$4:$C$503,_calc!$E$233))=0,"",INDEX('Documents'!$C$4:$C$503,_calc!$E$233))&amp;" – "&amp;IF(LEN(INDEX('Documents'!$A$4:$A$503,_calc!$E$233))=0,"",INDEX('Documents'!$A$4:$A$503,_calc!$E$233)))</f>
        <v/>
      </c>
      <c r="B231" s="43">
        <f>IF(_calc!$E$233="","",IF(ISNUMBER(INDEX('Documents'!$F$4:$F$503,_calc!$E$233)),TEXT(INDEX('Documents'!$F$4:$F$503,_calc!$E$233),"yyyy-mm-dd"),""))</f>
        <v/>
      </c>
      <c r="C231" s="43">
        <f>IF(_calc!$E$233="","","Contractor document")</f>
        <v/>
      </c>
      <c r="D231" s="43">
        <f>IF(_calc!$E$233="","",IF(ISNUMBER(INDEX('Documents'!$E$4:$E$503,_calc!$E$233)),TEXT(INDEX('Documents'!$E$4:$E$503,_calc!$E$233),"yyyy-mm-dd"),""))</f>
        <v/>
      </c>
      <c r="E231" s="43">
        <f>IF(_calc!$E$233="","",IF(LEN(INDEX('Documents'!$N$4:$N$503,_calc!$E$233))=0,"",INDEX('Documents'!$N$4:$N$503,_calc!$E$233)))</f>
        <v/>
      </c>
      <c r="F231" s="43">
        <f>IF(_calc!$E$233="","",TRIM(IF(LEN(IF(LEN(INDEX('Documents'!$B$4:$B$503,_calc!$E$233))=0,"",INDEX('Documents'!$B$4:$B$503,_calc!$E$233)))=0,"","Trade: "&amp;IF(LEN(INDEX('Documents'!$B$4:$B$503,_calc!$E$233))=0,"",INDEX('Documents'!$B$4:$B$503,_calc!$E$233))&amp;". ")&amp;IF(LEN(IF(LEN(INDEX('Documents'!$D$4:$D$503,_calc!$E$233))=0,"",INDEX('Documents'!$D$4:$D$503,_calc!$E$233)))=0,"","Ref: "&amp;IF(LEN(INDEX('Documents'!$D$4:$D$503,_calc!$E$233))=0,"",INDEX('Documents'!$D$4:$D$503,_calc!$E$233))&amp;". ")&amp;IF(LEN(IF(LEN(INDEX('Documents'!$K$4:$K$503,_calc!$E$233))=0,"",INDEX('Documents'!$K$4:$K$503,_calc!$E$233)))=0,"","On file: "&amp;IF(LEN(INDEX('Documents'!$K$4:$K$503,_calc!$E$233))=0,"",INDEX('Documents'!$K$4:$K$503,_calc!$E$233))&amp;". ")&amp;IF(LEN(IF(LEN(INDEX('Documents'!$L$4:$L$503,_calc!$E$233))=0,"",INDEX('Documents'!$L$4:$L$503,_calc!$E$233)))=0,"","Contractor email: "&amp;IF(LEN(INDEX('Documents'!$L$4:$L$503,_calc!$E$233))=0,"",INDEX('Documents'!$L$4:$L$503,_calc!$E$233))&amp;". ")&amp;IF(LEN(IF(LEN(INDEX('Documents'!$P$4:$P$503,_calc!$E$233))=0,"",INDEX('Documents'!$P$4:$P$503,_calc!$E$233)))=0,"",IF(LEN(INDEX('Documents'!$P$4:$P$503,_calc!$E$233))=0,"",INDEX('Documents'!$P$4:$P$503,_calc!$E$233)))))</f>
        <v/>
      </c>
      <c r="G231" s="43">
        <f>IF(_calc!$E$233="","",IF(LEN(INDEX('Documents'!$O$4:$O$503,_calc!$E$233))=0,"",INDEX('Documents'!$O$4:$O$503,_calc!$E$233)))</f>
        <v/>
      </c>
      <c r="K231" s="43">
        <f>IF(_calc!$E$233="","",IF(LEN(INDEX('Documents'!$M$4:$M$503,_calc!$E$233))=0,"",INDEX('Documents'!$M$4:$M$503,_calc!$E$233)))</f>
        <v/>
      </c>
    </row>
    <row r="232">
      <c r="A232" s="43">
        <f>IF(_calc!$E$234="","",IF(LEN(INDEX('Documents'!$C$4:$C$503,_calc!$E$234))=0,"",INDEX('Documents'!$C$4:$C$503,_calc!$E$234))&amp;" – "&amp;IF(LEN(INDEX('Documents'!$A$4:$A$503,_calc!$E$234))=0,"",INDEX('Documents'!$A$4:$A$503,_calc!$E$234)))</f>
        <v/>
      </c>
      <c r="B232" s="43">
        <f>IF(_calc!$E$234="","",IF(ISNUMBER(INDEX('Documents'!$F$4:$F$503,_calc!$E$234)),TEXT(INDEX('Documents'!$F$4:$F$503,_calc!$E$234),"yyyy-mm-dd"),""))</f>
        <v/>
      </c>
      <c r="C232" s="43">
        <f>IF(_calc!$E$234="","","Contractor document")</f>
        <v/>
      </c>
      <c r="D232" s="43">
        <f>IF(_calc!$E$234="","",IF(ISNUMBER(INDEX('Documents'!$E$4:$E$503,_calc!$E$234)),TEXT(INDEX('Documents'!$E$4:$E$503,_calc!$E$234),"yyyy-mm-dd"),""))</f>
        <v/>
      </c>
      <c r="E232" s="43">
        <f>IF(_calc!$E$234="","",IF(LEN(INDEX('Documents'!$N$4:$N$503,_calc!$E$234))=0,"",INDEX('Documents'!$N$4:$N$503,_calc!$E$234)))</f>
        <v/>
      </c>
      <c r="F232" s="43">
        <f>IF(_calc!$E$234="","",TRIM(IF(LEN(IF(LEN(INDEX('Documents'!$B$4:$B$503,_calc!$E$234))=0,"",INDEX('Documents'!$B$4:$B$503,_calc!$E$234)))=0,"","Trade: "&amp;IF(LEN(INDEX('Documents'!$B$4:$B$503,_calc!$E$234))=0,"",INDEX('Documents'!$B$4:$B$503,_calc!$E$234))&amp;". ")&amp;IF(LEN(IF(LEN(INDEX('Documents'!$D$4:$D$503,_calc!$E$234))=0,"",INDEX('Documents'!$D$4:$D$503,_calc!$E$234)))=0,"","Ref: "&amp;IF(LEN(INDEX('Documents'!$D$4:$D$503,_calc!$E$234))=0,"",INDEX('Documents'!$D$4:$D$503,_calc!$E$234))&amp;". ")&amp;IF(LEN(IF(LEN(INDEX('Documents'!$K$4:$K$503,_calc!$E$234))=0,"",INDEX('Documents'!$K$4:$K$503,_calc!$E$234)))=0,"","On file: "&amp;IF(LEN(INDEX('Documents'!$K$4:$K$503,_calc!$E$234))=0,"",INDEX('Documents'!$K$4:$K$503,_calc!$E$234))&amp;". ")&amp;IF(LEN(IF(LEN(INDEX('Documents'!$L$4:$L$503,_calc!$E$234))=0,"",INDEX('Documents'!$L$4:$L$503,_calc!$E$234)))=0,"","Contractor email: "&amp;IF(LEN(INDEX('Documents'!$L$4:$L$503,_calc!$E$234))=0,"",INDEX('Documents'!$L$4:$L$503,_calc!$E$234))&amp;". ")&amp;IF(LEN(IF(LEN(INDEX('Documents'!$P$4:$P$503,_calc!$E$234))=0,"",INDEX('Documents'!$P$4:$P$503,_calc!$E$234)))=0,"",IF(LEN(INDEX('Documents'!$P$4:$P$503,_calc!$E$234))=0,"",INDEX('Documents'!$P$4:$P$503,_calc!$E$234)))))</f>
        <v/>
      </c>
      <c r="G232" s="43">
        <f>IF(_calc!$E$234="","",IF(LEN(INDEX('Documents'!$O$4:$O$503,_calc!$E$234))=0,"",INDEX('Documents'!$O$4:$O$503,_calc!$E$234)))</f>
        <v/>
      </c>
      <c r="K232" s="43">
        <f>IF(_calc!$E$234="","",IF(LEN(INDEX('Documents'!$M$4:$M$503,_calc!$E$234))=0,"",INDEX('Documents'!$M$4:$M$503,_calc!$E$234)))</f>
        <v/>
      </c>
    </row>
    <row r="233">
      <c r="A233" s="43">
        <f>IF(_calc!$E$235="","",IF(LEN(INDEX('Documents'!$C$4:$C$503,_calc!$E$235))=0,"",INDEX('Documents'!$C$4:$C$503,_calc!$E$235))&amp;" – "&amp;IF(LEN(INDEX('Documents'!$A$4:$A$503,_calc!$E$235))=0,"",INDEX('Documents'!$A$4:$A$503,_calc!$E$235)))</f>
        <v/>
      </c>
      <c r="B233" s="43">
        <f>IF(_calc!$E$235="","",IF(ISNUMBER(INDEX('Documents'!$F$4:$F$503,_calc!$E$235)),TEXT(INDEX('Documents'!$F$4:$F$503,_calc!$E$235),"yyyy-mm-dd"),""))</f>
        <v/>
      </c>
      <c r="C233" s="43">
        <f>IF(_calc!$E$235="","","Contractor document")</f>
        <v/>
      </c>
      <c r="D233" s="43">
        <f>IF(_calc!$E$235="","",IF(ISNUMBER(INDEX('Documents'!$E$4:$E$503,_calc!$E$235)),TEXT(INDEX('Documents'!$E$4:$E$503,_calc!$E$235),"yyyy-mm-dd"),""))</f>
        <v/>
      </c>
      <c r="E233" s="43">
        <f>IF(_calc!$E$235="","",IF(LEN(INDEX('Documents'!$N$4:$N$503,_calc!$E$235))=0,"",INDEX('Documents'!$N$4:$N$503,_calc!$E$235)))</f>
        <v/>
      </c>
      <c r="F233" s="43">
        <f>IF(_calc!$E$235="","",TRIM(IF(LEN(IF(LEN(INDEX('Documents'!$B$4:$B$503,_calc!$E$235))=0,"",INDEX('Documents'!$B$4:$B$503,_calc!$E$235)))=0,"","Trade: "&amp;IF(LEN(INDEX('Documents'!$B$4:$B$503,_calc!$E$235))=0,"",INDEX('Documents'!$B$4:$B$503,_calc!$E$235))&amp;". ")&amp;IF(LEN(IF(LEN(INDEX('Documents'!$D$4:$D$503,_calc!$E$235))=0,"",INDEX('Documents'!$D$4:$D$503,_calc!$E$235)))=0,"","Ref: "&amp;IF(LEN(INDEX('Documents'!$D$4:$D$503,_calc!$E$235))=0,"",INDEX('Documents'!$D$4:$D$503,_calc!$E$235))&amp;". ")&amp;IF(LEN(IF(LEN(INDEX('Documents'!$K$4:$K$503,_calc!$E$235))=0,"",INDEX('Documents'!$K$4:$K$503,_calc!$E$235)))=0,"","On file: "&amp;IF(LEN(INDEX('Documents'!$K$4:$K$503,_calc!$E$235))=0,"",INDEX('Documents'!$K$4:$K$503,_calc!$E$235))&amp;". ")&amp;IF(LEN(IF(LEN(INDEX('Documents'!$L$4:$L$503,_calc!$E$235))=0,"",INDEX('Documents'!$L$4:$L$503,_calc!$E$235)))=0,"","Contractor email: "&amp;IF(LEN(INDEX('Documents'!$L$4:$L$503,_calc!$E$235))=0,"",INDEX('Documents'!$L$4:$L$503,_calc!$E$235))&amp;". ")&amp;IF(LEN(IF(LEN(INDEX('Documents'!$P$4:$P$503,_calc!$E$235))=0,"",INDEX('Documents'!$P$4:$P$503,_calc!$E$235)))=0,"",IF(LEN(INDEX('Documents'!$P$4:$P$503,_calc!$E$235))=0,"",INDEX('Documents'!$P$4:$P$503,_calc!$E$235)))))</f>
        <v/>
      </c>
      <c r="G233" s="43">
        <f>IF(_calc!$E$235="","",IF(LEN(INDEX('Documents'!$O$4:$O$503,_calc!$E$235))=0,"",INDEX('Documents'!$O$4:$O$503,_calc!$E$235)))</f>
        <v/>
      </c>
      <c r="K233" s="43">
        <f>IF(_calc!$E$235="","",IF(LEN(INDEX('Documents'!$M$4:$M$503,_calc!$E$235))=0,"",INDEX('Documents'!$M$4:$M$503,_calc!$E$235)))</f>
        <v/>
      </c>
    </row>
    <row r="234">
      <c r="A234" s="43">
        <f>IF(_calc!$E$236="","",IF(LEN(INDEX('Documents'!$C$4:$C$503,_calc!$E$236))=0,"",INDEX('Documents'!$C$4:$C$503,_calc!$E$236))&amp;" – "&amp;IF(LEN(INDEX('Documents'!$A$4:$A$503,_calc!$E$236))=0,"",INDEX('Documents'!$A$4:$A$503,_calc!$E$236)))</f>
        <v/>
      </c>
      <c r="B234" s="43">
        <f>IF(_calc!$E$236="","",IF(ISNUMBER(INDEX('Documents'!$F$4:$F$503,_calc!$E$236)),TEXT(INDEX('Documents'!$F$4:$F$503,_calc!$E$236),"yyyy-mm-dd"),""))</f>
        <v/>
      </c>
      <c r="C234" s="43">
        <f>IF(_calc!$E$236="","","Contractor document")</f>
        <v/>
      </c>
      <c r="D234" s="43">
        <f>IF(_calc!$E$236="","",IF(ISNUMBER(INDEX('Documents'!$E$4:$E$503,_calc!$E$236)),TEXT(INDEX('Documents'!$E$4:$E$503,_calc!$E$236),"yyyy-mm-dd"),""))</f>
        <v/>
      </c>
      <c r="E234" s="43">
        <f>IF(_calc!$E$236="","",IF(LEN(INDEX('Documents'!$N$4:$N$503,_calc!$E$236))=0,"",INDEX('Documents'!$N$4:$N$503,_calc!$E$236)))</f>
        <v/>
      </c>
      <c r="F234" s="43">
        <f>IF(_calc!$E$236="","",TRIM(IF(LEN(IF(LEN(INDEX('Documents'!$B$4:$B$503,_calc!$E$236))=0,"",INDEX('Documents'!$B$4:$B$503,_calc!$E$236)))=0,"","Trade: "&amp;IF(LEN(INDEX('Documents'!$B$4:$B$503,_calc!$E$236))=0,"",INDEX('Documents'!$B$4:$B$503,_calc!$E$236))&amp;". ")&amp;IF(LEN(IF(LEN(INDEX('Documents'!$D$4:$D$503,_calc!$E$236))=0,"",INDEX('Documents'!$D$4:$D$503,_calc!$E$236)))=0,"","Ref: "&amp;IF(LEN(INDEX('Documents'!$D$4:$D$503,_calc!$E$236))=0,"",INDEX('Documents'!$D$4:$D$503,_calc!$E$236))&amp;". ")&amp;IF(LEN(IF(LEN(INDEX('Documents'!$K$4:$K$503,_calc!$E$236))=0,"",INDEX('Documents'!$K$4:$K$503,_calc!$E$236)))=0,"","On file: "&amp;IF(LEN(INDEX('Documents'!$K$4:$K$503,_calc!$E$236))=0,"",INDEX('Documents'!$K$4:$K$503,_calc!$E$236))&amp;". ")&amp;IF(LEN(IF(LEN(INDEX('Documents'!$L$4:$L$503,_calc!$E$236))=0,"",INDEX('Documents'!$L$4:$L$503,_calc!$E$236)))=0,"","Contractor email: "&amp;IF(LEN(INDEX('Documents'!$L$4:$L$503,_calc!$E$236))=0,"",INDEX('Documents'!$L$4:$L$503,_calc!$E$236))&amp;". ")&amp;IF(LEN(IF(LEN(INDEX('Documents'!$P$4:$P$503,_calc!$E$236))=0,"",INDEX('Documents'!$P$4:$P$503,_calc!$E$236)))=0,"",IF(LEN(INDEX('Documents'!$P$4:$P$503,_calc!$E$236))=0,"",INDEX('Documents'!$P$4:$P$503,_calc!$E$236)))))</f>
        <v/>
      </c>
      <c r="G234" s="43">
        <f>IF(_calc!$E$236="","",IF(LEN(INDEX('Documents'!$O$4:$O$503,_calc!$E$236))=0,"",INDEX('Documents'!$O$4:$O$503,_calc!$E$236)))</f>
        <v/>
      </c>
      <c r="K234" s="43">
        <f>IF(_calc!$E$236="","",IF(LEN(INDEX('Documents'!$M$4:$M$503,_calc!$E$236))=0,"",INDEX('Documents'!$M$4:$M$503,_calc!$E$236)))</f>
        <v/>
      </c>
    </row>
    <row r="235">
      <c r="A235" s="43">
        <f>IF(_calc!$E$237="","",IF(LEN(INDEX('Documents'!$C$4:$C$503,_calc!$E$237))=0,"",INDEX('Documents'!$C$4:$C$503,_calc!$E$237))&amp;" – "&amp;IF(LEN(INDEX('Documents'!$A$4:$A$503,_calc!$E$237))=0,"",INDEX('Documents'!$A$4:$A$503,_calc!$E$237)))</f>
        <v/>
      </c>
      <c r="B235" s="43">
        <f>IF(_calc!$E$237="","",IF(ISNUMBER(INDEX('Documents'!$F$4:$F$503,_calc!$E$237)),TEXT(INDEX('Documents'!$F$4:$F$503,_calc!$E$237),"yyyy-mm-dd"),""))</f>
        <v/>
      </c>
      <c r="C235" s="43">
        <f>IF(_calc!$E$237="","","Contractor document")</f>
        <v/>
      </c>
      <c r="D235" s="43">
        <f>IF(_calc!$E$237="","",IF(ISNUMBER(INDEX('Documents'!$E$4:$E$503,_calc!$E$237)),TEXT(INDEX('Documents'!$E$4:$E$503,_calc!$E$237),"yyyy-mm-dd"),""))</f>
        <v/>
      </c>
      <c r="E235" s="43">
        <f>IF(_calc!$E$237="","",IF(LEN(INDEX('Documents'!$N$4:$N$503,_calc!$E$237))=0,"",INDEX('Documents'!$N$4:$N$503,_calc!$E$237)))</f>
        <v/>
      </c>
      <c r="F235" s="43">
        <f>IF(_calc!$E$237="","",TRIM(IF(LEN(IF(LEN(INDEX('Documents'!$B$4:$B$503,_calc!$E$237))=0,"",INDEX('Documents'!$B$4:$B$503,_calc!$E$237)))=0,"","Trade: "&amp;IF(LEN(INDEX('Documents'!$B$4:$B$503,_calc!$E$237))=0,"",INDEX('Documents'!$B$4:$B$503,_calc!$E$237))&amp;". ")&amp;IF(LEN(IF(LEN(INDEX('Documents'!$D$4:$D$503,_calc!$E$237))=0,"",INDEX('Documents'!$D$4:$D$503,_calc!$E$237)))=0,"","Ref: "&amp;IF(LEN(INDEX('Documents'!$D$4:$D$503,_calc!$E$237))=0,"",INDEX('Documents'!$D$4:$D$503,_calc!$E$237))&amp;". ")&amp;IF(LEN(IF(LEN(INDEX('Documents'!$K$4:$K$503,_calc!$E$237))=0,"",INDEX('Documents'!$K$4:$K$503,_calc!$E$237)))=0,"","On file: "&amp;IF(LEN(INDEX('Documents'!$K$4:$K$503,_calc!$E$237))=0,"",INDEX('Documents'!$K$4:$K$503,_calc!$E$237))&amp;". ")&amp;IF(LEN(IF(LEN(INDEX('Documents'!$L$4:$L$503,_calc!$E$237))=0,"",INDEX('Documents'!$L$4:$L$503,_calc!$E$237)))=0,"","Contractor email: "&amp;IF(LEN(INDEX('Documents'!$L$4:$L$503,_calc!$E$237))=0,"",INDEX('Documents'!$L$4:$L$503,_calc!$E$237))&amp;". ")&amp;IF(LEN(IF(LEN(INDEX('Documents'!$P$4:$P$503,_calc!$E$237))=0,"",INDEX('Documents'!$P$4:$P$503,_calc!$E$237)))=0,"",IF(LEN(INDEX('Documents'!$P$4:$P$503,_calc!$E$237))=0,"",INDEX('Documents'!$P$4:$P$503,_calc!$E$237)))))</f>
        <v/>
      </c>
      <c r="G235" s="43">
        <f>IF(_calc!$E$237="","",IF(LEN(INDEX('Documents'!$O$4:$O$503,_calc!$E$237))=0,"",INDEX('Documents'!$O$4:$O$503,_calc!$E$237)))</f>
        <v/>
      </c>
      <c r="K235" s="43">
        <f>IF(_calc!$E$237="","",IF(LEN(INDEX('Documents'!$M$4:$M$503,_calc!$E$237))=0,"",INDEX('Documents'!$M$4:$M$503,_calc!$E$237)))</f>
        <v/>
      </c>
    </row>
    <row r="236">
      <c r="A236" s="43">
        <f>IF(_calc!$E$238="","",IF(LEN(INDEX('Documents'!$C$4:$C$503,_calc!$E$238))=0,"",INDEX('Documents'!$C$4:$C$503,_calc!$E$238))&amp;" – "&amp;IF(LEN(INDEX('Documents'!$A$4:$A$503,_calc!$E$238))=0,"",INDEX('Documents'!$A$4:$A$503,_calc!$E$238)))</f>
        <v/>
      </c>
      <c r="B236" s="43">
        <f>IF(_calc!$E$238="","",IF(ISNUMBER(INDEX('Documents'!$F$4:$F$503,_calc!$E$238)),TEXT(INDEX('Documents'!$F$4:$F$503,_calc!$E$238),"yyyy-mm-dd"),""))</f>
        <v/>
      </c>
      <c r="C236" s="43">
        <f>IF(_calc!$E$238="","","Contractor document")</f>
        <v/>
      </c>
      <c r="D236" s="43">
        <f>IF(_calc!$E$238="","",IF(ISNUMBER(INDEX('Documents'!$E$4:$E$503,_calc!$E$238)),TEXT(INDEX('Documents'!$E$4:$E$503,_calc!$E$238),"yyyy-mm-dd"),""))</f>
        <v/>
      </c>
      <c r="E236" s="43">
        <f>IF(_calc!$E$238="","",IF(LEN(INDEX('Documents'!$N$4:$N$503,_calc!$E$238))=0,"",INDEX('Documents'!$N$4:$N$503,_calc!$E$238)))</f>
        <v/>
      </c>
      <c r="F236" s="43">
        <f>IF(_calc!$E$238="","",TRIM(IF(LEN(IF(LEN(INDEX('Documents'!$B$4:$B$503,_calc!$E$238))=0,"",INDEX('Documents'!$B$4:$B$503,_calc!$E$238)))=0,"","Trade: "&amp;IF(LEN(INDEX('Documents'!$B$4:$B$503,_calc!$E$238))=0,"",INDEX('Documents'!$B$4:$B$503,_calc!$E$238))&amp;". ")&amp;IF(LEN(IF(LEN(INDEX('Documents'!$D$4:$D$503,_calc!$E$238))=0,"",INDEX('Documents'!$D$4:$D$503,_calc!$E$238)))=0,"","Ref: "&amp;IF(LEN(INDEX('Documents'!$D$4:$D$503,_calc!$E$238))=0,"",INDEX('Documents'!$D$4:$D$503,_calc!$E$238))&amp;". ")&amp;IF(LEN(IF(LEN(INDEX('Documents'!$K$4:$K$503,_calc!$E$238))=0,"",INDEX('Documents'!$K$4:$K$503,_calc!$E$238)))=0,"","On file: "&amp;IF(LEN(INDEX('Documents'!$K$4:$K$503,_calc!$E$238))=0,"",INDEX('Documents'!$K$4:$K$503,_calc!$E$238))&amp;". ")&amp;IF(LEN(IF(LEN(INDEX('Documents'!$L$4:$L$503,_calc!$E$238))=0,"",INDEX('Documents'!$L$4:$L$503,_calc!$E$238)))=0,"","Contractor email: "&amp;IF(LEN(INDEX('Documents'!$L$4:$L$503,_calc!$E$238))=0,"",INDEX('Documents'!$L$4:$L$503,_calc!$E$238))&amp;". ")&amp;IF(LEN(IF(LEN(INDEX('Documents'!$P$4:$P$503,_calc!$E$238))=0,"",INDEX('Documents'!$P$4:$P$503,_calc!$E$238)))=0,"",IF(LEN(INDEX('Documents'!$P$4:$P$503,_calc!$E$238))=0,"",INDEX('Documents'!$P$4:$P$503,_calc!$E$238)))))</f>
        <v/>
      </c>
      <c r="G236" s="43">
        <f>IF(_calc!$E$238="","",IF(LEN(INDEX('Documents'!$O$4:$O$503,_calc!$E$238))=0,"",INDEX('Documents'!$O$4:$O$503,_calc!$E$238)))</f>
        <v/>
      </c>
      <c r="K236" s="43">
        <f>IF(_calc!$E$238="","",IF(LEN(INDEX('Documents'!$M$4:$M$503,_calc!$E$238))=0,"",INDEX('Documents'!$M$4:$M$503,_calc!$E$238)))</f>
        <v/>
      </c>
    </row>
    <row r="237">
      <c r="A237" s="43">
        <f>IF(_calc!$E$239="","",IF(LEN(INDEX('Documents'!$C$4:$C$503,_calc!$E$239))=0,"",INDEX('Documents'!$C$4:$C$503,_calc!$E$239))&amp;" – "&amp;IF(LEN(INDEX('Documents'!$A$4:$A$503,_calc!$E$239))=0,"",INDEX('Documents'!$A$4:$A$503,_calc!$E$239)))</f>
        <v/>
      </c>
      <c r="B237" s="43">
        <f>IF(_calc!$E$239="","",IF(ISNUMBER(INDEX('Documents'!$F$4:$F$503,_calc!$E$239)),TEXT(INDEX('Documents'!$F$4:$F$503,_calc!$E$239),"yyyy-mm-dd"),""))</f>
        <v/>
      </c>
      <c r="C237" s="43">
        <f>IF(_calc!$E$239="","","Contractor document")</f>
        <v/>
      </c>
      <c r="D237" s="43">
        <f>IF(_calc!$E$239="","",IF(ISNUMBER(INDEX('Documents'!$E$4:$E$503,_calc!$E$239)),TEXT(INDEX('Documents'!$E$4:$E$503,_calc!$E$239),"yyyy-mm-dd"),""))</f>
        <v/>
      </c>
      <c r="E237" s="43">
        <f>IF(_calc!$E$239="","",IF(LEN(INDEX('Documents'!$N$4:$N$503,_calc!$E$239))=0,"",INDEX('Documents'!$N$4:$N$503,_calc!$E$239)))</f>
        <v/>
      </c>
      <c r="F237" s="43">
        <f>IF(_calc!$E$239="","",TRIM(IF(LEN(IF(LEN(INDEX('Documents'!$B$4:$B$503,_calc!$E$239))=0,"",INDEX('Documents'!$B$4:$B$503,_calc!$E$239)))=0,"","Trade: "&amp;IF(LEN(INDEX('Documents'!$B$4:$B$503,_calc!$E$239))=0,"",INDEX('Documents'!$B$4:$B$503,_calc!$E$239))&amp;". ")&amp;IF(LEN(IF(LEN(INDEX('Documents'!$D$4:$D$503,_calc!$E$239))=0,"",INDEX('Documents'!$D$4:$D$503,_calc!$E$239)))=0,"","Ref: "&amp;IF(LEN(INDEX('Documents'!$D$4:$D$503,_calc!$E$239))=0,"",INDEX('Documents'!$D$4:$D$503,_calc!$E$239))&amp;". ")&amp;IF(LEN(IF(LEN(INDEX('Documents'!$K$4:$K$503,_calc!$E$239))=0,"",INDEX('Documents'!$K$4:$K$503,_calc!$E$239)))=0,"","On file: "&amp;IF(LEN(INDEX('Documents'!$K$4:$K$503,_calc!$E$239))=0,"",INDEX('Documents'!$K$4:$K$503,_calc!$E$239))&amp;". ")&amp;IF(LEN(IF(LEN(INDEX('Documents'!$L$4:$L$503,_calc!$E$239))=0,"",INDEX('Documents'!$L$4:$L$503,_calc!$E$239)))=0,"","Contractor email: "&amp;IF(LEN(INDEX('Documents'!$L$4:$L$503,_calc!$E$239))=0,"",INDEX('Documents'!$L$4:$L$503,_calc!$E$239))&amp;". ")&amp;IF(LEN(IF(LEN(INDEX('Documents'!$P$4:$P$503,_calc!$E$239))=0,"",INDEX('Documents'!$P$4:$P$503,_calc!$E$239)))=0,"",IF(LEN(INDEX('Documents'!$P$4:$P$503,_calc!$E$239))=0,"",INDEX('Documents'!$P$4:$P$503,_calc!$E$239)))))</f>
        <v/>
      </c>
      <c r="G237" s="43">
        <f>IF(_calc!$E$239="","",IF(LEN(INDEX('Documents'!$O$4:$O$503,_calc!$E$239))=0,"",INDEX('Documents'!$O$4:$O$503,_calc!$E$239)))</f>
        <v/>
      </c>
      <c r="K237" s="43">
        <f>IF(_calc!$E$239="","",IF(LEN(INDEX('Documents'!$M$4:$M$503,_calc!$E$239))=0,"",INDEX('Documents'!$M$4:$M$503,_calc!$E$239)))</f>
        <v/>
      </c>
    </row>
    <row r="238">
      <c r="A238" s="43">
        <f>IF(_calc!$E$240="","",IF(LEN(INDEX('Documents'!$C$4:$C$503,_calc!$E$240))=0,"",INDEX('Documents'!$C$4:$C$503,_calc!$E$240))&amp;" – "&amp;IF(LEN(INDEX('Documents'!$A$4:$A$503,_calc!$E$240))=0,"",INDEX('Documents'!$A$4:$A$503,_calc!$E$240)))</f>
        <v/>
      </c>
      <c r="B238" s="43">
        <f>IF(_calc!$E$240="","",IF(ISNUMBER(INDEX('Documents'!$F$4:$F$503,_calc!$E$240)),TEXT(INDEX('Documents'!$F$4:$F$503,_calc!$E$240),"yyyy-mm-dd"),""))</f>
        <v/>
      </c>
      <c r="C238" s="43">
        <f>IF(_calc!$E$240="","","Contractor document")</f>
        <v/>
      </c>
      <c r="D238" s="43">
        <f>IF(_calc!$E$240="","",IF(ISNUMBER(INDEX('Documents'!$E$4:$E$503,_calc!$E$240)),TEXT(INDEX('Documents'!$E$4:$E$503,_calc!$E$240),"yyyy-mm-dd"),""))</f>
        <v/>
      </c>
      <c r="E238" s="43">
        <f>IF(_calc!$E$240="","",IF(LEN(INDEX('Documents'!$N$4:$N$503,_calc!$E$240))=0,"",INDEX('Documents'!$N$4:$N$503,_calc!$E$240)))</f>
        <v/>
      </c>
      <c r="F238" s="43">
        <f>IF(_calc!$E$240="","",TRIM(IF(LEN(IF(LEN(INDEX('Documents'!$B$4:$B$503,_calc!$E$240))=0,"",INDEX('Documents'!$B$4:$B$503,_calc!$E$240)))=0,"","Trade: "&amp;IF(LEN(INDEX('Documents'!$B$4:$B$503,_calc!$E$240))=0,"",INDEX('Documents'!$B$4:$B$503,_calc!$E$240))&amp;". ")&amp;IF(LEN(IF(LEN(INDEX('Documents'!$D$4:$D$503,_calc!$E$240))=0,"",INDEX('Documents'!$D$4:$D$503,_calc!$E$240)))=0,"","Ref: "&amp;IF(LEN(INDEX('Documents'!$D$4:$D$503,_calc!$E$240))=0,"",INDEX('Documents'!$D$4:$D$503,_calc!$E$240))&amp;". ")&amp;IF(LEN(IF(LEN(INDEX('Documents'!$K$4:$K$503,_calc!$E$240))=0,"",INDEX('Documents'!$K$4:$K$503,_calc!$E$240)))=0,"","On file: "&amp;IF(LEN(INDEX('Documents'!$K$4:$K$503,_calc!$E$240))=0,"",INDEX('Documents'!$K$4:$K$503,_calc!$E$240))&amp;". ")&amp;IF(LEN(IF(LEN(INDEX('Documents'!$L$4:$L$503,_calc!$E$240))=0,"",INDEX('Documents'!$L$4:$L$503,_calc!$E$240)))=0,"","Contractor email: "&amp;IF(LEN(INDEX('Documents'!$L$4:$L$503,_calc!$E$240))=0,"",INDEX('Documents'!$L$4:$L$503,_calc!$E$240))&amp;". ")&amp;IF(LEN(IF(LEN(INDEX('Documents'!$P$4:$P$503,_calc!$E$240))=0,"",INDEX('Documents'!$P$4:$P$503,_calc!$E$240)))=0,"",IF(LEN(INDEX('Documents'!$P$4:$P$503,_calc!$E$240))=0,"",INDEX('Documents'!$P$4:$P$503,_calc!$E$240)))))</f>
        <v/>
      </c>
      <c r="G238" s="43">
        <f>IF(_calc!$E$240="","",IF(LEN(INDEX('Documents'!$O$4:$O$503,_calc!$E$240))=0,"",INDEX('Documents'!$O$4:$O$503,_calc!$E$240)))</f>
        <v/>
      </c>
      <c r="K238" s="43">
        <f>IF(_calc!$E$240="","",IF(LEN(INDEX('Documents'!$M$4:$M$503,_calc!$E$240))=0,"",INDEX('Documents'!$M$4:$M$503,_calc!$E$240)))</f>
        <v/>
      </c>
    </row>
    <row r="239">
      <c r="A239" s="43">
        <f>IF(_calc!$E$241="","",IF(LEN(INDEX('Documents'!$C$4:$C$503,_calc!$E$241))=0,"",INDEX('Documents'!$C$4:$C$503,_calc!$E$241))&amp;" – "&amp;IF(LEN(INDEX('Documents'!$A$4:$A$503,_calc!$E$241))=0,"",INDEX('Documents'!$A$4:$A$503,_calc!$E$241)))</f>
        <v/>
      </c>
      <c r="B239" s="43">
        <f>IF(_calc!$E$241="","",IF(ISNUMBER(INDEX('Documents'!$F$4:$F$503,_calc!$E$241)),TEXT(INDEX('Documents'!$F$4:$F$503,_calc!$E$241),"yyyy-mm-dd"),""))</f>
        <v/>
      </c>
      <c r="C239" s="43">
        <f>IF(_calc!$E$241="","","Contractor document")</f>
        <v/>
      </c>
      <c r="D239" s="43">
        <f>IF(_calc!$E$241="","",IF(ISNUMBER(INDEX('Documents'!$E$4:$E$503,_calc!$E$241)),TEXT(INDEX('Documents'!$E$4:$E$503,_calc!$E$241),"yyyy-mm-dd"),""))</f>
        <v/>
      </c>
      <c r="E239" s="43">
        <f>IF(_calc!$E$241="","",IF(LEN(INDEX('Documents'!$N$4:$N$503,_calc!$E$241))=0,"",INDEX('Documents'!$N$4:$N$503,_calc!$E$241)))</f>
        <v/>
      </c>
      <c r="F239" s="43">
        <f>IF(_calc!$E$241="","",TRIM(IF(LEN(IF(LEN(INDEX('Documents'!$B$4:$B$503,_calc!$E$241))=0,"",INDEX('Documents'!$B$4:$B$503,_calc!$E$241)))=0,"","Trade: "&amp;IF(LEN(INDEX('Documents'!$B$4:$B$503,_calc!$E$241))=0,"",INDEX('Documents'!$B$4:$B$503,_calc!$E$241))&amp;". ")&amp;IF(LEN(IF(LEN(INDEX('Documents'!$D$4:$D$503,_calc!$E$241))=0,"",INDEX('Documents'!$D$4:$D$503,_calc!$E$241)))=0,"","Ref: "&amp;IF(LEN(INDEX('Documents'!$D$4:$D$503,_calc!$E$241))=0,"",INDEX('Documents'!$D$4:$D$503,_calc!$E$241))&amp;". ")&amp;IF(LEN(IF(LEN(INDEX('Documents'!$K$4:$K$503,_calc!$E$241))=0,"",INDEX('Documents'!$K$4:$K$503,_calc!$E$241)))=0,"","On file: "&amp;IF(LEN(INDEX('Documents'!$K$4:$K$503,_calc!$E$241))=0,"",INDEX('Documents'!$K$4:$K$503,_calc!$E$241))&amp;". ")&amp;IF(LEN(IF(LEN(INDEX('Documents'!$L$4:$L$503,_calc!$E$241))=0,"",INDEX('Documents'!$L$4:$L$503,_calc!$E$241)))=0,"","Contractor email: "&amp;IF(LEN(INDEX('Documents'!$L$4:$L$503,_calc!$E$241))=0,"",INDEX('Documents'!$L$4:$L$503,_calc!$E$241))&amp;". ")&amp;IF(LEN(IF(LEN(INDEX('Documents'!$P$4:$P$503,_calc!$E$241))=0,"",INDEX('Documents'!$P$4:$P$503,_calc!$E$241)))=0,"",IF(LEN(INDEX('Documents'!$P$4:$P$503,_calc!$E$241))=0,"",INDEX('Documents'!$P$4:$P$503,_calc!$E$241)))))</f>
        <v/>
      </c>
      <c r="G239" s="43">
        <f>IF(_calc!$E$241="","",IF(LEN(INDEX('Documents'!$O$4:$O$503,_calc!$E$241))=0,"",INDEX('Documents'!$O$4:$O$503,_calc!$E$241)))</f>
        <v/>
      </c>
      <c r="K239" s="43">
        <f>IF(_calc!$E$241="","",IF(LEN(INDEX('Documents'!$M$4:$M$503,_calc!$E$241))=0,"",INDEX('Documents'!$M$4:$M$503,_calc!$E$241)))</f>
        <v/>
      </c>
    </row>
    <row r="240">
      <c r="A240" s="43">
        <f>IF(_calc!$E$242="","",IF(LEN(INDEX('Documents'!$C$4:$C$503,_calc!$E$242))=0,"",INDEX('Documents'!$C$4:$C$503,_calc!$E$242))&amp;" – "&amp;IF(LEN(INDEX('Documents'!$A$4:$A$503,_calc!$E$242))=0,"",INDEX('Documents'!$A$4:$A$503,_calc!$E$242)))</f>
        <v/>
      </c>
      <c r="B240" s="43">
        <f>IF(_calc!$E$242="","",IF(ISNUMBER(INDEX('Documents'!$F$4:$F$503,_calc!$E$242)),TEXT(INDEX('Documents'!$F$4:$F$503,_calc!$E$242),"yyyy-mm-dd"),""))</f>
        <v/>
      </c>
      <c r="C240" s="43">
        <f>IF(_calc!$E$242="","","Contractor document")</f>
        <v/>
      </c>
      <c r="D240" s="43">
        <f>IF(_calc!$E$242="","",IF(ISNUMBER(INDEX('Documents'!$E$4:$E$503,_calc!$E$242)),TEXT(INDEX('Documents'!$E$4:$E$503,_calc!$E$242),"yyyy-mm-dd"),""))</f>
        <v/>
      </c>
      <c r="E240" s="43">
        <f>IF(_calc!$E$242="","",IF(LEN(INDEX('Documents'!$N$4:$N$503,_calc!$E$242))=0,"",INDEX('Documents'!$N$4:$N$503,_calc!$E$242)))</f>
        <v/>
      </c>
      <c r="F240" s="43">
        <f>IF(_calc!$E$242="","",TRIM(IF(LEN(IF(LEN(INDEX('Documents'!$B$4:$B$503,_calc!$E$242))=0,"",INDEX('Documents'!$B$4:$B$503,_calc!$E$242)))=0,"","Trade: "&amp;IF(LEN(INDEX('Documents'!$B$4:$B$503,_calc!$E$242))=0,"",INDEX('Documents'!$B$4:$B$503,_calc!$E$242))&amp;". ")&amp;IF(LEN(IF(LEN(INDEX('Documents'!$D$4:$D$503,_calc!$E$242))=0,"",INDEX('Documents'!$D$4:$D$503,_calc!$E$242)))=0,"","Ref: "&amp;IF(LEN(INDEX('Documents'!$D$4:$D$503,_calc!$E$242))=0,"",INDEX('Documents'!$D$4:$D$503,_calc!$E$242))&amp;". ")&amp;IF(LEN(IF(LEN(INDEX('Documents'!$K$4:$K$503,_calc!$E$242))=0,"",INDEX('Documents'!$K$4:$K$503,_calc!$E$242)))=0,"","On file: "&amp;IF(LEN(INDEX('Documents'!$K$4:$K$503,_calc!$E$242))=0,"",INDEX('Documents'!$K$4:$K$503,_calc!$E$242))&amp;". ")&amp;IF(LEN(IF(LEN(INDEX('Documents'!$L$4:$L$503,_calc!$E$242))=0,"",INDEX('Documents'!$L$4:$L$503,_calc!$E$242)))=0,"","Contractor email: "&amp;IF(LEN(INDEX('Documents'!$L$4:$L$503,_calc!$E$242))=0,"",INDEX('Documents'!$L$4:$L$503,_calc!$E$242))&amp;". ")&amp;IF(LEN(IF(LEN(INDEX('Documents'!$P$4:$P$503,_calc!$E$242))=0,"",INDEX('Documents'!$P$4:$P$503,_calc!$E$242)))=0,"",IF(LEN(INDEX('Documents'!$P$4:$P$503,_calc!$E$242))=0,"",INDEX('Documents'!$P$4:$P$503,_calc!$E$242)))))</f>
        <v/>
      </c>
      <c r="G240" s="43">
        <f>IF(_calc!$E$242="","",IF(LEN(INDEX('Documents'!$O$4:$O$503,_calc!$E$242))=0,"",INDEX('Documents'!$O$4:$O$503,_calc!$E$242)))</f>
        <v/>
      </c>
      <c r="K240" s="43">
        <f>IF(_calc!$E$242="","",IF(LEN(INDEX('Documents'!$M$4:$M$503,_calc!$E$242))=0,"",INDEX('Documents'!$M$4:$M$503,_calc!$E$242)))</f>
        <v/>
      </c>
    </row>
    <row r="241">
      <c r="A241" s="43">
        <f>IF(_calc!$E$243="","",IF(LEN(INDEX('Documents'!$C$4:$C$503,_calc!$E$243))=0,"",INDEX('Documents'!$C$4:$C$503,_calc!$E$243))&amp;" – "&amp;IF(LEN(INDEX('Documents'!$A$4:$A$503,_calc!$E$243))=0,"",INDEX('Documents'!$A$4:$A$503,_calc!$E$243)))</f>
        <v/>
      </c>
      <c r="B241" s="43">
        <f>IF(_calc!$E$243="","",IF(ISNUMBER(INDEX('Documents'!$F$4:$F$503,_calc!$E$243)),TEXT(INDEX('Documents'!$F$4:$F$503,_calc!$E$243),"yyyy-mm-dd"),""))</f>
        <v/>
      </c>
      <c r="C241" s="43">
        <f>IF(_calc!$E$243="","","Contractor document")</f>
        <v/>
      </c>
      <c r="D241" s="43">
        <f>IF(_calc!$E$243="","",IF(ISNUMBER(INDEX('Documents'!$E$4:$E$503,_calc!$E$243)),TEXT(INDEX('Documents'!$E$4:$E$503,_calc!$E$243),"yyyy-mm-dd"),""))</f>
        <v/>
      </c>
      <c r="E241" s="43">
        <f>IF(_calc!$E$243="","",IF(LEN(INDEX('Documents'!$N$4:$N$503,_calc!$E$243))=0,"",INDEX('Documents'!$N$4:$N$503,_calc!$E$243)))</f>
        <v/>
      </c>
      <c r="F241" s="43">
        <f>IF(_calc!$E$243="","",TRIM(IF(LEN(IF(LEN(INDEX('Documents'!$B$4:$B$503,_calc!$E$243))=0,"",INDEX('Documents'!$B$4:$B$503,_calc!$E$243)))=0,"","Trade: "&amp;IF(LEN(INDEX('Documents'!$B$4:$B$503,_calc!$E$243))=0,"",INDEX('Documents'!$B$4:$B$503,_calc!$E$243))&amp;". ")&amp;IF(LEN(IF(LEN(INDEX('Documents'!$D$4:$D$503,_calc!$E$243))=0,"",INDEX('Documents'!$D$4:$D$503,_calc!$E$243)))=0,"","Ref: "&amp;IF(LEN(INDEX('Documents'!$D$4:$D$503,_calc!$E$243))=0,"",INDEX('Documents'!$D$4:$D$503,_calc!$E$243))&amp;". ")&amp;IF(LEN(IF(LEN(INDEX('Documents'!$K$4:$K$503,_calc!$E$243))=0,"",INDEX('Documents'!$K$4:$K$503,_calc!$E$243)))=0,"","On file: "&amp;IF(LEN(INDEX('Documents'!$K$4:$K$503,_calc!$E$243))=0,"",INDEX('Documents'!$K$4:$K$503,_calc!$E$243))&amp;". ")&amp;IF(LEN(IF(LEN(INDEX('Documents'!$L$4:$L$503,_calc!$E$243))=0,"",INDEX('Documents'!$L$4:$L$503,_calc!$E$243)))=0,"","Contractor email: "&amp;IF(LEN(INDEX('Documents'!$L$4:$L$503,_calc!$E$243))=0,"",INDEX('Documents'!$L$4:$L$503,_calc!$E$243))&amp;". ")&amp;IF(LEN(IF(LEN(INDEX('Documents'!$P$4:$P$503,_calc!$E$243))=0,"",INDEX('Documents'!$P$4:$P$503,_calc!$E$243)))=0,"",IF(LEN(INDEX('Documents'!$P$4:$P$503,_calc!$E$243))=0,"",INDEX('Documents'!$P$4:$P$503,_calc!$E$243)))))</f>
        <v/>
      </c>
      <c r="G241" s="43">
        <f>IF(_calc!$E$243="","",IF(LEN(INDEX('Documents'!$O$4:$O$503,_calc!$E$243))=0,"",INDEX('Documents'!$O$4:$O$503,_calc!$E$243)))</f>
        <v/>
      </c>
      <c r="K241" s="43">
        <f>IF(_calc!$E$243="","",IF(LEN(INDEX('Documents'!$M$4:$M$503,_calc!$E$243))=0,"",INDEX('Documents'!$M$4:$M$503,_calc!$E$243)))</f>
        <v/>
      </c>
    </row>
    <row r="242">
      <c r="A242" s="43">
        <f>IF(_calc!$E$244="","",IF(LEN(INDEX('Documents'!$C$4:$C$503,_calc!$E$244))=0,"",INDEX('Documents'!$C$4:$C$503,_calc!$E$244))&amp;" – "&amp;IF(LEN(INDEX('Documents'!$A$4:$A$503,_calc!$E$244))=0,"",INDEX('Documents'!$A$4:$A$503,_calc!$E$244)))</f>
        <v/>
      </c>
      <c r="B242" s="43">
        <f>IF(_calc!$E$244="","",IF(ISNUMBER(INDEX('Documents'!$F$4:$F$503,_calc!$E$244)),TEXT(INDEX('Documents'!$F$4:$F$503,_calc!$E$244),"yyyy-mm-dd"),""))</f>
        <v/>
      </c>
      <c r="C242" s="43">
        <f>IF(_calc!$E$244="","","Contractor document")</f>
        <v/>
      </c>
      <c r="D242" s="43">
        <f>IF(_calc!$E$244="","",IF(ISNUMBER(INDEX('Documents'!$E$4:$E$503,_calc!$E$244)),TEXT(INDEX('Documents'!$E$4:$E$503,_calc!$E$244),"yyyy-mm-dd"),""))</f>
        <v/>
      </c>
      <c r="E242" s="43">
        <f>IF(_calc!$E$244="","",IF(LEN(INDEX('Documents'!$N$4:$N$503,_calc!$E$244))=0,"",INDEX('Documents'!$N$4:$N$503,_calc!$E$244)))</f>
        <v/>
      </c>
      <c r="F242" s="43">
        <f>IF(_calc!$E$244="","",TRIM(IF(LEN(IF(LEN(INDEX('Documents'!$B$4:$B$503,_calc!$E$244))=0,"",INDEX('Documents'!$B$4:$B$503,_calc!$E$244)))=0,"","Trade: "&amp;IF(LEN(INDEX('Documents'!$B$4:$B$503,_calc!$E$244))=0,"",INDEX('Documents'!$B$4:$B$503,_calc!$E$244))&amp;". ")&amp;IF(LEN(IF(LEN(INDEX('Documents'!$D$4:$D$503,_calc!$E$244))=0,"",INDEX('Documents'!$D$4:$D$503,_calc!$E$244)))=0,"","Ref: "&amp;IF(LEN(INDEX('Documents'!$D$4:$D$503,_calc!$E$244))=0,"",INDEX('Documents'!$D$4:$D$503,_calc!$E$244))&amp;". ")&amp;IF(LEN(IF(LEN(INDEX('Documents'!$K$4:$K$503,_calc!$E$244))=0,"",INDEX('Documents'!$K$4:$K$503,_calc!$E$244)))=0,"","On file: "&amp;IF(LEN(INDEX('Documents'!$K$4:$K$503,_calc!$E$244))=0,"",INDEX('Documents'!$K$4:$K$503,_calc!$E$244))&amp;". ")&amp;IF(LEN(IF(LEN(INDEX('Documents'!$L$4:$L$503,_calc!$E$244))=0,"",INDEX('Documents'!$L$4:$L$503,_calc!$E$244)))=0,"","Contractor email: "&amp;IF(LEN(INDEX('Documents'!$L$4:$L$503,_calc!$E$244))=0,"",INDEX('Documents'!$L$4:$L$503,_calc!$E$244))&amp;". ")&amp;IF(LEN(IF(LEN(INDEX('Documents'!$P$4:$P$503,_calc!$E$244))=0,"",INDEX('Documents'!$P$4:$P$503,_calc!$E$244)))=0,"",IF(LEN(INDEX('Documents'!$P$4:$P$503,_calc!$E$244))=0,"",INDEX('Documents'!$P$4:$P$503,_calc!$E$244)))))</f>
        <v/>
      </c>
      <c r="G242" s="43">
        <f>IF(_calc!$E$244="","",IF(LEN(INDEX('Documents'!$O$4:$O$503,_calc!$E$244))=0,"",INDEX('Documents'!$O$4:$O$503,_calc!$E$244)))</f>
        <v/>
      </c>
      <c r="K242" s="43">
        <f>IF(_calc!$E$244="","",IF(LEN(INDEX('Documents'!$M$4:$M$503,_calc!$E$244))=0,"",INDEX('Documents'!$M$4:$M$503,_calc!$E$244)))</f>
        <v/>
      </c>
    </row>
    <row r="243">
      <c r="A243" s="43">
        <f>IF(_calc!$E$245="","",IF(LEN(INDEX('Documents'!$C$4:$C$503,_calc!$E$245))=0,"",INDEX('Documents'!$C$4:$C$503,_calc!$E$245))&amp;" – "&amp;IF(LEN(INDEX('Documents'!$A$4:$A$503,_calc!$E$245))=0,"",INDEX('Documents'!$A$4:$A$503,_calc!$E$245)))</f>
        <v/>
      </c>
      <c r="B243" s="43">
        <f>IF(_calc!$E$245="","",IF(ISNUMBER(INDEX('Documents'!$F$4:$F$503,_calc!$E$245)),TEXT(INDEX('Documents'!$F$4:$F$503,_calc!$E$245),"yyyy-mm-dd"),""))</f>
        <v/>
      </c>
      <c r="C243" s="43">
        <f>IF(_calc!$E$245="","","Contractor document")</f>
        <v/>
      </c>
      <c r="D243" s="43">
        <f>IF(_calc!$E$245="","",IF(ISNUMBER(INDEX('Documents'!$E$4:$E$503,_calc!$E$245)),TEXT(INDEX('Documents'!$E$4:$E$503,_calc!$E$245),"yyyy-mm-dd"),""))</f>
        <v/>
      </c>
      <c r="E243" s="43">
        <f>IF(_calc!$E$245="","",IF(LEN(INDEX('Documents'!$N$4:$N$503,_calc!$E$245))=0,"",INDEX('Documents'!$N$4:$N$503,_calc!$E$245)))</f>
        <v/>
      </c>
      <c r="F243" s="43">
        <f>IF(_calc!$E$245="","",TRIM(IF(LEN(IF(LEN(INDEX('Documents'!$B$4:$B$503,_calc!$E$245))=0,"",INDEX('Documents'!$B$4:$B$503,_calc!$E$245)))=0,"","Trade: "&amp;IF(LEN(INDEX('Documents'!$B$4:$B$503,_calc!$E$245))=0,"",INDEX('Documents'!$B$4:$B$503,_calc!$E$245))&amp;". ")&amp;IF(LEN(IF(LEN(INDEX('Documents'!$D$4:$D$503,_calc!$E$245))=0,"",INDEX('Documents'!$D$4:$D$503,_calc!$E$245)))=0,"","Ref: "&amp;IF(LEN(INDEX('Documents'!$D$4:$D$503,_calc!$E$245))=0,"",INDEX('Documents'!$D$4:$D$503,_calc!$E$245))&amp;". ")&amp;IF(LEN(IF(LEN(INDEX('Documents'!$K$4:$K$503,_calc!$E$245))=0,"",INDEX('Documents'!$K$4:$K$503,_calc!$E$245)))=0,"","On file: "&amp;IF(LEN(INDEX('Documents'!$K$4:$K$503,_calc!$E$245))=0,"",INDEX('Documents'!$K$4:$K$503,_calc!$E$245))&amp;". ")&amp;IF(LEN(IF(LEN(INDEX('Documents'!$L$4:$L$503,_calc!$E$245))=0,"",INDEX('Documents'!$L$4:$L$503,_calc!$E$245)))=0,"","Contractor email: "&amp;IF(LEN(INDEX('Documents'!$L$4:$L$503,_calc!$E$245))=0,"",INDEX('Documents'!$L$4:$L$503,_calc!$E$245))&amp;". ")&amp;IF(LEN(IF(LEN(INDEX('Documents'!$P$4:$P$503,_calc!$E$245))=0,"",INDEX('Documents'!$P$4:$P$503,_calc!$E$245)))=0,"",IF(LEN(INDEX('Documents'!$P$4:$P$503,_calc!$E$245))=0,"",INDEX('Documents'!$P$4:$P$503,_calc!$E$245)))))</f>
        <v/>
      </c>
      <c r="G243" s="43">
        <f>IF(_calc!$E$245="","",IF(LEN(INDEX('Documents'!$O$4:$O$503,_calc!$E$245))=0,"",INDEX('Documents'!$O$4:$O$503,_calc!$E$245)))</f>
        <v/>
      </c>
      <c r="K243" s="43">
        <f>IF(_calc!$E$245="","",IF(LEN(INDEX('Documents'!$M$4:$M$503,_calc!$E$245))=0,"",INDEX('Documents'!$M$4:$M$503,_calc!$E$245)))</f>
        <v/>
      </c>
    </row>
    <row r="244">
      <c r="A244" s="43">
        <f>IF(_calc!$E$246="","",IF(LEN(INDEX('Documents'!$C$4:$C$503,_calc!$E$246))=0,"",INDEX('Documents'!$C$4:$C$503,_calc!$E$246))&amp;" – "&amp;IF(LEN(INDEX('Documents'!$A$4:$A$503,_calc!$E$246))=0,"",INDEX('Documents'!$A$4:$A$503,_calc!$E$246)))</f>
        <v/>
      </c>
      <c r="B244" s="43">
        <f>IF(_calc!$E$246="","",IF(ISNUMBER(INDEX('Documents'!$F$4:$F$503,_calc!$E$246)),TEXT(INDEX('Documents'!$F$4:$F$503,_calc!$E$246),"yyyy-mm-dd"),""))</f>
        <v/>
      </c>
      <c r="C244" s="43">
        <f>IF(_calc!$E$246="","","Contractor document")</f>
        <v/>
      </c>
      <c r="D244" s="43">
        <f>IF(_calc!$E$246="","",IF(ISNUMBER(INDEX('Documents'!$E$4:$E$503,_calc!$E$246)),TEXT(INDEX('Documents'!$E$4:$E$503,_calc!$E$246),"yyyy-mm-dd"),""))</f>
        <v/>
      </c>
      <c r="E244" s="43">
        <f>IF(_calc!$E$246="","",IF(LEN(INDEX('Documents'!$N$4:$N$503,_calc!$E$246))=0,"",INDEX('Documents'!$N$4:$N$503,_calc!$E$246)))</f>
        <v/>
      </c>
      <c r="F244" s="43">
        <f>IF(_calc!$E$246="","",TRIM(IF(LEN(IF(LEN(INDEX('Documents'!$B$4:$B$503,_calc!$E$246))=0,"",INDEX('Documents'!$B$4:$B$503,_calc!$E$246)))=0,"","Trade: "&amp;IF(LEN(INDEX('Documents'!$B$4:$B$503,_calc!$E$246))=0,"",INDEX('Documents'!$B$4:$B$503,_calc!$E$246))&amp;". ")&amp;IF(LEN(IF(LEN(INDEX('Documents'!$D$4:$D$503,_calc!$E$246))=0,"",INDEX('Documents'!$D$4:$D$503,_calc!$E$246)))=0,"","Ref: "&amp;IF(LEN(INDEX('Documents'!$D$4:$D$503,_calc!$E$246))=0,"",INDEX('Documents'!$D$4:$D$503,_calc!$E$246))&amp;". ")&amp;IF(LEN(IF(LEN(INDEX('Documents'!$K$4:$K$503,_calc!$E$246))=0,"",INDEX('Documents'!$K$4:$K$503,_calc!$E$246)))=0,"","On file: "&amp;IF(LEN(INDEX('Documents'!$K$4:$K$503,_calc!$E$246))=0,"",INDEX('Documents'!$K$4:$K$503,_calc!$E$246))&amp;". ")&amp;IF(LEN(IF(LEN(INDEX('Documents'!$L$4:$L$503,_calc!$E$246))=0,"",INDEX('Documents'!$L$4:$L$503,_calc!$E$246)))=0,"","Contractor email: "&amp;IF(LEN(INDEX('Documents'!$L$4:$L$503,_calc!$E$246))=0,"",INDEX('Documents'!$L$4:$L$503,_calc!$E$246))&amp;". ")&amp;IF(LEN(IF(LEN(INDEX('Documents'!$P$4:$P$503,_calc!$E$246))=0,"",INDEX('Documents'!$P$4:$P$503,_calc!$E$246)))=0,"",IF(LEN(INDEX('Documents'!$P$4:$P$503,_calc!$E$246))=0,"",INDEX('Documents'!$P$4:$P$503,_calc!$E$246)))))</f>
        <v/>
      </c>
      <c r="G244" s="43">
        <f>IF(_calc!$E$246="","",IF(LEN(INDEX('Documents'!$O$4:$O$503,_calc!$E$246))=0,"",INDEX('Documents'!$O$4:$O$503,_calc!$E$246)))</f>
        <v/>
      </c>
      <c r="K244" s="43">
        <f>IF(_calc!$E$246="","",IF(LEN(INDEX('Documents'!$M$4:$M$503,_calc!$E$246))=0,"",INDEX('Documents'!$M$4:$M$503,_calc!$E$246)))</f>
        <v/>
      </c>
    </row>
    <row r="245">
      <c r="A245" s="43">
        <f>IF(_calc!$E$247="","",IF(LEN(INDEX('Documents'!$C$4:$C$503,_calc!$E$247))=0,"",INDEX('Documents'!$C$4:$C$503,_calc!$E$247))&amp;" – "&amp;IF(LEN(INDEX('Documents'!$A$4:$A$503,_calc!$E$247))=0,"",INDEX('Documents'!$A$4:$A$503,_calc!$E$247)))</f>
        <v/>
      </c>
      <c r="B245" s="43">
        <f>IF(_calc!$E$247="","",IF(ISNUMBER(INDEX('Documents'!$F$4:$F$503,_calc!$E$247)),TEXT(INDEX('Documents'!$F$4:$F$503,_calc!$E$247),"yyyy-mm-dd"),""))</f>
        <v/>
      </c>
      <c r="C245" s="43">
        <f>IF(_calc!$E$247="","","Contractor document")</f>
        <v/>
      </c>
      <c r="D245" s="43">
        <f>IF(_calc!$E$247="","",IF(ISNUMBER(INDEX('Documents'!$E$4:$E$503,_calc!$E$247)),TEXT(INDEX('Documents'!$E$4:$E$503,_calc!$E$247),"yyyy-mm-dd"),""))</f>
        <v/>
      </c>
      <c r="E245" s="43">
        <f>IF(_calc!$E$247="","",IF(LEN(INDEX('Documents'!$N$4:$N$503,_calc!$E$247))=0,"",INDEX('Documents'!$N$4:$N$503,_calc!$E$247)))</f>
        <v/>
      </c>
      <c r="F245" s="43">
        <f>IF(_calc!$E$247="","",TRIM(IF(LEN(IF(LEN(INDEX('Documents'!$B$4:$B$503,_calc!$E$247))=0,"",INDEX('Documents'!$B$4:$B$503,_calc!$E$247)))=0,"","Trade: "&amp;IF(LEN(INDEX('Documents'!$B$4:$B$503,_calc!$E$247))=0,"",INDEX('Documents'!$B$4:$B$503,_calc!$E$247))&amp;". ")&amp;IF(LEN(IF(LEN(INDEX('Documents'!$D$4:$D$503,_calc!$E$247))=0,"",INDEX('Documents'!$D$4:$D$503,_calc!$E$247)))=0,"","Ref: "&amp;IF(LEN(INDEX('Documents'!$D$4:$D$503,_calc!$E$247))=0,"",INDEX('Documents'!$D$4:$D$503,_calc!$E$247))&amp;". ")&amp;IF(LEN(IF(LEN(INDEX('Documents'!$K$4:$K$503,_calc!$E$247))=0,"",INDEX('Documents'!$K$4:$K$503,_calc!$E$247)))=0,"","On file: "&amp;IF(LEN(INDEX('Documents'!$K$4:$K$503,_calc!$E$247))=0,"",INDEX('Documents'!$K$4:$K$503,_calc!$E$247))&amp;". ")&amp;IF(LEN(IF(LEN(INDEX('Documents'!$L$4:$L$503,_calc!$E$247))=0,"",INDEX('Documents'!$L$4:$L$503,_calc!$E$247)))=0,"","Contractor email: "&amp;IF(LEN(INDEX('Documents'!$L$4:$L$503,_calc!$E$247))=0,"",INDEX('Documents'!$L$4:$L$503,_calc!$E$247))&amp;". ")&amp;IF(LEN(IF(LEN(INDEX('Documents'!$P$4:$P$503,_calc!$E$247))=0,"",INDEX('Documents'!$P$4:$P$503,_calc!$E$247)))=0,"",IF(LEN(INDEX('Documents'!$P$4:$P$503,_calc!$E$247))=0,"",INDEX('Documents'!$P$4:$P$503,_calc!$E$247)))))</f>
        <v/>
      </c>
      <c r="G245" s="43">
        <f>IF(_calc!$E$247="","",IF(LEN(INDEX('Documents'!$O$4:$O$503,_calc!$E$247))=0,"",INDEX('Documents'!$O$4:$O$503,_calc!$E$247)))</f>
        <v/>
      </c>
      <c r="K245" s="43">
        <f>IF(_calc!$E$247="","",IF(LEN(INDEX('Documents'!$M$4:$M$503,_calc!$E$247))=0,"",INDEX('Documents'!$M$4:$M$503,_calc!$E$247)))</f>
        <v/>
      </c>
    </row>
    <row r="246">
      <c r="A246" s="43">
        <f>IF(_calc!$E$248="","",IF(LEN(INDEX('Documents'!$C$4:$C$503,_calc!$E$248))=0,"",INDEX('Documents'!$C$4:$C$503,_calc!$E$248))&amp;" – "&amp;IF(LEN(INDEX('Documents'!$A$4:$A$503,_calc!$E$248))=0,"",INDEX('Documents'!$A$4:$A$503,_calc!$E$248)))</f>
        <v/>
      </c>
      <c r="B246" s="43">
        <f>IF(_calc!$E$248="","",IF(ISNUMBER(INDEX('Documents'!$F$4:$F$503,_calc!$E$248)),TEXT(INDEX('Documents'!$F$4:$F$503,_calc!$E$248),"yyyy-mm-dd"),""))</f>
        <v/>
      </c>
      <c r="C246" s="43">
        <f>IF(_calc!$E$248="","","Contractor document")</f>
        <v/>
      </c>
      <c r="D246" s="43">
        <f>IF(_calc!$E$248="","",IF(ISNUMBER(INDEX('Documents'!$E$4:$E$503,_calc!$E$248)),TEXT(INDEX('Documents'!$E$4:$E$503,_calc!$E$248),"yyyy-mm-dd"),""))</f>
        <v/>
      </c>
      <c r="E246" s="43">
        <f>IF(_calc!$E$248="","",IF(LEN(INDEX('Documents'!$N$4:$N$503,_calc!$E$248))=0,"",INDEX('Documents'!$N$4:$N$503,_calc!$E$248)))</f>
        <v/>
      </c>
      <c r="F246" s="43">
        <f>IF(_calc!$E$248="","",TRIM(IF(LEN(IF(LEN(INDEX('Documents'!$B$4:$B$503,_calc!$E$248))=0,"",INDEX('Documents'!$B$4:$B$503,_calc!$E$248)))=0,"","Trade: "&amp;IF(LEN(INDEX('Documents'!$B$4:$B$503,_calc!$E$248))=0,"",INDEX('Documents'!$B$4:$B$503,_calc!$E$248))&amp;". ")&amp;IF(LEN(IF(LEN(INDEX('Documents'!$D$4:$D$503,_calc!$E$248))=0,"",INDEX('Documents'!$D$4:$D$503,_calc!$E$248)))=0,"","Ref: "&amp;IF(LEN(INDEX('Documents'!$D$4:$D$503,_calc!$E$248))=0,"",INDEX('Documents'!$D$4:$D$503,_calc!$E$248))&amp;". ")&amp;IF(LEN(IF(LEN(INDEX('Documents'!$K$4:$K$503,_calc!$E$248))=0,"",INDEX('Documents'!$K$4:$K$503,_calc!$E$248)))=0,"","On file: "&amp;IF(LEN(INDEX('Documents'!$K$4:$K$503,_calc!$E$248))=0,"",INDEX('Documents'!$K$4:$K$503,_calc!$E$248))&amp;". ")&amp;IF(LEN(IF(LEN(INDEX('Documents'!$L$4:$L$503,_calc!$E$248))=0,"",INDEX('Documents'!$L$4:$L$503,_calc!$E$248)))=0,"","Contractor email: "&amp;IF(LEN(INDEX('Documents'!$L$4:$L$503,_calc!$E$248))=0,"",INDEX('Documents'!$L$4:$L$503,_calc!$E$248))&amp;". ")&amp;IF(LEN(IF(LEN(INDEX('Documents'!$P$4:$P$503,_calc!$E$248))=0,"",INDEX('Documents'!$P$4:$P$503,_calc!$E$248)))=0,"",IF(LEN(INDEX('Documents'!$P$4:$P$503,_calc!$E$248))=0,"",INDEX('Documents'!$P$4:$P$503,_calc!$E$248)))))</f>
        <v/>
      </c>
      <c r="G246" s="43">
        <f>IF(_calc!$E$248="","",IF(LEN(INDEX('Documents'!$O$4:$O$503,_calc!$E$248))=0,"",INDEX('Documents'!$O$4:$O$503,_calc!$E$248)))</f>
        <v/>
      </c>
      <c r="K246" s="43">
        <f>IF(_calc!$E$248="","",IF(LEN(INDEX('Documents'!$M$4:$M$503,_calc!$E$248))=0,"",INDEX('Documents'!$M$4:$M$503,_calc!$E$248)))</f>
        <v/>
      </c>
    </row>
    <row r="247">
      <c r="A247" s="43">
        <f>IF(_calc!$E$249="","",IF(LEN(INDEX('Documents'!$C$4:$C$503,_calc!$E$249))=0,"",INDEX('Documents'!$C$4:$C$503,_calc!$E$249))&amp;" – "&amp;IF(LEN(INDEX('Documents'!$A$4:$A$503,_calc!$E$249))=0,"",INDEX('Documents'!$A$4:$A$503,_calc!$E$249)))</f>
        <v/>
      </c>
      <c r="B247" s="43">
        <f>IF(_calc!$E$249="","",IF(ISNUMBER(INDEX('Documents'!$F$4:$F$503,_calc!$E$249)),TEXT(INDEX('Documents'!$F$4:$F$503,_calc!$E$249),"yyyy-mm-dd"),""))</f>
        <v/>
      </c>
      <c r="C247" s="43">
        <f>IF(_calc!$E$249="","","Contractor document")</f>
        <v/>
      </c>
      <c r="D247" s="43">
        <f>IF(_calc!$E$249="","",IF(ISNUMBER(INDEX('Documents'!$E$4:$E$503,_calc!$E$249)),TEXT(INDEX('Documents'!$E$4:$E$503,_calc!$E$249),"yyyy-mm-dd"),""))</f>
        <v/>
      </c>
      <c r="E247" s="43">
        <f>IF(_calc!$E$249="","",IF(LEN(INDEX('Documents'!$N$4:$N$503,_calc!$E$249))=0,"",INDEX('Documents'!$N$4:$N$503,_calc!$E$249)))</f>
        <v/>
      </c>
      <c r="F247" s="43">
        <f>IF(_calc!$E$249="","",TRIM(IF(LEN(IF(LEN(INDEX('Documents'!$B$4:$B$503,_calc!$E$249))=0,"",INDEX('Documents'!$B$4:$B$503,_calc!$E$249)))=0,"","Trade: "&amp;IF(LEN(INDEX('Documents'!$B$4:$B$503,_calc!$E$249))=0,"",INDEX('Documents'!$B$4:$B$503,_calc!$E$249))&amp;". ")&amp;IF(LEN(IF(LEN(INDEX('Documents'!$D$4:$D$503,_calc!$E$249))=0,"",INDEX('Documents'!$D$4:$D$503,_calc!$E$249)))=0,"","Ref: "&amp;IF(LEN(INDEX('Documents'!$D$4:$D$503,_calc!$E$249))=0,"",INDEX('Documents'!$D$4:$D$503,_calc!$E$249))&amp;". ")&amp;IF(LEN(IF(LEN(INDEX('Documents'!$K$4:$K$503,_calc!$E$249))=0,"",INDEX('Documents'!$K$4:$K$503,_calc!$E$249)))=0,"","On file: "&amp;IF(LEN(INDEX('Documents'!$K$4:$K$503,_calc!$E$249))=0,"",INDEX('Documents'!$K$4:$K$503,_calc!$E$249))&amp;". ")&amp;IF(LEN(IF(LEN(INDEX('Documents'!$L$4:$L$503,_calc!$E$249))=0,"",INDEX('Documents'!$L$4:$L$503,_calc!$E$249)))=0,"","Contractor email: "&amp;IF(LEN(INDEX('Documents'!$L$4:$L$503,_calc!$E$249))=0,"",INDEX('Documents'!$L$4:$L$503,_calc!$E$249))&amp;". ")&amp;IF(LEN(IF(LEN(INDEX('Documents'!$P$4:$P$503,_calc!$E$249))=0,"",INDEX('Documents'!$P$4:$P$503,_calc!$E$249)))=0,"",IF(LEN(INDEX('Documents'!$P$4:$P$503,_calc!$E$249))=0,"",INDEX('Documents'!$P$4:$P$503,_calc!$E$249)))))</f>
        <v/>
      </c>
      <c r="G247" s="43">
        <f>IF(_calc!$E$249="","",IF(LEN(INDEX('Documents'!$O$4:$O$503,_calc!$E$249))=0,"",INDEX('Documents'!$O$4:$O$503,_calc!$E$249)))</f>
        <v/>
      </c>
      <c r="K247" s="43">
        <f>IF(_calc!$E$249="","",IF(LEN(INDEX('Documents'!$M$4:$M$503,_calc!$E$249))=0,"",INDEX('Documents'!$M$4:$M$503,_calc!$E$249)))</f>
        <v/>
      </c>
    </row>
    <row r="248">
      <c r="A248" s="43">
        <f>IF(_calc!$E$250="","",IF(LEN(INDEX('Documents'!$C$4:$C$503,_calc!$E$250))=0,"",INDEX('Documents'!$C$4:$C$503,_calc!$E$250))&amp;" – "&amp;IF(LEN(INDEX('Documents'!$A$4:$A$503,_calc!$E$250))=0,"",INDEX('Documents'!$A$4:$A$503,_calc!$E$250)))</f>
        <v/>
      </c>
      <c r="B248" s="43">
        <f>IF(_calc!$E$250="","",IF(ISNUMBER(INDEX('Documents'!$F$4:$F$503,_calc!$E$250)),TEXT(INDEX('Documents'!$F$4:$F$503,_calc!$E$250),"yyyy-mm-dd"),""))</f>
        <v/>
      </c>
      <c r="C248" s="43">
        <f>IF(_calc!$E$250="","","Contractor document")</f>
        <v/>
      </c>
      <c r="D248" s="43">
        <f>IF(_calc!$E$250="","",IF(ISNUMBER(INDEX('Documents'!$E$4:$E$503,_calc!$E$250)),TEXT(INDEX('Documents'!$E$4:$E$503,_calc!$E$250),"yyyy-mm-dd"),""))</f>
        <v/>
      </c>
      <c r="E248" s="43">
        <f>IF(_calc!$E$250="","",IF(LEN(INDEX('Documents'!$N$4:$N$503,_calc!$E$250))=0,"",INDEX('Documents'!$N$4:$N$503,_calc!$E$250)))</f>
        <v/>
      </c>
      <c r="F248" s="43">
        <f>IF(_calc!$E$250="","",TRIM(IF(LEN(IF(LEN(INDEX('Documents'!$B$4:$B$503,_calc!$E$250))=0,"",INDEX('Documents'!$B$4:$B$503,_calc!$E$250)))=0,"","Trade: "&amp;IF(LEN(INDEX('Documents'!$B$4:$B$503,_calc!$E$250))=0,"",INDEX('Documents'!$B$4:$B$503,_calc!$E$250))&amp;". ")&amp;IF(LEN(IF(LEN(INDEX('Documents'!$D$4:$D$503,_calc!$E$250))=0,"",INDEX('Documents'!$D$4:$D$503,_calc!$E$250)))=0,"","Ref: "&amp;IF(LEN(INDEX('Documents'!$D$4:$D$503,_calc!$E$250))=0,"",INDEX('Documents'!$D$4:$D$503,_calc!$E$250))&amp;". ")&amp;IF(LEN(IF(LEN(INDEX('Documents'!$K$4:$K$503,_calc!$E$250))=0,"",INDEX('Documents'!$K$4:$K$503,_calc!$E$250)))=0,"","On file: "&amp;IF(LEN(INDEX('Documents'!$K$4:$K$503,_calc!$E$250))=0,"",INDEX('Documents'!$K$4:$K$503,_calc!$E$250))&amp;". ")&amp;IF(LEN(IF(LEN(INDEX('Documents'!$L$4:$L$503,_calc!$E$250))=0,"",INDEX('Documents'!$L$4:$L$503,_calc!$E$250)))=0,"","Contractor email: "&amp;IF(LEN(INDEX('Documents'!$L$4:$L$503,_calc!$E$250))=0,"",INDEX('Documents'!$L$4:$L$503,_calc!$E$250))&amp;". ")&amp;IF(LEN(IF(LEN(INDEX('Documents'!$P$4:$P$503,_calc!$E$250))=0,"",INDEX('Documents'!$P$4:$P$503,_calc!$E$250)))=0,"",IF(LEN(INDEX('Documents'!$P$4:$P$503,_calc!$E$250))=0,"",INDEX('Documents'!$P$4:$P$503,_calc!$E$250)))))</f>
        <v/>
      </c>
      <c r="G248" s="43">
        <f>IF(_calc!$E$250="","",IF(LEN(INDEX('Documents'!$O$4:$O$503,_calc!$E$250))=0,"",INDEX('Documents'!$O$4:$O$503,_calc!$E$250)))</f>
        <v/>
      </c>
      <c r="K248" s="43">
        <f>IF(_calc!$E$250="","",IF(LEN(INDEX('Documents'!$M$4:$M$503,_calc!$E$250))=0,"",INDEX('Documents'!$M$4:$M$503,_calc!$E$250)))</f>
        <v/>
      </c>
    </row>
    <row r="249">
      <c r="A249" s="43">
        <f>IF(_calc!$E$251="","",IF(LEN(INDEX('Documents'!$C$4:$C$503,_calc!$E$251))=0,"",INDEX('Documents'!$C$4:$C$503,_calc!$E$251))&amp;" – "&amp;IF(LEN(INDEX('Documents'!$A$4:$A$503,_calc!$E$251))=0,"",INDEX('Documents'!$A$4:$A$503,_calc!$E$251)))</f>
        <v/>
      </c>
      <c r="B249" s="43">
        <f>IF(_calc!$E$251="","",IF(ISNUMBER(INDEX('Documents'!$F$4:$F$503,_calc!$E$251)),TEXT(INDEX('Documents'!$F$4:$F$503,_calc!$E$251),"yyyy-mm-dd"),""))</f>
        <v/>
      </c>
      <c r="C249" s="43">
        <f>IF(_calc!$E$251="","","Contractor document")</f>
        <v/>
      </c>
      <c r="D249" s="43">
        <f>IF(_calc!$E$251="","",IF(ISNUMBER(INDEX('Documents'!$E$4:$E$503,_calc!$E$251)),TEXT(INDEX('Documents'!$E$4:$E$503,_calc!$E$251),"yyyy-mm-dd"),""))</f>
        <v/>
      </c>
      <c r="E249" s="43">
        <f>IF(_calc!$E$251="","",IF(LEN(INDEX('Documents'!$N$4:$N$503,_calc!$E$251))=0,"",INDEX('Documents'!$N$4:$N$503,_calc!$E$251)))</f>
        <v/>
      </c>
      <c r="F249" s="43">
        <f>IF(_calc!$E$251="","",TRIM(IF(LEN(IF(LEN(INDEX('Documents'!$B$4:$B$503,_calc!$E$251))=0,"",INDEX('Documents'!$B$4:$B$503,_calc!$E$251)))=0,"","Trade: "&amp;IF(LEN(INDEX('Documents'!$B$4:$B$503,_calc!$E$251))=0,"",INDEX('Documents'!$B$4:$B$503,_calc!$E$251))&amp;". ")&amp;IF(LEN(IF(LEN(INDEX('Documents'!$D$4:$D$503,_calc!$E$251))=0,"",INDEX('Documents'!$D$4:$D$503,_calc!$E$251)))=0,"","Ref: "&amp;IF(LEN(INDEX('Documents'!$D$4:$D$503,_calc!$E$251))=0,"",INDEX('Documents'!$D$4:$D$503,_calc!$E$251))&amp;". ")&amp;IF(LEN(IF(LEN(INDEX('Documents'!$K$4:$K$503,_calc!$E$251))=0,"",INDEX('Documents'!$K$4:$K$503,_calc!$E$251)))=0,"","On file: "&amp;IF(LEN(INDEX('Documents'!$K$4:$K$503,_calc!$E$251))=0,"",INDEX('Documents'!$K$4:$K$503,_calc!$E$251))&amp;". ")&amp;IF(LEN(IF(LEN(INDEX('Documents'!$L$4:$L$503,_calc!$E$251))=0,"",INDEX('Documents'!$L$4:$L$503,_calc!$E$251)))=0,"","Contractor email: "&amp;IF(LEN(INDEX('Documents'!$L$4:$L$503,_calc!$E$251))=0,"",INDEX('Documents'!$L$4:$L$503,_calc!$E$251))&amp;". ")&amp;IF(LEN(IF(LEN(INDEX('Documents'!$P$4:$P$503,_calc!$E$251))=0,"",INDEX('Documents'!$P$4:$P$503,_calc!$E$251)))=0,"",IF(LEN(INDEX('Documents'!$P$4:$P$503,_calc!$E$251))=0,"",INDEX('Documents'!$P$4:$P$503,_calc!$E$251)))))</f>
        <v/>
      </c>
      <c r="G249" s="43">
        <f>IF(_calc!$E$251="","",IF(LEN(INDEX('Documents'!$O$4:$O$503,_calc!$E$251))=0,"",INDEX('Documents'!$O$4:$O$503,_calc!$E$251)))</f>
        <v/>
      </c>
      <c r="K249" s="43">
        <f>IF(_calc!$E$251="","",IF(LEN(INDEX('Documents'!$M$4:$M$503,_calc!$E$251))=0,"",INDEX('Documents'!$M$4:$M$503,_calc!$E$251)))</f>
        <v/>
      </c>
    </row>
    <row r="250">
      <c r="A250" s="43">
        <f>IF(_calc!$E$252="","",IF(LEN(INDEX('Documents'!$C$4:$C$503,_calc!$E$252))=0,"",INDEX('Documents'!$C$4:$C$503,_calc!$E$252))&amp;" – "&amp;IF(LEN(INDEX('Documents'!$A$4:$A$503,_calc!$E$252))=0,"",INDEX('Documents'!$A$4:$A$503,_calc!$E$252)))</f>
        <v/>
      </c>
      <c r="B250" s="43">
        <f>IF(_calc!$E$252="","",IF(ISNUMBER(INDEX('Documents'!$F$4:$F$503,_calc!$E$252)),TEXT(INDEX('Documents'!$F$4:$F$503,_calc!$E$252),"yyyy-mm-dd"),""))</f>
        <v/>
      </c>
      <c r="C250" s="43">
        <f>IF(_calc!$E$252="","","Contractor document")</f>
        <v/>
      </c>
      <c r="D250" s="43">
        <f>IF(_calc!$E$252="","",IF(ISNUMBER(INDEX('Documents'!$E$4:$E$503,_calc!$E$252)),TEXT(INDEX('Documents'!$E$4:$E$503,_calc!$E$252),"yyyy-mm-dd"),""))</f>
        <v/>
      </c>
      <c r="E250" s="43">
        <f>IF(_calc!$E$252="","",IF(LEN(INDEX('Documents'!$N$4:$N$503,_calc!$E$252))=0,"",INDEX('Documents'!$N$4:$N$503,_calc!$E$252)))</f>
        <v/>
      </c>
      <c r="F250" s="43">
        <f>IF(_calc!$E$252="","",TRIM(IF(LEN(IF(LEN(INDEX('Documents'!$B$4:$B$503,_calc!$E$252))=0,"",INDEX('Documents'!$B$4:$B$503,_calc!$E$252)))=0,"","Trade: "&amp;IF(LEN(INDEX('Documents'!$B$4:$B$503,_calc!$E$252))=0,"",INDEX('Documents'!$B$4:$B$503,_calc!$E$252))&amp;". ")&amp;IF(LEN(IF(LEN(INDEX('Documents'!$D$4:$D$503,_calc!$E$252))=0,"",INDEX('Documents'!$D$4:$D$503,_calc!$E$252)))=0,"","Ref: "&amp;IF(LEN(INDEX('Documents'!$D$4:$D$503,_calc!$E$252))=0,"",INDEX('Documents'!$D$4:$D$503,_calc!$E$252))&amp;". ")&amp;IF(LEN(IF(LEN(INDEX('Documents'!$K$4:$K$503,_calc!$E$252))=0,"",INDEX('Documents'!$K$4:$K$503,_calc!$E$252)))=0,"","On file: "&amp;IF(LEN(INDEX('Documents'!$K$4:$K$503,_calc!$E$252))=0,"",INDEX('Documents'!$K$4:$K$503,_calc!$E$252))&amp;". ")&amp;IF(LEN(IF(LEN(INDEX('Documents'!$L$4:$L$503,_calc!$E$252))=0,"",INDEX('Documents'!$L$4:$L$503,_calc!$E$252)))=0,"","Contractor email: "&amp;IF(LEN(INDEX('Documents'!$L$4:$L$503,_calc!$E$252))=0,"",INDEX('Documents'!$L$4:$L$503,_calc!$E$252))&amp;". ")&amp;IF(LEN(IF(LEN(INDEX('Documents'!$P$4:$P$503,_calc!$E$252))=0,"",INDEX('Documents'!$P$4:$P$503,_calc!$E$252)))=0,"",IF(LEN(INDEX('Documents'!$P$4:$P$503,_calc!$E$252))=0,"",INDEX('Documents'!$P$4:$P$503,_calc!$E$252)))))</f>
        <v/>
      </c>
      <c r="G250" s="43">
        <f>IF(_calc!$E$252="","",IF(LEN(INDEX('Documents'!$O$4:$O$503,_calc!$E$252))=0,"",INDEX('Documents'!$O$4:$O$503,_calc!$E$252)))</f>
        <v/>
      </c>
      <c r="K250" s="43">
        <f>IF(_calc!$E$252="","",IF(LEN(INDEX('Documents'!$M$4:$M$503,_calc!$E$252))=0,"",INDEX('Documents'!$M$4:$M$503,_calc!$E$252)))</f>
        <v/>
      </c>
    </row>
    <row r="251">
      <c r="A251" s="43">
        <f>IF(_calc!$E$253="","",IF(LEN(INDEX('Documents'!$C$4:$C$503,_calc!$E$253))=0,"",INDEX('Documents'!$C$4:$C$503,_calc!$E$253))&amp;" – "&amp;IF(LEN(INDEX('Documents'!$A$4:$A$503,_calc!$E$253))=0,"",INDEX('Documents'!$A$4:$A$503,_calc!$E$253)))</f>
        <v/>
      </c>
      <c r="B251" s="43">
        <f>IF(_calc!$E$253="","",IF(ISNUMBER(INDEX('Documents'!$F$4:$F$503,_calc!$E$253)),TEXT(INDEX('Documents'!$F$4:$F$503,_calc!$E$253),"yyyy-mm-dd"),""))</f>
        <v/>
      </c>
      <c r="C251" s="43">
        <f>IF(_calc!$E$253="","","Contractor document")</f>
        <v/>
      </c>
      <c r="D251" s="43">
        <f>IF(_calc!$E$253="","",IF(ISNUMBER(INDEX('Documents'!$E$4:$E$503,_calc!$E$253)),TEXT(INDEX('Documents'!$E$4:$E$503,_calc!$E$253),"yyyy-mm-dd"),""))</f>
        <v/>
      </c>
      <c r="E251" s="43">
        <f>IF(_calc!$E$253="","",IF(LEN(INDEX('Documents'!$N$4:$N$503,_calc!$E$253))=0,"",INDEX('Documents'!$N$4:$N$503,_calc!$E$253)))</f>
        <v/>
      </c>
      <c r="F251" s="43">
        <f>IF(_calc!$E$253="","",TRIM(IF(LEN(IF(LEN(INDEX('Documents'!$B$4:$B$503,_calc!$E$253))=0,"",INDEX('Documents'!$B$4:$B$503,_calc!$E$253)))=0,"","Trade: "&amp;IF(LEN(INDEX('Documents'!$B$4:$B$503,_calc!$E$253))=0,"",INDEX('Documents'!$B$4:$B$503,_calc!$E$253))&amp;". ")&amp;IF(LEN(IF(LEN(INDEX('Documents'!$D$4:$D$503,_calc!$E$253))=0,"",INDEX('Documents'!$D$4:$D$503,_calc!$E$253)))=0,"","Ref: "&amp;IF(LEN(INDEX('Documents'!$D$4:$D$503,_calc!$E$253))=0,"",INDEX('Documents'!$D$4:$D$503,_calc!$E$253))&amp;". ")&amp;IF(LEN(IF(LEN(INDEX('Documents'!$K$4:$K$503,_calc!$E$253))=0,"",INDEX('Documents'!$K$4:$K$503,_calc!$E$253)))=0,"","On file: "&amp;IF(LEN(INDEX('Documents'!$K$4:$K$503,_calc!$E$253))=0,"",INDEX('Documents'!$K$4:$K$503,_calc!$E$253))&amp;". ")&amp;IF(LEN(IF(LEN(INDEX('Documents'!$L$4:$L$503,_calc!$E$253))=0,"",INDEX('Documents'!$L$4:$L$503,_calc!$E$253)))=0,"","Contractor email: "&amp;IF(LEN(INDEX('Documents'!$L$4:$L$503,_calc!$E$253))=0,"",INDEX('Documents'!$L$4:$L$503,_calc!$E$253))&amp;". ")&amp;IF(LEN(IF(LEN(INDEX('Documents'!$P$4:$P$503,_calc!$E$253))=0,"",INDEX('Documents'!$P$4:$P$503,_calc!$E$253)))=0,"",IF(LEN(INDEX('Documents'!$P$4:$P$503,_calc!$E$253))=0,"",INDEX('Documents'!$P$4:$P$503,_calc!$E$253)))))</f>
        <v/>
      </c>
      <c r="G251" s="43">
        <f>IF(_calc!$E$253="","",IF(LEN(INDEX('Documents'!$O$4:$O$503,_calc!$E$253))=0,"",INDEX('Documents'!$O$4:$O$503,_calc!$E$253)))</f>
        <v/>
      </c>
      <c r="K251" s="43">
        <f>IF(_calc!$E$253="","",IF(LEN(INDEX('Documents'!$M$4:$M$503,_calc!$E$253))=0,"",INDEX('Documents'!$M$4:$M$503,_calc!$E$253)))</f>
        <v/>
      </c>
    </row>
    <row r="252">
      <c r="A252" s="43">
        <f>IF(_calc!$E$254="","",IF(LEN(INDEX('Documents'!$C$4:$C$503,_calc!$E$254))=0,"",INDEX('Documents'!$C$4:$C$503,_calc!$E$254))&amp;" – "&amp;IF(LEN(INDEX('Documents'!$A$4:$A$503,_calc!$E$254))=0,"",INDEX('Documents'!$A$4:$A$503,_calc!$E$254)))</f>
        <v/>
      </c>
      <c r="B252" s="43">
        <f>IF(_calc!$E$254="","",IF(ISNUMBER(INDEX('Documents'!$F$4:$F$503,_calc!$E$254)),TEXT(INDEX('Documents'!$F$4:$F$503,_calc!$E$254),"yyyy-mm-dd"),""))</f>
        <v/>
      </c>
      <c r="C252" s="43">
        <f>IF(_calc!$E$254="","","Contractor document")</f>
        <v/>
      </c>
      <c r="D252" s="43">
        <f>IF(_calc!$E$254="","",IF(ISNUMBER(INDEX('Documents'!$E$4:$E$503,_calc!$E$254)),TEXT(INDEX('Documents'!$E$4:$E$503,_calc!$E$254),"yyyy-mm-dd"),""))</f>
        <v/>
      </c>
      <c r="E252" s="43">
        <f>IF(_calc!$E$254="","",IF(LEN(INDEX('Documents'!$N$4:$N$503,_calc!$E$254))=0,"",INDEX('Documents'!$N$4:$N$503,_calc!$E$254)))</f>
        <v/>
      </c>
      <c r="F252" s="43">
        <f>IF(_calc!$E$254="","",TRIM(IF(LEN(IF(LEN(INDEX('Documents'!$B$4:$B$503,_calc!$E$254))=0,"",INDEX('Documents'!$B$4:$B$503,_calc!$E$254)))=0,"","Trade: "&amp;IF(LEN(INDEX('Documents'!$B$4:$B$503,_calc!$E$254))=0,"",INDEX('Documents'!$B$4:$B$503,_calc!$E$254))&amp;". ")&amp;IF(LEN(IF(LEN(INDEX('Documents'!$D$4:$D$503,_calc!$E$254))=0,"",INDEX('Documents'!$D$4:$D$503,_calc!$E$254)))=0,"","Ref: "&amp;IF(LEN(INDEX('Documents'!$D$4:$D$503,_calc!$E$254))=0,"",INDEX('Documents'!$D$4:$D$503,_calc!$E$254))&amp;". ")&amp;IF(LEN(IF(LEN(INDEX('Documents'!$K$4:$K$503,_calc!$E$254))=0,"",INDEX('Documents'!$K$4:$K$503,_calc!$E$254)))=0,"","On file: "&amp;IF(LEN(INDEX('Documents'!$K$4:$K$503,_calc!$E$254))=0,"",INDEX('Documents'!$K$4:$K$503,_calc!$E$254))&amp;". ")&amp;IF(LEN(IF(LEN(INDEX('Documents'!$L$4:$L$503,_calc!$E$254))=0,"",INDEX('Documents'!$L$4:$L$503,_calc!$E$254)))=0,"","Contractor email: "&amp;IF(LEN(INDEX('Documents'!$L$4:$L$503,_calc!$E$254))=0,"",INDEX('Documents'!$L$4:$L$503,_calc!$E$254))&amp;". ")&amp;IF(LEN(IF(LEN(INDEX('Documents'!$P$4:$P$503,_calc!$E$254))=0,"",INDEX('Documents'!$P$4:$P$503,_calc!$E$254)))=0,"",IF(LEN(INDEX('Documents'!$P$4:$P$503,_calc!$E$254))=0,"",INDEX('Documents'!$P$4:$P$503,_calc!$E$254)))))</f>
        <v/>
      </c>
      <c r="G252" s="43">
        <f>IF(_calc!$E$254="","",IF(LEN(INDEX('Documents'!$O$4:$O$503,_calc!$E$254))=0,"",INDEX('Documents'!$O$4:$O$503,_calc!$E$254)))</f>
        <v/>
      </c>
      <c r="K252" s="43">
        <f>IF(_calc!$E$254="","",IF(LEN(INDEX('Documents'!$M$4:$M$503,_calc!$E$254))=0,"",INDEX('Documents'!$M$4:$M$503,_calc!$E$254)))</f>
        <v/>
      </c>
    </row>
    <row r="253">
      <c r="A253" s="43">
        <f>IF(_calc!$E$255="","",IF(LEN(INDEX('Documents'!$C$4:$C$503,_calc!$E$255))=0,"",INDEX('Documents'!$C$4:$C$503,_calc!$E$255))&amp;" – "&amp;IF(LEN(INDEX('Documents'!$A$4:$A$503,_calc!$E$255))=0,"",INDEX('Documents'!$A$4:$A$503,_calc!$E$255)))</f>
        <v/>
      </c>
      <c r="B253" s="43">
        <f>IF(_calc!$E$255="","",IF(ISNUMBER(INDEX('Documents'!$F$4:$F$503,_calc!$E$255)),TEXT(INDEX('Documents'!$F$4:$F$503,_calc!$E$255),"yyyy-mm-dd"),""))</f>
        <v/>
      </c>
      <c r="C253" s="43">
        <f>IF(_calc!$E$255="","","Contractor document")</f>
        <v/>
      </c>
      <c r="D253" s="43">
        <f>IF(_calc!$E$255="","",IF(ISNUMBER(INDEX('Documents'!$E$4:$E$503,_calc!$E$255)),TEXT(INDEX('Documents'!$E$4:$E$503,_calc!$E$255),"yyyy-mm-dd"),""))</f>
        <v/>
      </c>
      <c r="E253" s="43">
        <f>IF(_calc!$E$255="","",IF(LEN(INDEX('Documents'!$N$4:$N$503,_calc!$E$255))=0,"",INDEX('Documents'!$N$4:$N$503,_calc!$E$255)))</f>
        <v/>
      </c>
      <c r="F253" s="43">
        <f>IF(_calc!$E$255="","",TRIM(IF(LEN(IF(LEN(INDEX('Documents'!$B$4:$B$503,_calc!$E$255))=0,"",INDEX('Documents'!$B$4:$B$503,_calc!$E$255)))=0,"","Trade: "&amp;IF(LEN(INDEX('Documents'!$B$4:$B$503,_calc!$E$255))=0,"",INDEX('Documents'!$B$4:$B$503,_calc!$E$255))&amp;". ")&amp;IF(LEN(IF(LEN(INDEX('Documents'!$D$4:$D$503,_calc!$E$255))=0,"",INDEX('Documents'!$D$4:$D$503,_calc!$E$255)))=0,"","Ref: "&amp;IF(LEN(INDEX('Documents'!$D$4:$D$503,_calc!$E$255))=0,"",INDEX('Documents'!$D$4:$D$503,_calc!$E$255))&amp;". ")&amp;IF(LEN(IF(LEN(INDEX('Documents'!$K$4:$K$503,_calc!$E$255))=0,"",INDEX('Documents'!$K$4:$K$503,_calc!$E$255)))=0,"","On file: "&amp;IF(LEN(INDEX('Documents'!$K$4:$K$503,_calc!$E$255))=0,"",INDEX('Documents'!$K$4:$K$503,_calc!$E$255))&amp;". ")&amp;IF(LEN(IF(LEN(INDEX('Documents'!$L$4:$L$503,_calc!$E$255))=0,"",INDEX('Documents'!$L$4:$L$503,_calc!$E$255)))=0,"","Contractor email: "&amp;IF(LEN(INDEX('Documents'!$L$4:$L$503,_calc!$E$255))=0,"",INDEX('Documents'!$L$4:$L$503,_calc!$E$255))&amp;". ")&amp;IF(LEN(IF(LEN(INDEX('Documents'!$P$4:$P$503,_calc!$E$255))=0,"",INDEX('Documents'!$P$4:$P$503,_calc!$E$255)))=0,"",IF(LEN(INDEX('Documents'!$P$4:$P$503,_calc!$E$255))=0,"",INDEX('Documents'!$P$4:$P$503,_calc!$E$255)))))</f>
        <v/>
      </c>
      <c r="G253" s="43">
        <f>IF(_calc!$E$255="","",IF(LEN(INDEX('Documents'!$O$4:$O$503,_calc!$E$255))=0,"",INDEX('Documents'!$O$4:$O$503,_calc!$E$255)))</f>
        <v/>
      </c>
      <c r="K253" s="43">
        <f>IF(_calc!$E$255="","",IF(LEN(INDEX('Documents'!$M$4:$M$503,_calc!$E$255))=0,"",INDEX('Documents'!$M$4:$M$503,_calc!$E$255)))</f>
        <v/>
      </c>
    </row>
    <row r="254">
      <c r="A254" s="43">
        <f>IF(_calc!$E$256="","",IF(LEN(INDEX('Documents'!$C$4:$C$503,_calc!$E$256))=0,"",INDEX('Documents'!$C$4:$C$503,_calc!$E$256))&amp;" – "&amp;IF(LEN(INDEX('Documents'!$A$4:$A$503,_calc!$E$256))=0,"",INDEX('Documents'!$A$4:$A$503,_calc!$E$256)))</f>
        <v/>
      </c>
      <c r="B254" s="43">
        <f>IF(_calc!$E$256="","",IF(ISNUMBER(INDEX('Documents'!$F$4:$F$503,_calc!$E$256)),TEXT(INDEX('Documents'!$F$4:$F$503,_calc!$E$256),"yyyy-mm-dd"),""))</f>
        <v/>
      </c>
      <c r="C254" s="43">
        <f>IF(_calc!$E$256="","","Contractor document")</f>
        <v/>
      </c>
      <c r="D254" s="43">
        <f>IF(_calc!$E$256="","",IF(ISNUMBER(INDEX('Documents'!$E$4:$E$503,_calc!$E$256)),TEXT(INDEX('Documents'!$E$4:$E$503,_calc!$E$256),"yyyy-mm-dd"),""))</f>
        <v/>
      </c>
      <c r="E254" s="43">
        <f>IF(_calc!$E$256="","",IF(LEN(INDEX('Documents'!$N$4:$N$503,_calc!$E$256))=0,"",INDEX('Documents'!$N$4:$N$503,_calc!$E$256)))</f>
        <v/>
      </c>
      <c r="F254" s="43">
        <f>IF(_calc!$E$256="","",TRIM(IF(LEN(IF(LEN(INDEX('Documents'!$B$4:$B$503,_calc!$E$256))=0,"",INDEX('Documents'!$B$4:$B$503,_calc!$E$256)))=0,"","Trade: "&amp;IF(LEN(INDEX('Documents'!$B$4:$B$503,_calc!$E$256))=0,"",INDEX('Documents'!$B$4:$B$503,_calc!$E$256))&amp;". ")&amp;IF(LEN(IF(LEN(INDEX('Documents'!$D$4:$D$503,_calc!$E$256))=0,"",INDEX('Documents'!$D$4:$D$503,_calc!$E$256)))=0,"","Ref: "&amp;IF(LEN(INDEX('Documents'!$D$4:$D$503,_calc!$E$256))=0,"",INDEX('Documents'!$D$4:$D$503,_calc!$E$256))&amp;". ")&amp;IF(LEN(IF(LEN(INDEX('Documents'!$K$4:$K$503,_calc!$E$256))=0,"",INDEX('Documents'!$K$4:$K$503,_calc!$E$256)))=0,"","On file: "&amp;IF(LEN(INDEX('Documents'!$K$4:$K$503,_calc!$E$256))=0,"",INDEX('Documents'!$K$4:$K$503,_calc!$E$256))&amp;". ")&amp;IF(LEN(IF(LEN(INDEX('Documents'!$L$4:$L$503,_calc!$E$256))=0,"",INDEX('Documents'!$L$4:$L$503,_calc!$E$256)))=0,"","Contractor email: "&amp;IF(LEN(INDEX('Documents'!$L$4:$L$503,_calc!$E$256))=0,"",INDEX('Documents'!$L$4:$L$503,_calc!$E$256))&amp;". ")&amp;IF(LEN(IF(LEN(INDEX('Documents'!$P$4:$P$503,_calc!$E$256))=0,"",INDEX('Documents'!$P$4:$P$503,_calc!$E$256)))=0,"",IF(LEN(INDEX('Documents'!$P$4:$P$503,_calc!$E$256))=0,"",INDEX('Documents'!$P$4:$P$503,_calc!$E$256)))))</f>
        <v/>
      </c>
      <c r="G254" s="43">
        <f>IF(_calc!$E$256="","",IF(LEN(INDEX('Documents'!$O$4:$O$503,_calc!$E$256))=0,"",INDEX('Documents'!$O$4:$O$503,_calc!$E$256)))</f>
        <v/>
      </c>
      <c r="K254" s="43">
        <f>IF(_calc!$E$256="","",IF(LEN(INDEX('Documents'!$M$4:$M$503,_calc!$E$256))=0,"",INDEX('Documents'!$M$4:$M$503,_calc!$E$256)))</f>
        <v/>
      </c>
    </row>
    <row r="255">
      <c r="A255" s="43">
        <f>IF(_calc!$E$257="","",IF(LEN(INDEX('Documents'!$C$4:$C$503,_calc!$E$257))=0,"",INDEX('Documents'!$C$4:$C$503,_calc!$E$257))&amp;" – "&amp;IF(LEN(INDEX('Documents'!$A$4:$A$503,_calc!$E$257))=0,"",INDEX('Documents'!$A$4:$A$503,_calc!$E$257)))</f>
        <v/>
      </c>
      <c r="B255" s="43">
        <f>IF(_calc!$E$257="","",IF(ISNUMBER(INDEX('Documents'!$F$4:$F$503,_calc!$E$257)),TEXT(INDEX('Documents'!$F$4:$F$503,_calc!$E$257),"yyyy-mm-dd"),""))</f>
        <v/>
      </c>
      <c r="C255" s="43">
        <f>IF(_calc!$E$257="","","Contractor document")</f>
        <v/>
      </c>
      <c r="D255" s="43">
        <f>IF(_calc!$E$257="","",IF(ISNUMBER(INDEX('Documents'!$E$4:$E$503,_calc!$E$257)),TEXT(INDEX('Documents'!$E$4:$E$503,_calc!$E$257),"yyyy-mm-dd"),""))</f>
        <v/>
      </c>
      <c r="E255" s="43">
        <f>IF(_calc!$E$257="","",IF(LEN(INDEX('Documents'!$N$4:$N$503,_calc!$E$257))=0,"",INDEX('Documents'!$N$4:$N$503,_calc!$E$257)))</f>
        <v/>
      </c>
      <c r="F255" s="43">
        <f>IF(_calc!$E$257="","",TRIM(IF(LEN(IF(LEN(INDEX('Documents'!$B$4:$B$503,_calc!$E$257))=0,"",INDEX('Documents'!$B$4:$B$503,_calc!$E$257)))=0,"","Trade: "&amp;IF(LEN(INDEX('Documents'!$B$4:$B$503,_calc!$E$257))=0,"",INDEX('Documents'!$B$4:$B$503,_calc!$E$257))&amp;". ")&amp;IF(LEN(IF(LEN(INDEX('Documents'!$D$4:$D$503,_calc!$E$257))=0,"",INDEX('Documents'!$D$4:$D$503,_calc!$E$257)))=0,"","Ref: "&amp;IF(LEN(INDEX('Documents'!$D$4:$D$503,_calc!$E$257))=0,"",INDEX('Documents'!$D$4:$D$503,_calc!$E$257))&amp;". ")&amp;IF(LEN(IF(LEN(INDEX('Documents'!$K$4:$K$503,_calc!$E$257))=0,"",INDEX('Documents'!$K$4:$K$503,_calc!$E$257)))=0,"","On file: "&amp;IF(LEN(INDEX('Documents'!$K$4:$K$503,_calc!$E$257))=0,"",INDEX('Documents'!$K$4:$K$503,_calc!$E$257))&amp;". ")&amp;IF(LEN(IF(LEN(INDEX('Documents'!$L$4:$L$503,_calc!$E$257))=0,"",INDEX('Documents'!$L$4:$L$503,_calc!$E$257)))=0,"","Contractor email: "&amp;IF(LEN(INDEX('Documents'!$L$4:$L$503,_calc!$E$257))=0,"",INDEX('Documents'!$L$4:$L$503,_calc!$E$257))&amp;". ")&amp;IF(LEN(IF(LEN(INDEX('Documents'!$P$4:$P$503,_calc!$E$257))=0,"",INDEX('Documents'!$P$4:$P$503,_calc!$E$257)))=0,"",IF(LEN(INDEX('Documents'!$P$4:$P$503,_calc!$E$257))=0,"",INDEX('Documents'!$P$4:$P$503,_calc!$E$257)))))</f>
        <v/>
      </c>
      <c r="G255" s="43">
        <f>IF(_calc!$E$257="","",IF(LEN(INDEX('Documents'!$O$4:$O$503,_calc!$E$257))=0,"",INDEX('Documents'!$O$4:$O$503,_calc!$E$257)))</f>
        <v/>
      </c>
      <c r="K255" s="43">
        <f>IF(_calc!$E$257="","",IF(LEN(INDEX('Documents'!$M$4:$M$503,_calc!$E$257))=0,"",INDEX('Documents'!$M$4:$M$503,_calc!$E$257)))</f>
        <v/>
      </c>
    </row>
    <row r="256">
      <c r="A256" s="43">
        <f>IF(_calc!$E$258="","",IF(LEN(INDEX('Documents'!$C$4:$C$503,_calc!$E$258))=0,"",INDEX('Documents'!$C$4:$C$503,_calc!$E$258))&amp;" – "&amp;IF(LEN(INDEX('Documents'!$A$4:$A$503,_calc!$E$258))=0,"",INDEX('Documents'!$A$4:$A$503,_calc!$E$258)))</f>
        <v/>
      </c>
      <c r="B256" s="43">
        <f>IF(_calc!$E$258="","",IF(ISNUMBER(INDEX('Documents'!$F$4:$F$503,_calc!$E$258)),TEXT(INDEX('Documents'!$F$4:$F$503,_calc!$E$258),"yyyy-mm-dd"),""))</f>
        <v/>
      </c>
      <c r="C256" s="43">
        <f>IF(_calc!$E$258="","","Contractor document")</f>
        <v/>
      </c>
      <c r="D256" s="43">
        <f>IF(_calc!$E$258="","",IF(ISNUMBER(INDEX('Documents'!$E$4:$E$503,_calc!$E$258)),TEXT(INDEX('Documents'!$E$4:$E$503,_calc!$E$258),"yyyy-mm-dd"),""))</f>
        <v/>
      </c>
      <c r="E256" s="43">
        <f>IF(_calc!$E$258="","",IF(LEN(INDEX('Documents'!$N$4:$N$503,_calc!$E$258))=0,"",INDEX('Documents'!$N$4:$N$503,_calc!$E$258)))</f>
        <v/>
      </c>
      <c r="F256" s="43">
        <f>IF(_calc!$E$258="","",TRIM(IF(LEN(IF(LEN(INDEX('Documents'!$B$4:$B$503,_calc!$E$258))=0,"",INDEX('Documents'!$B$4:$B$503,_calc!$E$258)))=0,"","Trade: "&amp;IF(LEN(INDEX('Documents'!$B$4:$B$503,_calc!$E$258))=0,"",INDEX('Documents'!$B$4:$B$503,_calc!$E$258))&amp;". ")&amp;IF(LEN(IF(LEN(INDEX('Documents'!$D$4:$D$503,_calc!$E$258))=0,"",INDEX('Documents'!$D$4:$D$503,_calc!$E$258)))=0,"","Ref: "&amp;IF(LEN(INDEX('Documents'!$D$4:$D$503,_calc!$E$258))=0,"",INDEX('Documents'!$D$4:$D$503,_calc!$E$258))&amp;". ")&amp;IF(LEN(IF(LEN(INDEX('Documents'!$K$4:$K$503,_calc!$E$258))=0,"",INDEX('Documents'!$K$4:$K$503,_calc!$E$258)))=0,"","On file: "&amp;IF(LEN(INDEX('Documents'!$K$4:$K$503,_calc!$E$258))=0,"",INDEX('Documents'!$K$4:$K$503,_calc!$E$258))&amp;". ")&amp;IF(LEN(IF(LEN(INDEX('Documents'!$L$4:$L$503,_calc!$E$258))=0,"",INDEX('Documents'!$L$4:$L$503,_calc!$E$258)))=0,"","Contractor email: "&amp;IF(LEN(INDEX('Documents'!$L$4:$L$503,_calc!$E$258))=0,"",INDEX('Documents'!$L$4:$L$503,_calc!$E$258))&amp;". ")&amp;IF(LEN(IF(LEN(INDEX('Documents'!$P$4:$P$503,_calc!$E$258))=0,"",INDEX('Documents'!$P$4:$P$503,_calc!$E$258)))=0,"",IF(LEN(INDEX('Documents'!$P$4:$P$503,_calc!$E$258))=0,"",INDEX('Documents'!$P$4:$P$503,_calc!$E$258)))))</f>
        <v/>
      </c>
      <c r="G256" s="43">
        <f>IF(_calc!$E$258="","",IF(LEN(INDEX('Documents'!$O$4:$O$503,_calc!$E$258))=0,"",INDEX('Documents'!$O$4:$O$503,_calc!$E$258)))</f>
        <v/>
      </c>
      <c r="K256" s="43">
        <f>IF(_calc!$E$258="","",IF(LEN(INDEX('Documents'!$M$4:$M$503,_calc!$E$258))=0,"",INDEX('Documents'!$M$4:$M$503,_calc!$E$258)))</f>
        <v/>
      </c>
    </row>
    <row r="257">
      <c r="A257" s="43">
        <f>IF(_calc!$E$259="","",IF(LEN(INDEX('Documents'!$C$4:$C$503,_calc!$E$259))=0,"",INDEX('Documents'!$C$4:$C$503,_calc!$E$259))&amp;" – "&amp;IF(LEN(INDEX('Documents'!$A$4:$A$503,_calc!$E$259))=0,"",INDEX('Documents'!$A$4:$A$503,_calc!$E$259)))</f>
        <v/>
      </c>
      <c r="B257" s="43">
        <f>IF(_calc!$E$259="","",IF(ISNUMBER(INDEX('Documents'!$F$4:$F$503,_calc!$E$259)),TEXT(INDEX('Documents'!$F$4:$F$503,_calc!$E$259),"yyyy-mm-dd"),""))</f>
        <v/>
      </c>
      <c r="C257" s="43">
        <f>IF(_calc!$E$259="","","Contractor document")</f>
        <v/>
      </c>
      <c r="D257" s="43">
        <f>IF(_calc!$E$259="","",IF(ISNUMBER(INDEX('Documents'!$E$4:$E$503,_calc!$E$259)),TEXT(INDEX('Documents'!$E$4:$E$503,_calc!$E$259),"yyyy-mm-dd"),""))</f>
        <v/>
      </c>
      <c r="E257" s="43">
        <f>IF(_calc!$E$259="","",IF(LEN(INDEX('Documents'!$N$4:$N$503,_calc!$E$259))=0,"",INDEX('Documents'!$N$4:$N$503,_calc!$E$259)))</f>
        <v/>
      </c>
      <c r="F257" s="43">
        <f>IF(_calc!$E$259="","",TRIM(IF(LEN(IF(LEN(INDEX('Documents'!$B$4:$B$503,_calc!$E$259))=0,"",INDEX('Documents'!$B$4:$B$503,_calc!$E$259)))=0,"","Trade: "&amp;IF(LEN(INDEX('Documents'!$B$4:$B$503,_calc!$E$259))=0,"",INDEX('Documents'!$B$4:$B$503,_calc!$E$259))&amp;". ")&amp;IF(LEN(IF(LEN(INDEX('Documents'!$D$4:$D$503,_calc!$E$259))=0,"",INDEX('Documents'!$D$4:$D$503,_calc!$E$259)))=0,"","Ref: "&amp;IF(LEN(INDEX('Documents'!$D$4:$D$503,_calc!$E$259))=0,"",INDEX('Documents'!$D$4:$D$503,_calc!$E$259))&amp;". ")&amp;IF(LEN(IF(LEN(INDEX('Documents'!$K$4:$K$503,_calc!$E$259))=0,"",INDEX('Documents'!$K$4:$K$503,_calc!$E$259)))=0,"","On file: "&amp;IF(LEN(INDEX('Documents'!$K$4:$K$503,_calc!$E$259))=0,"",INDEX('Documents'!$K$4:$K$503,_calc!$E$259))&amp;". ")&amp;IF(LEN(IF(LEN(INDEX('Documents'!$L$4:$L$503,_calc!$E$259))=0,"",INDEX('Documents'!$L$4:$L$503,_calc!$E$259)))=0,"","Contractor email: "&amp;IF(LEN(INDEX('Documents'!$L$4:$L$503,_calc!$E$259))=0,"",INDEX('Documents'!$L$4:$L$503,_calc!$E$259))&amp;". ")&amp;IF(LEN(IF(LEN(INDEX('Documents'!$P$4:$P$503,_calc!$E$259))=0,"",INDEX('Documents'!$P$4:$P$503,_calc!$E$259)))=0,"",IF(LEN(INDEX('Documents'!$P$4:$P$503,_calc!$E$259))=0,"",INDEX('Documents'!$P$4:$P$503,_calc!$E$259)))))</f>
        <v/>
      </c>
      <c r="G257" s="43">
        <f>IF(_calc!$E$259="","",IF(LEN(INDEX('Documents'!$O$4:$O$503,_calc!$E$259))=0,"",INDEX('Documents'!$O$4:$O$503,_calc!$E$259)))</f>
        <v/>
      </c>
      <c r="K257" s="43">
        <f>IF(_calc!$E$259="","",IF(LEN(INDEX('Documents'!$M$4:$M$503,_calc!$E$259))=0,"",INDEX('Documents'!$M$4:$M$503,_calc!$E$259)))</f>
        <v/>
      </c>
    </row>
    <row r="258">
      <c r="A258" s="43">
        <f>IF(_calc!$E$260="","",IF(LEN(INDEX('Documents'!$C$4:$C$503,_calc!$E$260))=0,"",INDEX('Documents'!$C$4:$C$503,_calc!$E$260))&amp;" – "&amp;IF(LEN(INDEX('Documents'!$A$4:$A$503,_calc!$E$260))=0,"",INDEX('Documents'!$A$4:$A$503,_calc!$E$260)))</f>
        <v/>
      </c>
      <c r="B258" s="43">
        <f>IF(_calc!$E$260="","",IF(ISNUMBER(INDEX('Documents'!$F$4:$F$503,_calc!$E$260)),TEXT(INDEX('Documents'!$F$4:$F$503,_calc!$E$260),"yyyy-mm-dd"),""))</f>
        <v/>
      </c>
      <c r="C258" s="43">
        <f>IF(_calc!$E$260="","","Contractor document")</f>
        <v/>
      </c>
      <c r="D258" s="43">
        <f>IF(_calc!$E$260="","",IF(ISNUMBER(INDEX('Documents'!$E$4:$E$503,_calc!$E$260)),TEXT(INDEX('Documents'!$E$4:$E$503,_calc!$E$260),"yyyy-mm-dd"),""))</f>
        <v/>
      </c>
      <c r="E258" s="43">
        <f>IF(_calc!$E$260="","",IF(LEN(INDEX('Documents'!$N$4:$N$503,_calc!$E$260))=0,"",INDEX('Documents'!$N$4:$N$503,_calc!$E$260)))</f>
        <v/>
      </c>
      <c r="F258" s="43">
        <f>IF(_calc!$E$260="","",TRIM(IF(LEN(IF(LEN(INDEX('Documents'!$B$4:$B$503,_calc!$E$260))=0,"",INDEX('Documents'!$B$4:$B$503,_calc!$E$260)))=0,"","Trade: "&amp;IF(LEN(INDEX('Documents'!$B$4:$B$503,_calc!$E$260))=0,"",INDEX('Documents'!$B$4:$B$503,_calc!$E$260))&amp;". ")&amp;IF(LEN(IF(LEN(INDEX('Documents'!$D$4:$D$503,_calc!$E$260))=0,"",INDEX('Documents'!$D$4:$D$503,_calc!$E$260)))=0,"","Ref: "&amp;IF(LEN(INDEX('Documents'!$D$4:$D$503,_calc!$E$260))=0,"",INDEX('Documents'!$D$4:$D$503,_calc!$E$260))&amp;". ")&amp;IF(LEN(IF(LEN(INDEX('Documents'!$K$4:$K$503,_calc!$E$260))=0,"",INDEX('Documents'!$K$4:$K$503,_calc!$E$260)))=0,"","On file: "&amp;IF(LEN(INDEX('Documents'!$K$4:$K$503,_calc!$E$260))=0,"",INDEX('Documents'!$K$4:$K$503,_calc!$E$260))&amp;". ")&amp;IF(LEN(IF(LEN(INDEX('Documents'!$L$4:$L$503,_calc!$E$260))=0,"",INDEX('Documents'!$L$4:$L$503,_calc!$E$260)))=0,"","Contractor email: "&amp;IF(LEN(INDEX('Documents'!$L$4:$L$503,_calc!$E$260))=0,"",INDEX('Documents'!$L$4:$L$503,_calc!$E$260))&amp;". ")&amp;IF(LEN(IF(LEN(INDEX('Documents'!$P$4:$P$503,_calc!$E$260))=0,"",INDEX('Documents'!$P$4:$P$503,_calc!$E$260)))=0,"",IF(LEN(INDEX('Documents'!$P$4:$P$503,_calc!$E$260))=0,"",INDEX('Documents'!$P$4:$P$503,_calc!$E$260)))))</f>
        <v/>
      </c>
      <c r="G258" s="43">
        <f>IF(_calc!$E$260="","",IF(LEN(INDEX('Documents'!$O$4:$O$503,_calc!$E$260))=0,"",INDEX('Documents'!$O$4:$O$503,_calc!$E$260)))</f>
        <v/>
      </c>
      <c r="K258" s="43">
        <f>IF(_calc!$E$260="","",IF(LEN(INDEX('Documents'!$M$4:$M$503,_calc!$E$260))=0,"",INDEX('Documents'!$M$4:$M$503,_calc!$E$260)))</f>
        <v/>
      </c>
    </row>
    <row r="259">
      <c r="A259" s="43">
        <f>IF(_calc!$E$261="","",IF(LEN(INDEX('Documents'!$C$4:$C$503,_calc!$E$261))=0,"",INDEX('Documents'!$C$4:$C$503,_calc!$E$261))&amp;" – "&amp;IF(LEN(INDEX('Documents'!$A$4:$A$503,_calc!$E$261))=0,"",INDEX('Documents'!$A$4:$A$503,_calc!$E$261)))</f>
        <v/>
      </c>
      <c r="B259" s="43">
        <f>IF(_calc!$E$261="","",IF(ISNUMBER(INDEX('Documents'!$F$4:$F$503,_calc!$E$261)),TEXT(INDEX('Documents'!$F$4:$F$503,_calc!$E$261),"yyyy-mm-dd"),""))</f>
        <v/>
      </c>
      <c r="C259" s="43">
        <f>IF(_calc!$E$261="","","Contractor document")</f>
        <v/>
      </c>
      <c r="D259" s="43">
        <f>IF(_calc!$E$261="","",IF(ISNUMBER(INDEX('Documents'!$E$4:$E$503,_calc!$E$261)),TEXT(INDEX('Documents'!$E$4:$E$503,_calc!$E$261),"yyyy-mm-dd"),""))</f>
        <v/>
      </c>
      <c r="E259" s="43">
        <f>IF(_calc!$E$261="","",IF(LEN(INDEX('Documents'!$N$4:$N$503,_calc!$E$261))=0,"",INDEX('Documents'!$N$4:$N$503,_calc!$E$261)))</f>
        <v/>
      </c>
      <c r="F259" s="43">
        <f>IF(_calc!$E$261="","",TRIM(IF(LEN(IF(LEN(INDEX('Documents'!$B$4:$B$503,_calc!$E$261))=0,"",INDEX('Documents'!$B$4:$B$503,_calc!$E$261)))=0,"","Trade: "&amp;IF(LEN(INDEX('Documents'!$B$4:$B$503,_calc!$E$261))=0,"",INDEX('Documents'!$B$4:$B$503,_calc!$E$261))&amp;". ")&amp;IF(LEN(IF(LEN(INDEX('Documents'!$D$4:$D$503,_calc!$E$261))=0,"",INDEX('Documents'!$D$4:$D$503,_calc!$E$261)))=0,"","Ref: "&amp;IF(LEN(INDEX('Documents'!$D$4:$D$503,_calc!$E$261))=0,"",INDEX('Documents'!$D$4:$D$503,_calc!$E$261))&amp;". ")&amp;IF(LEN(IF(LEN(INDEX('Documents'!$K$4:$K$503,_calc!$E$261))=0,"",INDEX('Documents'!$K$4:$K$503,_calc!$E$261)))=0,"","On file: "&amp;IF(LEN(INDEX('Documents'!$K$4:$K$503,_calc!$E$261))=0,"",INDEX('Documents'!$K$4:$K$503,_calc!$E$261))&amp;". ")&amp;IF(LEN(IF(LEN(INDEX('Documents'!$L$4:$L$503,_calc!$E$261))=0,"",INDEX('Documents'!$L$4:$L$503,_calc!$E$261)))=0,"","Contractor email: "&amp;IF(LEN(INDEX('Documents'!$L$4:$L$503,_calc!$E$261))=0,"",INDEX('Documents'!$L$4:$L$503,_calc!$E$261))&amp;". ")&amp;IF(LEN(IF(LEN(INDEX('Documents'!$P$4:$P$503,_calc!$E$261))=0,"",INDEX('Documents'!$P$4:$P$503,_calc!$E$261)))=0,"",IF(LEN(INDEX('Documents'!$P$4:$P$503,_calc!$E$261))=0,"",INDEX('Documents'!$P$4:$P$503,_calc!$E$261)))))</f>
        <v/>
      </c>
      <c r="G259" s="43">
        <f>IF(_calc!$E$261="","",IF(LEN(INDEX('Documents'!$O$4:$O$503,_calc!$E$261))=0,"",INDEX('Documents'!$O$4:$O$503,_calc!$E$261)))</f>
        <v/>
      </c>
      <c r="K259" s="43">
        <f>IF(_calc!$E$261="","",IF(LEN(INDEX('Documents'!$M$4:$M$503,_calc!$E$261))=0,"",INDEX('Documents'!$M$4:$M$503,_calc!$E$261)))</f>
        <v/>
      </c>
    </row>
    <row r="260">
      <c r="A260" s="43">
        <f>IF(_calc!$E$262="","",IF(LEN(INDEX('Documents'!$C$4:$C$503,_calc!$E$262))=0,"",INDEX('Documents'!$C$4:$C$503,_calc!$E$262))&amp;" – "&amp;IF(LEN(INDEX('Documents'!$A$4:$A$503,_calc!$E$262))=0,"",INDEX('Documents'!$A$4:$A$503,_calc!$E$262)))</f>
        <v/>
      </c>
      <c r="B260" s="43">
        <f>IF(_calc!$E$262="","",IF(ISNUMBER(INDEX('Documents'!$F$4:$F$503,_calc!$E$262)),TEXT(INDEX('Documents'!$F$4:$F$503,_calc!$E$262),"yyyy-mm-dd"),""))</f>
        <v/>
      </c>
      <c r="C260" s="43">
        <f>IF(_calc!$E$262="","","Contractor document")</f>
        <v/>
      </c>
      <c r="D260" s="43">
        <f>IF(_calc!$E$262="","",IF(ISNUMBER(INDEX('Documents'!$E$4:$E$503,_calc!$E$262)),TEXT(INDEX('Documents'!$E$4:$E$503,_calc!$E$262),"yyyy-mm-dd"),""))</f>
        <v/>
      </c>
      <c r="E260" s="43">
        <f>IF(_calc!$E$262="","",IF(LEN(INDEX('Documents'!$N$4:$N$503,_calc!$E$262))=0,"",INDEX('Documents'!$N$4:$N$503,_calc!$E$262)))</f>
        <v/>
      </c>
      <c r="F260" s="43">
        <f>IF(_calc!$E$262="","",TRIM(IF(LEN(IF(LEN(INDEX('Documents'!$B$4:$B$503,_calc!$E$262))=0,"",INDEX('Documents'!$B$4:$B$503,_calc!$E$262)))=0,"","Trade: "&amp;IF(LEN(INDEX('Documents'!$B$4:$B$503,_calc!$E$262))=0,"",INDEX('Documents'!$B$4:$B$503,_calc!$E$262))&amp;". ")&amp;IF(LEN(IF(LEN(INDEX('Documents'!$D$4:$D$503,_calc!$E$262))=0,"",INDEX('Documents'!$D$4:$D$503,_calc!$E$262)))=0,"","Ref: "&amp;IF(LEN(INDEX('Documents'!$D$4:$D$503,_calc!$E$262))=0,"",INDEX('Documents'!$D$4:$D$503,_calc!$E$262))&amp;". ")&amp;IF(LEN(IF(LEN(INDEX('Documents'!$K$4:$K$503,_calc!$E$262))=0,"",INDEX('Documents'!$K$4:$K$503,_calc!$E$262)))=0,"","On file: "&amp;IF(LEN(INDEX('Documents'!$K$4:$K$503,_calc!$E$262))=0,"",INDEX('Documents'!$K$4:$K$503,_calc!$E$262))&amp;". ")&amp;IF(LEN(IF(LEN(INDEX('Documents'!$L$4:$L$503,_calc!$E$262))=0,"",INDEX('Documents'!$L$4:$L$503,_calc!$E$262)))=0,"","Contractor email: "&amp;IF(LEN(INDEX('Documents'!$L$4:$L$503,_calc!$E$262))=0,"",INDEX('Documents'!$L$4:$L$503,_calc!$E$262))&amp;". ")&amp;IF(LEN(IF(LEN(INDEX('Documents'!$P$4:$P$503,_calc!$E$262))=0,"",INDEX('Documents'!$P$4:$P$503,_calc!$E$262)))=0,"",IF(LEN(INDEX('Documents'!$P$4:$P$503,_calc!$E$262))=0,"",INDEX('Documents'!$P$4:$P$503,_calc!$E$262)))))</f>
        <v/>
      </c>
      <c r="G260" s="43">
        <f>IF(_calc!$E$262="","",IF(LEN(INDEX('Documents'!$O$4:$O$503,_calc!$E$262))=0,"",INDEX('Documents'!$O$4:$O$503,_calc!$E$262)))</f>
        <v/>
      </c>
      <c r="K260" s="43">
        <f>IF(_calc!$E$262="","",IF(LEN(INDEX('Documents'!$M$4:$M$503,_calc!$E$262))=0,"",INDEX('Documents'!$M$4:$M$503,_calc!$E$262)))</f>
        <v/>
      </c>
    </row>
    <row r="261">
      <c r="A261" s="43">
        <f>IF(_calc!$E$263="","",IF(LEN(INDEX('Documents'!$C$4:$C$503,_calc!$E$263))=0,"",INDEX('Documents'!$C$4:$C$503,_calc!$E$263))&amp;" – "&amp;IF(LEN(INDEX('Documents'!$A$4:$A$503,_calc!$E$263))=0,"",INDEX('Documents'!$A$4:$A$503,_calc!$E$263)))</f>
        <v/>
      </c>
      <c r="B261" s="43">
        <f>IF(_calc!$E$263="","",IF(ISNUMBER(INDEX('Documents'!$F$4:$F$503,_calc!$E$263)),TEXT(INDEX('Documents'!$F$4:$F$503,_calc!$E$263),"yyyy-mm-dd"),""))</f>
        <v/>
      </c>
      <c r="C261" s="43">
        <f>IF(_calc!$E$263="","","Contractor document")</f>
        <v/>
      </c>
      <c r="D261" s="43">
        <f>IF(_calc!$E$263="","",IF(ISNUMBER(INDEX('Documents'!$E$4:$E$503,_calc!$E$263)),TEXT(INDEX('Documents'!$E$4:$E$503,_calc!$E$263),"yyyy-mm-dd"),""))</f>
        <v/>
      </c>
      <c r="E261" s="43">
        <f>IF(_calc!$E$263="","",IF(LEN(INDEX('Documents'!$N$4:$N$503,_calc!$E$263))=0,"",INDEX('Documents'!$N$4:$N$503,_calc!$E$263)))</f>
        <v/>
      </c>
      <c r="F261" s="43">
        <f>IF(_calc!$E$263="","",TRIM(IF(LEN(IF(LEN(INDEX('Documents'!$B$4:$B$503,_calc!$E$263))=0,"",INDEX('Documents'!$B$4:$B$503,_calc!$E$263)))=0,"","Trade: "&amp;IF(LEN(INDEX('Documents'!$B$4:$B$503,_calc!$E$263))=0,"",INDEX('Documents'!$B$4:$B$503,_calc!$E$263))&amp;". ")&amp;IF(LEN(IF(LEN(INDEX('Documents'!$D$4:$D$503,_calc!$E$263))=0,"",INDEX('Documents'!$D$4:$D$503,_calc!$E$263)))=0,"","Ref: "&amp;IF(LEN(INDEX('Documents'!$D$4:$D$503,_calc!$E$263))=0,"",INDEX('Documents'!$D$4:$D$503,_calc!$E$263))&amp;". ")&amp;IF(LEN(IF(LEN(INDEX('Documents'!$K$4:$K$503,_calc!$E$263))=0,"",INDEX('Documents'!$K$4:$K$503,_calc!$E$263)))=0,"","On file: "&amp;IF(LEN(INDEX('Documents'!$K$4:$K$503,_calc!$E$263))=0,"",INDEX('Documents'!$K$4:$K$503,_calc!$E$263))&amp;". ")&amp;IF(LEN(IF(LEN(INDEX('Documents'!$L$4:$L$503,_calc!$E$263))=0,"",INDEX('Documents'!$L$4:$L$503,_calc!$E$263)))=0,"","Contractor email: "&amp;IF(LEN(INDEX('Documents'!$L$4:$L$503,_calc!$E$263))=0,"",INDEX('Documents'!$L$4:$L$503,_calc!$E$263))&amp;". ")&amp;IF(LEN(IF(LEN(INDEX('Documents'!$P$4:$P$503,_calc!$E$263))=0,"",INDEX('Documents'!$P$4:$P$503,_calc!$E$263)))=0,"",IF(LEN(INDEX('Documents'!$P$4:$P$503,_calc!$E$263))=0,"",INDEX('Documents'!$P$4:$P$503,_calc!$E$263)))))</f>
        <v/>
      </c>
      <c r="G261" s="43">
        <f>IF(_calc!$E$263="","",IF(LEN(INDEX('Documents'!$O$4:$O$503,_calc!$E$263))=0,"",INDEX('Documents'!$O$4:$O$503,_calc!$E$263)))</f>
        <v/>
      </c>
      <c r="K261" s="43">
        <f>IF(_calc!$E$263="","",IF(LEN(INDEX('Documents'!$M$4:$M$503,_calc!$E$263))=0,"",INDEX('Documents'!$M$4:$M$503,_calc!$E$263)))</f>
        <v/>
      </c>
    </row>
    <row r="262">
      <c r="A262" s="43">
        <f>IF(_calc!$E$264="","",IF(LEN(INDEX('Documents'!$C$4:$C$503,_calc!$E$264))=0,"",INDEX('Documents'!$C$4:$C$503,_calc!$E$264))&amp;" – "&amp;IF(LEN(INDEX('Documents'!$A$4:$A$503,_calc!$E$264))=0,"",INDEX('Documents'!$A$4:$A$503,_calc!$E$264)))</f>
        <v/>
      </c>
      <c r="B262" s="43">
        <f>IF(_calc!$E$264="","",IF(ISNUMBER(INDEX('Documents'!$F$4:$F$503,_calc!$E$264)),TEXT(INDEX('Documents'!$F$4:$F$503,_calc!$E$264),"yyyy-mm-dd"),""))</f>
        <v/>
      </c>
      <c r="C262" s="43">
        <f>IF(_calc!$E$264="","","Contractor document")</f>
        <v/>
      </c>
      <c r="D262" s="43">
        <f>IF(_calc!$E$264="","",IF(ISNUMBER(INDEX('Documents'!$E$4:$E$503,_calc!$E$264)),TEXT(INDEX('Documents'!$E$4:$E$503,_calc!$E$264),"yyyy-mm-dd"),""))</f>
        <v/>
      </c>
      <c r="E262" s="43">
        <f>IF(_calc!$E$264="","",IF(LEN(INDEX('Documents'!$N$4:$N$503,_calc!$E$264))=0,"",INDEX('Documents'!$N$4:$N$503,_calc!$E$264)))</f>
        <v/>
      </c>
      <c r="F262" s="43">
        <f>IF(_calc!$E$264="","",TRIM(IF(LEN(IF(LEN(INDEX('Documents'!$B$4:$B$503,_calc!$E$264))=0,"",INDEX('Documents'!$B$4:$B$503,_calc!$E$264)))=0,"","Trade: "&amp;IF(LEN(INDEX('Documents'!$B$4:$B$503,_calc!$E$264))=0,"",INDEX('Documents'!$B$4:$B$503,_calc!$E$264))&amp;". ")&amp;IF(LEN(IF(LEN(INDEX('Documents'!$D$4:$D$503,_calc!$E$264))=0,"",INDEX('Documents'!$D$4:$D$503,_calc!$E$264)))=0,"","Ref: "&amp;IF(LEN(INDEX('Documents'!$D$4:$D$503,_calc!$E$264))=0,"",INDEX('Documents'!$D$4:$D$503,_calc!$E$264))&amp;". ")&amp;IF(LEN(IF(LEN(INDEX('Documents'!$K$4:$K$503,_calc!$E$264))=0,"",INDEX('Documents'!$K$4:$K$503,_calc!$E$264)))=0,"","On file: "&amp;IF(LEN(INDEX('Documents'!$K$4:$K$503,_calc!$E$264))=0,"",INDEX('Documents'!$K$4:$K$503,_calc!$E$264))&amp;". ")&amp;IF(LEN(IF(LEN(INDEX('Documents'!$L$4:$L$503,_calc!$E$264))=0,"",INDEX('Documents'!$L$4:$L$503,_calc!$E$264)))=0,"","Contractor email: "&amp;IF(LEN(INDEX('Documents'!$L$4:$L$503,_calc!$E$264))=0,"",INDEX('Documents'!$L$4:$L$503,_calc!$E$264))&amp;". ")&amp;IF(LEN(IF(LEN(INDEX('Documents'!$P$4:$P$503,_calc!$E$264))=0,"",INDEX('Documents'!$P$4:$P$503,_calc!$E$264)))=0,"",IF(LEN(INDEX('Documents'!$P$4:$P$503,_calc!$E$264))=0,"",INDEX('Documents'!$P$4:$P$503,_calc!$E$264)))))</f>
        <v/>
      </c>
      <c r="G262" s="43">
        <f>IF(_calc!$E$264="","",IF(LEN(INDEX('Documents'!$O$4:$O$503,_calc!$E$264))=0,"",INDEX('Documents'!$O$4:$O$503,_calc!$E$264)))</f>
        <v/>
      </c>
      <c r="K262" s="43">
        <f>IF(_calc!$E$264="","",IF(LEN(INDEX('Documents'!$M$4:$M$503,_calc!$E$264))=0,"",INDEX('Documents'!$M$4:$M$503,_calc!$E$264)))</f>
        <v/>
      </c>
    </row>
    <row r="263">
      <c r="A263" s="43">
        <f>IF(_calc!$E$265="","",IF(LEN(INDEX('Documents'!$C$4:$C$503,_calc!$E$265))=0,"",INDEX('Documents'!$C$4:$C$503,_calc!$E$265))&amp;" – "&amp;IF(LEN(INDEX('Documents'!$A$4:$A$503,_calc!$E$265))=0,"",INDEX('Documents'!$A$4:$A$503,_calc!$E$265)))</f>
        <v/>
      </c>
      <c r="B263" s="43">
        <f>IF(_calc!$E$265="","",IF(ISNUMBER(INDEX('Documents'!$F$4:$F$503,_calc!$E$265)),TEXT(INDEX('Documents'!$F$4:$F$503,_calc!$E$265),"yyyy-mm-dd"),""))</f>
        <v/>
      </c>
      <c r="C263" s="43">
        <f>IF(_calc!$E$265="","","Contractor document")</f>
        <v/>
      </c>
      <c r="D263" s="43">
        <f>IF(_calc!$E$265="","",IF(ISNUMBER(INDEX('Documents'!$E$4:$E$503,_calc!$E$265)),TEXT(INDEX('Documents'!$E$4:$E$503,_calc!$E$265),"yyyy-mm-dd"),""))</f>
        <v/>
      </c>
      <c r="E263" s="43">
        <f>IF(_calc!$E$265="","",IF(LEN(INDEX('Documents'!$N$4:$N$503,_calc!$E$265))=0,"",INDEX('Documents'!$N$4:$N$503,_calc!$E$265)))</f>
        <v/>
      </c>
      <c r="F263" s="43">
        <f>IF(_calc!$E$265="","",TRIM(IF(LEN(IF(LEN(INDEX('Documents'!$B$4:$B$503,_calc!$E$265))=0,"",INDEX('Documents'!$B$4:$B$503,_calc!$E$265)))=0,"","Trade: "&amp;IF(LEN(INDEX('Documents'!$B$4:$B$503,_calc!$E$265))=0,"",INDEX('Documents'!$B$4:$B$503,_calc!$E$265))&amp;". ")&amp;IF(LEN(IF(LEN(INDEX('Documents'!$D$4:$D$503,_calc!$E$265))=0,"",INDEX('Documents'!$D$4:$D$503,_calc!$E$265)))=0,"","Ref: "&amp;IF(LEN(INDEX('Documents'!$D$4:$D$503,_calc!$E$265))=0,"",INDEX('Documents'!$D$4:$D$503,_calc!$E$265))&amp;". ")&amp;IF(LEN(IF(LEN(INDEX('Documents'!$K$4:$K$503,_calc!$E$265))=0,"",INDEX('Documents'!$K$4:$K$503,_calc!$E$265)))=0,"","On file: "&amp;IF(LEN(INDEX('Documents'!$K$4:$K$503,_calc!$E$265))=0,"",INDEX('Documents'!$K$4:$K$503,_calc!$E$265))&amp;". ")&amp;IF(LEN(IF(LEN(INDEX('Documents'!$L$4:$L$503,_calc!$E$265))=0,"",INDEX('Documents'!$L$4:$L$503,_calc!$E$265)))=0,"","Contractor email: "&amp;IF(LEN(INDEX('Documents'!$L$4:$L$503,_calc!$E$265))=0,"",INDEX('Documents'!$L$4:$L$503,_calc!$E$265))&amp;". ")&amp;IF(LEN(IF(LEN(INDEX('Documents'!$P$4:$P$503,_calc!$E$265))=0,"",INDEX('Documents'!$P$4:$P$503,_calc!$E$265)))=0,"",IF(LEN(INDEX('Documents'!$P$4:$P$503,_calc!$E$265))=0,"",INDEX('Documents'!$P$4:$P$503,_calc!$E$265)))))</f>
        <v/>
      </c>
      <c r="G263" s="43">
        <f>IF(_calc!$E$265="","",IF(LEN(INDEX('Documents'!$O$4:$O$503,_calc!$E$265))=0,"",INDEX('Documents'!$O$4:$O$503,_calc!$E$265)))</f>
        <v/>
      </c>
      <c r="K263" s="43">
        <f>IF(_calc!$E$265="","",IF(LEN(INDEX('Documents'!$M$4:$M$503,_calc!$E$265))=0,"",INDEX('Documents'!$M$4:$M$503,_calc!$E$265)))</f>
        <v/>
      </c>
    </row>
    <row r="264">
      <c r="A264" s="43">
        <f>IF(_calc!$E$266="","",IF(LEN(INDEX('Documents'!$C$4:$C$503,_calc!$E$266))=0,"",INDEX('Documents'!$C$4:$C$503,_calc!$E$266))&amp;" – "&amp;IF(LEN(INDEX('Documents'!$A$4:$A$503,_calc!$E$266))=0,"",INDEX('Documents'!$A$4:$A$503,_calc!$E$266)))</f>
        <v/>
      </c>
      <c r="B264" s="43">
        <f>IF(_calc!$E$266="","",IF(ISNUMBER(INDEX('Documents'!$F$4:$F$503,_calc!$E$266)),TEXT(INDEX('Documents'!$F$4:$F$503,_calc!$E$266),"yyyy-mm-dd"),""))</f>
        <v/>
      </c>
      <c r="C264" s="43">
        <f>IF(_calc!$E$266="","","Contractor document")</f>
        <v/>
      </c>
      <c r="D264" s="43">
        <f>IF(_calc!$E$266="","",IF(ISNUMBER(INDEX('Documents'!$E$4:$E$503,_calc!$E$266)),TEXT(INDEX('Documents'!$E$4:$E$503,_calc!$E$266),"yyyy-mm-dd"),""))</f>
        <v/>
      </c>
      <c r="E264" s="43">
        <f>IF(_calc!$E$266="","",IF(LEN(INDEX('Documents'!$N$4:$N$503,_calc!$E$266))=0,"",INDEX('Documents'!$N$4:$N$503,_calc!$E$266)))</f>
        <v/>
      </c>
      <c r="F264" s="43">
        <f>IF(_calc!$E$266="","",TRIM(IF(LEN(IF(LEN(INDEX('Documents'!$B$4:$B$503,_calc!$E$266))=0,"",INDEX('Documents'!$B$4:$B$503,_calc!$E$266)))=0,"","Trade: "&amp;IF(LEN(INDEX('Documents'!$B$4:$B$503,_calc!$E$266))=0,"",INDEX('Documents'!$B$4:$B$503,_calc!$E$266))&amp;". ")&amp;IF(LEN(IF(LEN(INDEX('Documents'!$D$4:$D$503,_calc!$E$266))=0,"",INDEX('Documents'!$D$4:$D$503,_calc!$E$266)))=0,"","Ref: "&amp;IF(LEN(INDEX('Documents'!$D$4:$D$503,_calc!$E$266))=0,"",INDEX('Documents'!$D$4:$D$503,_calc!$E$266))&amp;". ")&amp;IF(LEN(IF(LEN(INDEX('Documents'!$K$4:$K$503,_calc!$E$266))=0,"",INDEX('Documents'!$K$4:$K$503,_calc!$E$266)))=0,"","On file: "&amp;IF(LEN(INDEX('Documents'!$K$4:$K$503,_calc!$E$266))=0,"",INDEX('Documents'!$K$4:$K$503,_calc!$E$266))&amp;". ")&amp;IF(LEN(IF(LEN(INDEX('Documents'!$L$4:$L$503,_calc!$E$266))=0,"",INDEX('Documents'!$L$4:$L$503,_calc!$E$266)))=0,"","Contractor email: "&amp;IF(LEN(INDEX('Documents'!$L$4:$L$503,_calc!$E$266))=0,"",INDEX('Documents'!$L$4:$L$503,_calc!$E$266))&amp;". ")&amp;IF(LEN(IF(LEN(INDEX('Documents'!$P$4:$P$503,_calc!$E$266))=0,"",INDEX('Documents'!$P$4:$P$503,_calc!$E$266)))=0,"",IF(LEN(INDEX('Documents'!$P$4:$P$503,_calc!$E$266))=0,"",INDEX('Documents'!$P$4:$P$503,_calc!$E$266)))))</f>
        <v/>
      </c>
      <c r="G264" s="43">
        <f>IF(_calc!$E$266="","",IF(LEN(INDEX('Documents'!$O$4:$O$503,_calc!$E$266))=0,"",INDEX('Documents'!$O$4:$O$503,_calc!$E$266)))</f>
        <v/>
      </c>
      <c r="K264" s="43">
        <f>IF(_calc!$E$266="","",IF(LEN(INDEX('Documents'!$M$4:$M$503,_calc!$E$266))=0,"",INDEX('Documents'!$M$4:$M$503,_calc!$E$266)))</f>
        <v/>
      </c>
    </row>
    <row r="265">
      <c r="A265" s="43">
        <f>IF(_calc!$E$267="","",IF(LEN(INDEX('Documents'!$C$4:$C$503,_calc!$E$267))=0,"",INDEX('Documents'!$C$4:$C$503,_calc!$E$267))&amp;" – "&amp;IF(LEN(INDEX('Documents'!$A$4:$A$503,_calc!$E$267))=0,"",INDEX('Documents'!$A$4:$A$503,_calc!$E$267)))</f>
        <v/>
      </c>
      <c r="B265" s="43">
        <f>IF(_calc!$E$267="","",IF(ISNUMBER(INDEX('Documents'!$F$4:$F$503,_calc!$E$267)),TEXT(INDEX('Documents'!$F$4:$F$503,_calc!$E$267),"yyyy-mm-dd"),""))</f>
        <v/>
      </c>
      <c r="C265" s="43">
        <f>IF(_calc!$E$267="","","Contractor document")</f>
        <v/>
      </c>
      <c r="D265" s="43">
        <f>IF(_calc!$E$267="","",IF(ISNUMBER(INDEX('Documents'!$E$4:$E$503,_calc!$E$267)),TEXT(INDEX('Documents'!$E$4:$E$503,_calc!$E$267),"yyyy-mm-dd"),""))</f>
        <v/>
      </c>
      <c r="E265" s="43">
        <f>IF(_calc!$E$267="","",IF(LEN(INDEX('Documents'!$N$4:$N$503,_calc!$E$267))=0,"",INDEX('Documents'!$N$4:$N$503,_calc!$E$267)))</f>
        <v/>
      </c>
      <c r="F265" s="43">
        <f>IF(_calc!$E$267="","",TRIM(IF(LEN(IF(LEN(INDEX('Documents'!$B$4:$B$503,_calc!$E$267))=0,"",INDEX('Documents'!$B$4:$B$503,_calc!$E$267)))=0,"","Trade: "&amp;IF(LEN(INDEX('Documents'!$B$4:$B$503,_calc!$E$267))=0,"",INDEX('Documents'!$B$4:$B$503,_calc!$E$267))&amp;". ")&amp;IF(LEN(IF(LEN(INDEX('Documents'!$D$4:$D$503,_calc!$E$267))=0,"",INDEX('Documents'!$D$4:$D$503,_calc!$E$267)))=0,"","Ref: "&amp;IF(LEN(INDEX('Documents'!$D$4:$D$503,_calc!$E$267))=0,"",INDEX('Documents'!$D$4:$D$503,_calc!$E$267))&amp;". ")&amp;IF(LEN(IF(LEN(INDEX('Documents'!$K$4:$K$503,_calc!$E$267))=0,"",INDEX('Documents'!$K$4:$K$503,_calc!$E$267)))=0,"","On file: "&amp;IF(LEN(INDEX('Documents'!$K$4:$K$503,_calc!$E$267))=0,"",INDEX('Documents'!$K$4:$K$503,_calc!$E$267))&amp;". ")&amp;IF(LEN(IF(LEN(INDEX('Documents'!$L$4:$L$503,_calc!$E$267))=0,"",INDEX('Documents'!$L$4:$L$503,_calc!$E$267)))=0,"","Contractor email: "&amp;IF(LEN(INDEX('Documents'!$L$4:$L$503,_calc!$E$267))=0,"",INDEX('Documents'!$L$4:$L$503,_calc!$E$267))&amp;". ")&amp;IF(LEN(IF(LEN(INDEX('Documents'!$P$4:$P$503,_calc!$E$267))=0,"",INDEX('Documents'!$P$4:$P$503,_calc!$E$267)))=0,"",IF(LEN(INDEX('Documents'!$P$4:$P$503,_calc!$E$267))=0,"",INDEX('Documents'!$P$4:$P$503,_calc!$E$267)))))</f>
        <v/>
      </c>
      <c r="G265" s="43">
        <f>IF(_calc!$E$267="","",IF(LEN(INDEX('Documents'!$O$4:$O$503,_calc!$E$267))=0,"",INDEX('Documents'!$O$4:$O$503,_calc!$E$267)))</f>
        <v/>
      </c>
      <c r="K265" s="43">
        <f>IF(_calc!$E$267="","",IF(LEN(INDEX('Documents'!$M$4:$M$503,_calc!$E$267))=0,"",INDEX('Documents'!$M$4:$M$503,_calc!$E$267)))</f>
        <v/>
      </c>
    </row>
    <row r="266">
      <c r="A266" s="43">
        <f>IF(_calc!$E$268="","",IF(LEN(INDEX('Documents'!$C$4:$C$503,_calc!$E$268))=0,"",INDEX('Documents'!$C$4:$C$503,_calc!$E$268))&amp;" – "&amp;IF(LEN(INDEX('Documents'!$A$4:$A$503,_calc!$E$268))=0,"",INDEX('Documents'!$A$4:$A$503,_calc!$E$268)))</f>
        <v/>
      </c>
      <c r="B266" s="43">
        <f>IF(_calc!$E$268="","",IF(ISNUMBER(INDEX('Documents'!$F$4:$F$503,_calc!$E$268)),TEXT(INDEX('Documents'!$F$4:$F$503,_calc!$E$268),"yyyy-mm-dd"),""))</f>
        <v/>
      </c>
      <c r="C266" s="43">
        <f>IF(_calc!$E$268="","","Contractor document")</f>
        <v/>
      </c>
      <c r="D266" s="43">
        <f>IF(_calc!$E$268="","",IF(ISNUMBER(INDEX('Documents'!$E$4:$E$503,_calc!$E$268)),TEXT(INDEX('Documents'!$E$4:$E$503,_calc!$E$268),"yyyy-mm-dd"),""))</f>
        <v/>
      </c>
      <c r="E266" s="43">
        <f>IF(_calc!$E$268="","",IF(LEN(INDEX('Documents'!$N$4:$N$503,_calc!$E$268))=0,"",INDEX('Documents'!$N$4:$N$503,_calc!$E$268)))</f>
        <v/>
      </c>
      <c r="F266" s="43">
        <f>IF(_calc!$E$268="","",TRIM(IF(LEN(IF(LEN(INDEX('Documents'!$B$4:$B$503,_calc!$E$268))=0,"",INDEX('Documents'!$B$4:$B$503,_calc!$E$268)))=0,"","Trade: "&amp;IF(LEN(INDEX('Documents'!$B$4:$B$503,_calc!$E$268))=0,"",INDEX('Documents'!$B$4:$B$503,_calc!$E$268))&amp;". ")&amp;IF(LEN(IF(LEN(INDEX('Documents'!$D$4:$D$503,_calc!$E$268))=0,"",INDEX('Documents'!$D$4:$D$503,_calc!$E$268)))=0,"","Ref: "&amp;IF(LEN(INDEX('Documents'!$D$4:$D$503,_calc!$E$268))=0,"",INDEX('Documents'!$D$4:$D$503,_calc!$E$268))&amp;". ")&amp;IF(LEN(IF(LEN(INDEX('Documents'!$K$4:$K$503,_calc!$E$268))=0,"",INDEX('Documents'!$K$4:$K$503,_calc!$E$268)))=0,"","On file: "&amp;IF(LEN(INDEX('Documents'!$K$4:$K$503,_calc!$E$268))=0,"",INDEX('Documents'!$K$4:$K$503,_calc!$E$268))&amp;". ")&amp;IF(LEN(IF(LEN(INDEX('Documents'!$L$4:$L$503,_calc!$E$268))=0,"",INDEX('Documents'!$L$4:$L$503,_calc!$E$268)))=0,"","Contractor email: "&amp;IF(LEN(INDEX('Documents'!$L$4:$L$503,_calc!$E$268))=0,"",INDEX('Documents'!$L$4:$L$503,_calc!$E$268))&amp;". ")&amp;IF(LEN(IF(LEN(INDEX('Documents'!$P$4:$P$503,_calc!$E$268))=0,"",INDEX('Documents'!$P$4:$P$503,_calc!$E$268)))=0,"",IF(LEN(INDEX('Documents'!$P$4:$P$503,_calc!$E$268))=0,"",INDEX('Documents'!$P$4:$P$503,_calc!$E$268)))))</f>
        <v/>
      </c>
      <c r="G266" s="43">
        <f>IF(_calc!$E$268="","",IF(LEN(INDEX('Documents'!$O$4:$O$503,_calc!$E$268))=0,"",INDEX('Documents'!$O$4:$O$503,_calc!$E$268)))</f>
        <v/>
      </c>
      <c r="K266" s="43">
        <f>IF(_calc!$E$268="","",IF(LEN(INDEX('Documents'!$M$4:$M$503,_calc!$E$268))=0,"",INDEX('Documents'!$M$4:$M$503,_calc!$E$268)))</f>
        <v/>
      </c>
    </row>
    <row r="267">
      <c r="A267" s="43">
        <f>IF(_calc!$E$269="","",IF(LEN(INDEX('Documents'!$C$4:$C$503,_calc!$E$269))=0,"",INDEX('Documents'!$C$4:$C$503,_calc!$E$269))&amp;" – "&amp;IF(LEN(INDEX('Documents'!$A$4:$A$503,_calc!$E$269))=0,"",INDEX('Documents'!$A$4:$A$503,_calc!$E$269)))</f>
        <v/>
      </c>
      <c r="B267" s="43">
        <f>IF(_calc!$E$269="","",IF(ISNUMBER(INDEX('Documents'!$F$4:$F$503,_calc!$E$269)),TEXT(INDEX('Documents'!$F$4:$F$503,_calc!$E$269),"yyyy-mm-dd"),""))</f>
        <v/>
      </c>
      <c r="C267" s="43">
        <f>IF(_calc!$E$269="","","Contractor document")</f>
        <v/>
      </c>
      <c r="D267" s="43">
        <f>IF(_calc!$E$269="","",IF(ISNUMBER(INDEX('Documents'!$E$4:$E$503,_calc!$E$269)),TEXT(INDEX('Documents'!$E$4:$E$503,_calc!$E$269),"yyyy-mm-dd"),""))</f>
        <v/>
      </c>
      <c r="E267" s="43">
        <f>IF(_calc!$E$269="","",IF(LEN(INDEX('Documents'!$N$4:$N$503,_calc!$E$269))=0,"",INDEX('Documents'!$N$4:$N$503,_calc!$E$269)))</f>
        <v/>
      </c>
      <c r="F267" s="43">
        <f>IF(_calc!$E$269="","",TRIM(IF(LEN(IF(LEN(INDEX('Documents'!$B$4:$B$503,_calc!$E$269))=0,"",INDEX('Documents'!$B$4:$B$503,_calc!$E$269)))=0,"","Trade: "&amp;IF(LEN(INDEX('Documents'!$B$4:$B$503,_calc!$E$269))=0,"",INDEX('Documents'!$B$4:$B$503,_calc!$E$269))&amp;". ")&amp;IF(LEN(IF(LEN(INDEX('Documents'!$D$4:$D$503,_calc!$E$269))=0,"",INDEX('Documents'!$D$4:$D$503,_calc!$E$269)))=0,"","Ref: "&amp;IF(LEN(INDEX('Documents'!$D$4:$D$503,_calc!$E$269))=0,"",INDEX('Documents'!$D$4:$D$503,_calc!$E$269))&amp;". ")&amp;IF(LEN(IF(LEN(INDEX('Documents'!$K$4:$K$503,_calc!$E$269))=0,"",INDEX('Documents'!$K$4:$K$503,_calc!$E$269)))=0,"","On file: "&amp;IF(LEN(INDEX('Documents'!$K$4:$K$503,_calc!$E$269))=0,"",INDEX('Documents'!$K$4:$K$503,_calc!$E$269))&amp;". ")&amp;IF(LEN(IF(LEN(INDEX('Documents'!$L$4:$L$503,_calc!$E$269))=0,"",INDEX('Documents'!$L$4:$L$503,_calc!$E$269)))=0,"","Contractor email: "&amp;IF(LEN(INDEX('Documents'!$L$4:$L$503,_calc!$E$269))=0,"",INDEX('Documents'!$L$4:$L$503,_calc!$E$269))&amp;". ")&amp;IF(LEN(IF(LEN(INDEX('Documents'!$P$4:$P$503,_calc!$E$269))=0,"",INDEX('Documents'!$P$4:$P$503,_calc!$E$269)))=0,"",IF(LEN(INDEX('Documents'!$P$4:$P$503,_calc!$E$269))=0,"",INDEX('Documents'!$P$4:$P$503,_calc!$E$269)))))</f>
        <v/>
      </c>
      <c r="G267" s="43">
        <f>IF(_calc!$E$269="","",IF(LEN(INDEX('Documents'!$O$4:$O$503,_calc!$E$269))=0,"",INDEX('Documents'!$O$4:$O$503,_calc!$E$269)))</f>
        <v/>
      </c>
      <c r="K267" s="43">
        <f>IF(_calc!$E$269="","",IF(LEN(INDEX('Documents'!$M$4:$M$503,_calc!$E$269))=0,"",INDEX('Documents'!$M$4:$M$503,_calc!$E$269)))</f>
        <v/>
      </c>
    </row>
    <row r="268">
      <c r="A268" s="43">
        <f>IF(_calc!$E$270="","",IF(LEN(INDEX('Documents'!$C$4:$C$503,_calc!$E$270))=0,"",INDEX('Documents'!$C$4:$C$503,_calc!$E$270))&amp;" – "&amp;IF(LEN(INDEX('Documents'!$A$4:$A$503,_calc!$E$270))=0,"",INDEX('Documents'!$A$4:$A$503,_calc!$E$270)))</f>
        <v/>
      </c>
      <c r="B268" s="43">
        <f>IF(_calc!$E$270="","",IF(ISNUMBER(INDEX('Documents'!$F$4:$F$503,_calc!$E$270)),TEXT(INDEX('Documents'!$F$4:$F$503,_calc!$E$270),"yyyy-mm-dd"),""))</f>
        <v/>
      </c>
      <c r="C268" s="43">
        <f>IF(_calc!$E$270="","","Contractor document")</f>
        <v/>
      </c>
      <c r="D268" s="43">
        <f>IF(_calc!$E$270="","",IF(ISNUMBER(INDEX('Documents'!$E$4:$E$503,_calc!$E$270)),TEXT(INDEX('Documents'!$E$4:$E$503,_calc!$E$270),"yyyy-mm-dd"),""))</f>
        <v/>
      </c>
      <c r="E268" s="43">
        <f>IF(_calc!$E$270="","",IF(LEN(INDEX('Documents'!$N$4:$N$503,_calc!$E$270))=0,"",INDEX('Documents'!$N$4:$N$503,_calc!$E$270)))</f>
        <v/>
      </c>
      <c r="F268" s="43">
        <f>IF(_calc!$E$270="","",TRIM(IF(LEN(IF(LEN(INDEX('Documents'!$B$4:$B$503,_calc!$E$270))=0,"",INDEX('Documents'!$B$4:$B$503,_calc!$E$270)))=0,"","Trade: "&amp;IF(LEN(INDEX('Documents'!$B$4:$B$503,_calc!$E$270))=0,"",INDEX('Documents'!$B$4:$B$503,_calc!$E$270))&amp;". ")&amp;IF(LEN(IF(LEN(INDEX('Documents'!$D$4:$D$503,_calc!$E$270))=0,"",INDEX('Documents'!$D$4:$D$503,_calc!$E$270)))=0,"","Ref: "&amp;IF(LEN(INDEX('Documents'!$D$4:$D$503,_calc!$E$270))=0,"",INDEX('Documents'!$D$4:$D$503,_calc!$E$270))&amp;". ")&amp;IF(LEN(IF(LEN(INDEX('Documents'!$K$4:$K$503,_calc!$E$270))=0,"",INDEX('Documents'!$K$4:$K$503,_calc!$E$270)))=0,"","On file: "&amp;IF(LEN(INDEX('Documents'!$K$4:$K$503,_calc!$E$270))=0,"",INDEX('Documents'!$K$4:$K$503,_calc!$E$270))&amp;". ")&amp;IF(LEN(IF(LEN(INDEX('Documents'!$L$4:$L$503,_calc!$E$270))=0,"",INDEX('Documents'!$L$4:$L$503,_calc!$E$270)))=0,"","Contractor email: "&amp;IF(LEN(INDEX('Documents'!$L$4:$L$503,_calc!$E$270))=0,"",INDEX('Documents'!$L$4:$L$503,_calc!$E$270))&amp;". ")&amp;IF(LEN(IF(LEN(INDEX('Documents'!$P$4:$P$503,_calc!$E$270))=0,"",INDEX('Documents'!$P$4:$P$503,_calc!$E$270)))=0,"",IF(LEN(INDEX('Documents'!$P$4:$P$503,_calc!$E$270))=0,"",INDEX('Documents'!$P$4:$P$503,_calc!$E$270)))))</f>
        <v/>
      </c>
      <c r="G268" s="43">
        <f>IF(_calc!$E$270="","",IF(LEN(INDEX('Documents'!$O$4:$O$503,_calc!$E$270))=0,"",INDEX('Documents'!$O$4:$O$503,_calc!$E$270)))</f>
        <v/>
      </c>
      <c r="K268" s="43">
        <f>IF(_calc!$E$270="","",IF(LEN(INDEX('Documents'!$M$4:$M$503,_calc!$E$270))=0,"",INDEX('Documents'!$M$4:$M$503,_calc!$E$270)))</f>
        <v/>
      </c>
    </row>
    <row r="269">
      <c r="A269" s="43">
        <f>IF(_calc!$E$271="","",IF(LEN(INDEX('Documents'!$C$4:$C$503,_calc!$E$271))=0,"",INDEX('Documents'!$C$4:$C$503,_calc!$E$271))&amp;" – "&amp;IF(LEN(INDEX('Documents'!$A$4:$A$503,_calc!$E$271))=0,"",INDEX('Documents'!$A$4:$A$503,_calc!$E$271)))</f>
        <v/>
      </c>
      <c r="B269" s="43">
        <f>IF(_calc!$E$271="","",IF(ISNUMBER(INDEX('Documents'!$F$4:$F$503,_calc!$E$271)),TEXT(INDEX('Documents'!$F$4:$F$503,_calc!$E$271),"yyyy-mm-dd"),""))</f>
        <v/>
      </c>
      <c r="C269" s="43">
        <f>IF(_calc!$E$271="","","Contractor document")</f>
        <v/>
      </c>
      <c r="D269" s="43">
        <f>IF(_calc!$E$271="","",IF(ISNUMBER(INDEX('Documents'!$E$4:$E$503,_calc!$E$271)),TEXT(INDEX('Documents'!$E$4:$E$503,_calc!$E$271),"yyyy-mm-dd"),""))</f>
        <v/>
      </c>
      <c r="E269" s="43">
        <f>IF(_calc!$E$271="","",IF(LEN(INDEX('Documents'!$N$4:$N$503,_calc!$E$271))=0,"",INDEX('Documents'!$N$4:$N$503,_calc!$E$271)))</f>
        <v/>
      </c>
      <c r="F269" s="43">
        <f>IF(_calc!$E$271="","",TRIM(IF(LEN(IF(LEN(INDEX('Documents'!$B$4:$B$503,_calc!$E$271))=0,"",INDEX('Documents'!$B$4:$B$503,_calc!$E$271)))=0,"","Trade: "&amp;IF(LEN(INDEX('Documents'!$B$4:$B$503,_calc!$E$271))=0,"",INDEX('Documents'!$B$4:$B$503,_calc!$E$271))&amp;". ")&amp;IF(LEN(IF(LEN(INDEX('Documents'!$D$4:$D$503,_calc!$E$271))=0,"",INDEX('Documents'!$D$4:$D$503,_calc!$E$271)))=0,"","Ref: "&amp;IF(LEN(INDEX('Documents'!$D$4:$D$503,_calc!$E$271))=0,"",INDEX('Documents'!$D$4:$D$503,_calc!$E$271))&amp;". ")&amp;IF(LEN(IF(LEN(INDEX('Documents'!$K$4:$K$503,_calc!$E$271))=0,"",INDEX('Documents'!$K$4:$K$503,_calc!$E$271)))=0,"","On file: "&amp;IF(LEN(INDEX('Documents'!$K$4:$K$503,_calc!$E$271))=0,"",INDEX('Documents'!$K$4:$K$503,_calc!$E$271))&amp;". ")&amp;IF(LEN(IF(LEN(INDEX('Documents'!$L$4:$L$503,_calc!$E$271))=0,"",INDEX('Documents'!$L$4:$L$503,_calc!$E$271)))=0,"","Contractor email: "&amp;IF(LEN(INDEX('Documents'!$L$4:$L$503,_calc!$E$271))=0,"",INDEX('Documents'!$L$4:$L$503,_calc!$E$271))&amp;". ")&amp;IF(LEN(IF(LEN(INDEX('Documents'!$P$4:$P$503,_calc!$E$271))=0,"",INDEX('Documents'!$P$4:$P$503,_calc!$E$271)))=0,"",IF(LEN(INDEX('Documents'!$P$4:$P$503,_calc!$E$271))=0,"",INDEX('Documents'!$P$4:$P$503,_calc!$E$271)))))</f>
        <v/>
      </c>
      <c r="G269" s="43">
        <f>IF(_calc!$E$271="","",IF(LEN(INDEX('Documents'!$O$4:$O$503,_calc!$E$271))=0,"",INDEX('Documents'!$O$4:$O$503,_calc!$E$271)))</f>
        <v/>
      </c>
      <c r="K269" s="43">
        <f>IF(_calc!$E$271="","",IF(LEN(INDEX('Documents'!$M$4:$M$503,_calc!$E$271))=0,"",INDEX('Documents'!$M$4:$M$503,_calc!$E$271)))</f>
        <v/>
      </c>
    </row>
    <row r="270">
      <c r="A270" s="43">
        <f>IF(_calc!$E$272="","",IF(LEN(INDEX('Documents'!$C$4:$C$503,_calc!$E$272))=0,"",INDEX('Documents'!$C$4:$C$503,_calc!$E$272))&amp;" – "&amp;IF(LEN(INDEX('Documents'!$A$4:$A$503,_calc!$E$272))=0,"",INDEX('Documents'!$A$4:$A$503,_calc!$E$272)))</f>
        <v/>
      </c>
      <c r="B270" s="43">
        <f>IF(_calc!$E$272="","",IF(ISNUMBER(INDEX('Documents'!$F$4:$F$503,_calc!$E$272)),TEXT(INDEX('Documents'!$F$4:$F$503,_calc!$E$272),"yyyy-mm-dd"),""))</f>
        <v/>
      </c>
      <c r="C270" s="43">
        <f>IF(_calc!$E$272="","","Contractor document")</f>
        <v/>
      </c>
      <c r="D270" s="43">
        <f>IF(_calc!$E$272="","",IF(ISNUMBER(INDEX('Documents'!$E$4:$E$503,_calc!$E$272)),TEXT(INDEX('Documents'!$E$4:$E$503,_calc!$E$272),"yyyy-mm-dd"),""))</f>
        <v/>
      </c>
      <c r="E270" s="43">
        <f>IF(_calc!$E$272="","",IF(LEN(INDEX('Documents'!$N$4:$N$503,_calc!$E$272))=0,"",INDEX('Documents'!$N$4:$N$503,_calc!$E$272)))</f>
        <v/>
      </c>
      <c r="F270" s="43">
        <f>IF(_calc!$E$272="","",TRIM(IF(LEN(IF(LEN(INDEX('Documents'!$B$4:$B$503,_calc!$E$272))=0,"",INDEX('Documents'!$B$4:$B$503,_calc!$E$272)))=0,"","Trade: "&amp;IF(LEN(INDEX('Documents'!$B$4:$B$503,_calc!$E$272))=0,"",INDEX('Documents'!$B$4:$B$503,_calc!$E$272))&amp;". ")&amp;IF(LEN(IF(LEN(INDEX('Documents'!$D$4:$D$503,_calc!$E$272))=0,"",INDEX('Documents'!$D$4:$D$503,_calc!$E$272)))=0,"","Ref: "&amp;IF(LEN(INDEX('Documents'!$D$4:$D$503,_calc!$E$272))=0,"",INDEX('Documents'!$D$4:$D$503,_calc!$E$272))&amp;". ")&amp;IF(LEN(IF(LEN(INDEX('Documents'!$K$4:$K$503,_calc!$E$272))=0,"",INDEX('Documents'!$K$4:$K$503,_calc!$E$272)))=0,"","On file: "&amp;IF(LEN(INDEX('Documents'!$K$4:$K$503,_calc!$E$272))=0,"",INDEX('Documents'!$K$4:$K$503,_calc!$E$272))&amp;". ")&amp;IF(LEN(IF(LEN(INDEX('Documents'!$L$4:$L$503,_calc!$E$272))=0,"",INDEX('Documents'!$L$4:$L$503,_calc!$E$272)))=0,"","Contractor email: "&amp;IF(LEN(INDEX('Documents'!$L$4:$L$503,_calc!$E$272))=0,"",INDEX('Documents'!$L$4:$L$503,_calc!$E$272))&amp;". ")&amp;IF(LEN(IF(LEN(INDEX('Documents'!$P$4:$P$503,_calc!$E$272))=0,"",INDEX('Documents'!$P$4:$P$503,_calc!$E$272)))=0,"",IF(LEN(INDEX('Documents'!$P$4:$P$503,_calc!$E$272))=0,"",INDEX('Documents'!$P$4:$P$503,_calc!$E$272)))))</f>
        <v/>
      </c>
      <c r="G270" s="43">
        <f>IF(_calc!$E$272="","",IF(LEN(INDEX('Documents'!$O$4:$O$503,_calc!$E$272))=0,"",INDEX('Documents'!$O$4:$O$503,_calc!$E$272)))</f>
        <v/>
      </c>
      <c r="K270" s="43">
        <f>IF(_calc!$E$272="","",IF(LEN(INDEX('Documents'!$M$4:$M$503,_calc!$E$272))=0,"",INDEX('Documents'!$M$4:$M$503,_calc!$E$272)))</f>
        <v/>
      </c>
    </row>
    <row r="271">
      <c r="A271" s="43">
        <f>IF(_calc!$E$273="","",IF(LEN(INDEX('Documents'!$C$4:$C$503,_calc!$E$273))=0,"",INDEX('Documents'!$C$4:$C$503,_calc!$E$273))&amp;" – "&amp;IF(LEN(INDEX('Documents'!$A$4:$A$503,_calc!$E$273))=0,"",INDEX('Documents'!$A$4:$A$503,_calc!$E$273)))</f>
        <v/>
      </c>
      <c r="B271" s="43">
        <f>IF(_calc!$E$273="","",IF(ISNUMBER(INDEX('Documents'!$F$4:$F$503,_calc!$E$273)),TEXT(INDEX('Documents'!$F$4:$F$503,_calc!$E$273),"yyyy-mm-dd"),""))</f>
        <v/>
      </c>
      <c r="C271" s="43">
        <f>IF(_calc!$E$273="","","Contractor document")</f>
        <v/>
      </c>
      <c r="D271" s="43">
        <f>IF(_calc!$E$273="","",IF(ISNUMBER(INDEX('Documents'!$E$4:$E$503,_calc!$E$273)),TEXT(INDEX('Documents'!$E$4:$E$503,_calc!$E$273),"yyyy-mm-dd"),""))</f>
        <v/>
      </c>
      <c r="E271" s="43">
        <f>IF(_calc!$E$273="","",IF(LEN(INDEX('Documents'!$N$4:$N$503,_calc!$E$273))=0,"",INDEX('Documents'!$N$4:$N$503,_calc!$E$273)))</f>
        <v/>
      </c>
      <c r="F271" s="43">
        <f>IF(_calc!$E$273="","",TRIM(IF(LEN(IF(LEN(INDEX('Documents'!$B$4:$B$503,_calc!$E$273))=0,"",INDEX('Documents'!$B$4:$B$503,_calc!$E$273)))=0,"","Trade: "&amp;IF(LEN(INDEX('Documents'!$B$4:$B$503,_calc!$E$273))=0,"",INDEX('Documents'!$B$4:$B$503,_calc!$E$273))&amp;". ")&amp;IF(LEN(IF(LEN(INDEX('Documents'!$D$4:$D$503,_calc!$E$273))=0,"",INDEX('Documents'!$D$4:$D$503,_calc!$E$273)))=0,"","Ref: "&amp;IF(LEN(INDEX('Documents'!$D$4:$D$503,_calc!$E$273))=0,"",INDEX('Documents'!$D$4:$D$503,_calc!$E$273))&amp;". ")&amp;IF(LEN(IF(LEN(INDEX('Documents'!$K$4:$K$503,_calc!$E$273))=0,"",INDEX('Documents'!$K$4:$K$503,_calc!$E$273)))=0,"","On file: "&amp;IF(LEN(INDEX('Documents'!$K$4:$K$503,_calc!$E$273))=0,"",INDEX('Documents'!$K$4:$K$503,_calc!$E$273))&amp;". ")&amp;IF(LEN(IF(LEN(INDEX('Documents'!$L$4:$L$503,_calc!$E$273))=0,"",INDEX('Documents'!$L$4:$L$503,_calc!$E$273)))=0,"","Contractor email: "&amp;IF(LEN(INDEX('Documents'!$L$4:$L$503,_calc!$E$273))=0,"",INDEX('Documents'!$L$4:$L$503,_calc!$E$273))&amp;". ")&amp;IF(LEN(IF(LEN(INDEX('Documents'!$P$4:$P$503,_calc!$E$273))=0,"",INDEX('Documents'!$P$4:$P$503,_calc!$E$273)))=0,"",IF(LEN(INDEX('Documents'!$P$4:$P$503,_calc!$E$273))=0,"",INDEX('Documents'!$P$4:$P$503,_calc!$E$273)))))</f>
        <v/>
      </c>
      <c r="G271" s="43">
        <f>IF(_calc!$E$273="","",IF(LEN(INDEX('Documents'!$O$4:$O$503,_calc!$E$273))=0,"",INDEX('Documents'!$O$4:$O$503,_calc!$E$273)))</f>
        <v/>
      </c>
      <c r="K271" s="43">
        <f>IF(_calc!$E$273="","",IF(LEN(INDEX('Documents'!$M$4:$M$503,_calc!$E$273))=0,"",INDEX('Documents'!$M$4:$M$503,_calc!$E$273)))</f>
        <v/>
      </c>
    </row>
    <row r="272">
      <c r="A272" s="43">
        <f>IF(_calc!$E$274="","",IF(LEN(INDEX('Documents'!$C$4:$C$503,_calc!$E$274))=0,"",INDEX('Documents'!$C$4:$C$503,_calc!$E$274))&amp;" – "&amp;IF(LEN(INDEX('Documents'!$A$4:$A$503,_calc!$E$274))=0,"",INDEX('Documents'!$A$4:$A$503,_calc!$E$274)))</f>
        <v/>
      </c>
      <c r="B272" s="43">
        <f>IF(_calc!$E$274="","",IF(ISNUMBER(INDEX('Documents'!$F$4:$F$503,_calc!$E$274)),TEXT(INDEX('Documents'!$F$4:$F$503,_calc!$E$274),"yyyy-mm-dd"),""))</f>
        <v/>
      </c>
      <c r="C272" s="43">
        <f>IF(_calc!$E$274="","","Contractor document")</f>
        <v/>
      </c>
      <c r="D272" s="43">
        <f>IF(_calc!$E$274="","",IF(ISNUMBER(INDEX('Documents'!$E$4:$E$503,_calc!$E$274)),TEXT(INDEX('Documents'!$E$4:$E$503,_calc!$E$274),"yyyy-mm-dd"),""))</f>
        <v/>
      </c>
      <c r="E272" s="43">
        <f>IF(_calc!$E$274="","",IF(LEN(INDEX('Documents'!$N$4:$N$503,_calc!$E$274))=0,"",INDEX('Documents'!$N$4:$N$503,_calc!$E$274)))</f>
        <v/>
      </c>
      <c r="F272" s="43">
        <f>IF(_calc!$E$274="","",TRIM(IF(LEN(IF(LEN(INDEX('Documents'!$B$4:$B$503,_calc!$E$274))=0,"",INDEX('Documents'!$B$4:$B$503,_calc!$E$274)))=0,"","Trade: "&amp;IF(LEN(INDEX('Documents'!$B$4:$B$503,_calc!$E$274))=0,"",INDEX('Documents'!$B$4:$B$503,_calc!$E$274))&amp;". ")&amp;IF(LEN(IF(LEN(INDEX('Documents'!$D$4:$D$503,_calc!$E$274))=0,"",INDEX('Documents'!$D$4:$D$503,_calc!$E$274)))=0,"","Ref: "&amp;IF(LEN(INDEX('Documents'!$D$4:$D$503,_calc!$E$274))=0,"",INDEX('Documents'!$D$4:$D$503,_calc!$E$274))&amp;". ")&amp;IF(LEN(IF(LEN(INDEX('Documents'!$K$4:$K$503,_calc!$E$274))=0,"",INDEX('Documents'!$K$4:$K$503,_calc!$E$274)))=0,"","On file: "&amp;IF(LEN(INDEX('Documents'!$K$4:$K$503,_calc!$E$274))=0,"",INDEX('Documents'!$K$4:$K$503,_calc!$E$274))&amp;". ")&amp;IF(LEN(IF(LEN(INDEX('Documents'!$L$4:$L$503,_calc!$E$274))=0,"",INDEX('Documents'!$L$4:$L$503,_calc!$E$274)))=0,"","Contractor email: "&amp;IF(LEN(INDEX('Documents'!$L$4:$L$503,_calc!$E$274))=0,"",INDEX('Documents'!$L$4:$L$503,_calc!$E$274))&amp;". ")&amp;IF(LEN(IF(LEN(INDEX('Documents'!$P$4:$P$503,_calc!$E$274))=0,"",INDEX('Documents'!$P$4:$P$503,_calc!$E$274)))=0,"",IF(LEN(INDEX('Documents'!$P$4:$P$503,_calc!$E$274))=0,"",INDEX('Documents'!$P$4:$P$503,_calc!$E$274)))))</f>
        <v/>
      </c>
      <c r="G272" s="43">
        <f>IF(_calc!$E$274="","",IF(LEN(INDEX('Documents'!$O$4:$O$503,_calc!$E$274))=0,"",INDEX('Documents'!$O$4:$O$503,_calc!$E$274)))</f>
        <v/>
      </c>
      <c r="K272" s="43">
        <f>IF(_calc!$E$274="","",IF(LEN(INDEX('Documents'!$M$4:$M$503,_calc!$E$274))=0,"",INDEX('Documents'!$M$4:$M$503,_calc!$E$274)))</f>
        <v/>
      </c>
    </row>
    <row r="273">
      <c r="A273" s="43">
        <f>IF(_calc!$E$275="","",IF(LEN(INDEX('Documents'!$C$4:$C$503,_calc!$E$275))=0,"",INDEX('Documents'!$C$4:$C$503,_calc!$E$275))&amp;" – "&amp;IF(LEN(INDEX('Documents'!$A$4:$A$503,_calc!$E$275))=0,"",INDEX('Documents'!$A$4:$A$503,_calc!$E$275)))</f>
        <v/>
      </c>
      <c r="B273" s="43">
        <f>IF(_calc!$E$275="","",IF(ISNUMBER(INDEX('Documents'!$F$4:$F$503,_calc!$E$275)),TEXT(INDEX('Documents'!$F$4:$F$503,_calc!$E$275),"yyyy-mm-dd"),""))</f>
        <v/>
      </c>
      <c r="C273" s="43">
        <f>IF(_calc!$E$275="","","Contractor document")</f>
        <v/>
      </c>
      <c r="D273" s="43">
        <f>IF(_calc!$E$275="","",IF(ISNUMBER(INDEX('Documents'!$E$4:$E$503,_calc!$E$275)),TEXT(INDEX('Documents'!$E$4:$E$503,_calc!$E$275),"yyyy-mm-dd"),""))</f>
        <v/>
      </c>
      <c r="E273" s="43">
        <f>IF(_calc!$E$275="","",IF(LEN(INDEX('Documents'!$N$4:$N$503,_calc!$E$275))=0,"",INDEX('Documents'!$N$4:$N$503,_calc!$E$275)))</f>
        <v/>
      </c>
      <c r="F273" s="43">
        <f>IF(_calc!$E$275="","",TRIM(IF(LEN(IF(LEN(INDEX('Documents'!$B$4:$B$503,_calc!$E$275))=0,"",INDEX('Documents'!$B$4:$B$503,_calc!$E$275)))=0,"","Trade: "&amp;IF(LEN(INDEX('Documents'!$B$4:$B$503,_calc!$E$275))=0,"",INDEX('Documents'!$B$4:$B$503,_calc!$E$275))&amp;". ")&amp;IF(LEN(IF(LEN(INDEX('Documents'!$D$4:$D$503,_calc!$E$275))=0,"",INDEX('Documents'!$D$4:$D$503,_calc!$E$275)))=0,"","Ref: "&amp;IF(LEN(INDEX('Documents'!$D$4:$D$503,_calc!$E$275))=0,"",INDEX('Documents'!$D$4:$D$503,_calc!$E$275))&amp;". ")&amp;IF(LEN(IF(LEN(INDEX('Documents'!$K$4:$K$503,_calc!$E$275))=0,"",INDEX('Documents'!$K$4:$K$503,_calc!$E$275)))=0,"","On file: "&amp;IF(LEN(INDEX('Documents'!$K$4:$K$503,_calc!$E$275))=0,"",INDEX('Documents'!$K$4:$K$503,_calc!$E$275))&amp;". ")&amp;IF(LEN(IF(LEN(INDEX('Documents'!$L$4:$L$503,_calc!$E$275))=0,"",INDEX('Documents'!$L$4:$L$503,_calc!$E$275)))=0,"","Contractor email: "&amp;IF(LEN(INDEX('Documents'!$L$4:$L$503,_calc!$E$275))=0,"",INDEX('Documents'!$L$4:$L$503,_calc!$E$275))&amp;". ")&amp;IF(LEN(IF(LEN(INDEX('Documents'!$P$4:$P$503,_calc!$E$275))=0,"",INDEX('Documents'!$P$4:$P$503,_calc!$E$275)))=0,"",IF(LEN(INDEX('Documents'!$P$4:$P$503,_calc!$E$275))=0,"",INDEX('Documents'!$P$4:$P$503,_calc!$E$275)))))</f>
        <v/>
      </c>
      <c r="G273" s="43">
        <f>IF(_calc!$E$275="","",IF(LEN(INDEX('Documents'!$O$4:$O$503,_calc!$E$275))=0,"",INDEX('Documents'!$O$4:$O$503,_calc!$E$275)))</f>
        <v/>
      </c>
      <c r="K273" s="43">
        <f>IF(_calc!$E$275="","",IF(LEN(INDEX('Documents'!$M$4:$M$503,_calc!$E$275))=0,"",INDEX('Documents'!$M$4:$M$503,_calc!$E$275)))</f>
        <v/>
      </c>
    </row>
    <row r="274">
      <c r="A274" s="43">
        <f>IF(_calc!$E$276="","",IF(LEN(INDEX('Documents'!$C$4:$C$503,_calc!$E$276))=0,"",INDEX('Documents'!$C$4:$C$503,_calc!$E$276))&amp;" – "&amp;IF(LEN(INDEX('Documents'!$A$4:$A$503,_calc!$E$276))=0,"",INDEX('Documents'!$A$4:$A$503,_calc!$E$276)))</f>
        <v/>
      </c>
      <c r="B274" s="43">
        <f>IF(_calc!$E$276="","",IF(ISNUMBER(INDEX('Documents'!$F$4:$F$503,_calc!$E$276)),TEXT(INDEX('Documents'!$F$4:$F$503,_calc!$E$276),"yyyy-mm-dd"),""))</f>
        <v/>
      </c>
      <c r="C274" s="43">
        <f>IF(_calc!$E$276="","","Contractor document")</f>
        <v/>
      </c>
      <c r="D274" s="43">
        <f>IF(_calc!$E$276="","",IF(ISNUMBER(INDEX('Documents'!$E$4:$E$503,_calc!$E$276)),TEXT(INDEX('Documents'!$E$4:$E$503,_calc!$E$276),"yyyy-mm-dd"),""))</f>
        <v/>
      </c>
      <c r="E274" s="43">
        <f>IF(_calc!$E$276="","",IF(LEN(INDEX('Documents'!$N$4:$N$503,_calc!$E$276))=0,"",INDEX('Documents'!$N$4:$N$503,_calc!$E$276)))</f>
        <v/>
      </c>
      <c r="F274" s="43">
        <f>IF(_calc!$E$276="","",TRIM(IF(LEN(IF(LEN(INDEX('Documents'!$B$4:$B$503,_calc!$E$276))=0,"",INDEX('Documents'!$B$4:$B$503,_calc!$E$276)))=0,"","Trade: "&amp;IF(LEN(INDEX('Documents'!$B$4:$B$503,_calc!$E$276))=0,"",INDEX('Documents'!$B$4:$B$503,_calc!$E$276))&amp;". ")&amp;IF(LEN(IF(LEN(INDEX('Documents'!$D$4:$D$503,_calc!$E$276))=0,"",INDEX('Documents'!$D$4:$D$503,_calc!$E$276)))=0,"","Ref: "&amp;IF(LEN(INDEX('Documents'!$D$4:$D$503,_calc!$E$276))=0,"",INDEX('Documents'!$D$4:$D$503,_calc!$E$276))&amp;". ")&amp;IF(LEN(IF(LEN(INDEX('Documents'!$K$4:$K$503,_calc!$E$276))=0,"",INDEX('Documents'!$K$4:$K$503,_calc!$E$276)))=0,"","On file: "&amp;IF(LEN(INDEX('Documents'!$K$4:$K$503,_calc!$E$276))=0,"",INDEX('Documents'!$K$4:$K$503,_calc!$E$276))&amp;". ")&amp;IF(LEN(IF(LEN(INDEX('Documents'!$L$4:$L$503,_calc!$E$276))=0,"",INDEX('Documents'!$L$4:$L$503,_calc!$E$276)))=0,"","Contractor email: "&amp;IF(LEN(INDEX('Documents'!$L$4:$L$503,_calc!$E$276))=0,"",INDEX('Documents'!$L$4:$L$503,_calc!$E$276))&amp;". ")&amp;IF(LEN(IF(LEN(INDEX('Documents'!$P$4:$P$503,_calc!$E$276))=0,"",INDEX('Documents'!$P$4:$P$503,_calc!$E$276)))=0,"",IF(LEN(INDEX('Documents'!$P$4:$P$503,_calc!$E$276))=0,"",INDEX('Documents'!$P$4:$P$503,_calc!$E$276)))))</f>
        <v/>
      </c>
      <c r="G274" s="43">
        <f>IF(_calc!$E$276="","",IF(LEN(INDEX('Documents'!$O$4:$O$503,_calc!$E$276))=0,"",INDEX('Documents'!$O$4:$O$503,_calc!$E$276)))</f>
        <v/>
      </c>
      <c r="K274" s="43">
        <f>IF(_calc!$E$276="","",IF(LEN(INDEX('Documents'!$M$4:$M$503,_calc!$E$276))=0,"",INDEX('Documents'!$M$4:$M$503,_calc!$E$276)))</f>
        <v/>
      </c>
    </row>
    <row r="275">
      <c r="A275" s="43">
        <f>IF(_calc!$E$277="","",IF(LEN(INDEX('Documents'!$C$4:$C$503,_calc!$E$277))=0,"",INDEX('Documents'!$C$4:$C$503,_calc!$E$277))&amp;" – "&amp;IF(LEN(INDEX('Documents'!$A$4:$A$503,_calc!$E$277))=0,"",INDEX('Documents'!$A$4:$A$503,_calc!$E$277)))</f>
        <v/>
      </c>
      <c r="B275" s="43">
        <f>IF(_calc!$E$277="","",IF(ISNUMBER(INDEX('Documents'!$F$4:$F$503,_calc!$E$277)),TEXT(INDEX('Documents'!$F$4:$F$503,_calc!$E$277),"yyyy-mm-dd"),""))</f>
        <v/>
      </c>
      <c r="C275" s="43">
        <f>IF(_calc!$E$277="","","Contractor document")</f>
        <v/>
      </c>
      <c r="D275" s="43">
        <f>IF(_calc!$E$277="","",IF(ISNUMBER(INDEX('Documents'!$E$4:$E$503,_calc!$E$277)),TEXT(INDEX('Documents'!$E$4:$E$503,_calc!$E$277),"yyyy-mm-dd"),""))</f>
        <v/>
      </c>
      <c r="E275" s="43">
        <f>IF(_calc!$E$277="","",IF(LEN(INDEX('Documents'!$N$4:$N$503,_calc!$E$277))=0,"",INDEX('Documents'!$N$4:$N$503,_calc!$E$277)))</f>
        <v/>
      </c>
      <c r="F275" s="43">
        <f>IF(_calc!$E$277="","",TRIM(IF(LEN(IF(LEN(INDEX('Documents'!$B$4:$B$503,_calc!$E$277))=0,"",INDEX('Documents'!$B$4:$B$503,_calc!$E$277)))=0,"","Trade: "&amp;IF(LEN(INDEX('Documents'!$B$4:$B$503,_calc!$E$277))=0,"",INDEX('Documents'!$B$4:$B$503,_calc!$E$277))&amp;". ")&amp;IF(LEN(IF(LEN(INDEX('Documents'!$D$4:$D$503,_calc!$E$277))=0,"",INDEX('Documents'!$D$4:$D$503,_calc!$E$277)))=0,"","Ref: "&amp;IF(LEN(INDEX('Documents'!$D$4:$D$503,_calc!$E$277))=0,"",INDEX('Documents'!$D$4:$D$503,_calc!$E$277))&amp;". ")&amp;IF(LEN(IF(LEN(INDEX('Documents'!$K$4:$K$503,_calc!$E$277))=0,"",INDEX('Documents'!$K$4:$K$503,_calc!$E$277)))=0,"","On file: "&amp;IF(LEN(INDEX('Documents'!$K$4:$K$503,_calc!$E$277))=0,"",INDEX('Documents'!$K$4:$K$503,_calc!$E$277))&amp;". ")&amp;IF(LEN(IF(LEN(INDEX('Documents'!$L$4:$L$503,_calc!$E$277))=0,"",INDEX('Documents'!$L$4:$L$503,_calc!$E$277)))=0,"","Contractor email: "&amp;IF(LEN(INDEX('Documents'!$L$4:$L$503,_calc!$E$277))=0,"",INDEX('Documents'!$L$4:$L$503,_calc!$E$277))&amp;". ")&amp;IF(LEN(IF(LEN(INDEX('Documents'!$P$4:$P$503,_calc!$E$277))=0,"",INDEX('Documents'!$P$4:$P$503,_calc!$E$277)))=0,"",IF(LEN(INDEX('Documents'!$P$4:$P$503,_calc!$E$277))=0,"",INDEX('Documents'!$P$4:$P$503,_calc!$E$277)))))</f>
        <v/>
      </c>
      <c r="G275" s="43">
        <f>IF(_calc!$E$277="","",IF(LEN(INDEX('Documents'!$O$4:$O$503,_calc!$E$277))=0,"",INDEX('Documents'!$O$4:$O$503,_calc!$E$277)))</f>
        <v/>
      </c>
      <c r="K275" s="43">
        <f>IF(_calc!$E$277="","",IF(LEN(INDEX('Documents'!$M$4:$M$503,_calc!$E$277))=0,"",INDEX('Documents'!$M$4:$M$503,_calc!$E$277)))</f>
        <v/>
      </c>
    </row>
    <row r="276">
      <c r="A276" s="43">
        <f>IF(_calc!$E$278="","",IF(LEN(INDEX('Documents'!$C$4:$C$503,_calc!$E$278))=0,"",INDEX('Documents'!$C$4:$C$503,_calc!$E$278))&amp;" – "&amp;IF(LEN(INDEX('Documents'!$A$4:$A$503,_calc!$E$278))=0,"",INDEX('Documents'!$A$4:$A$503,_calc!$E$278)))</f>
        <v/>
      </c>
      <c r="B276" s="43">
        <f>IF(_calc!$E$278="","",IF(ISNUMBER(INDEX('Documents'!$F$4:$F$503,_calc!$E$278)),TEXT(INDEX('Documents'!$F$4:$F$503,_calc!$E$278),"yyyy-mm-dd"),""))</f>
        <v/>
      </c>
      <c r="C276" s="43">
        <f>IF(_calc!$E$278="","","Contractor document")</f>
        <v/>
      </c>
      <c r="D276" s="43">
        <f>IF(_calc!$E$278="","",IF(ISNUMBER(INDEX('Documents'!$E$4:$E$503,_calc!$E$278)),TEXT(INDEX('Documents'!$E$4:$E$503,_calc!$E$278),"yyyy-mm-dd"),""))</f>
        <v/>
      </c>
      <c r="E276" s="43">
        <f>IF(_calc!$E$278="","",IF(LEN(INDEX('Documents'!$N$4:$N$503,_calc!$E$278))=0,"",INDEX('Documents'!$N$4:$N$503,_calc!$E$278)))</f>
        <v/>
      </c>
      <c r="F276" s="43">
        <f>IF(_calc!$E$278="","",TRIM(IF(LEN(IF(LEN(INDEX('Documents'!$B$4:$B$503,_calc!$E$278))=0,"",INDEX('Documents'!$B$4:$B$503,_calc!$E$278)))=0,"","Trade: "&amp;IF(LEN(INDEX('Documents'!$B$4:$B$503,_calc!$E$278))=0,"",INDEX('Documents'!$B$4:$B$503,_calc!$E$278))&amp;". ")&amp;IF(LEN(IF(LEN(INDEX('Documents'!$D$4:$D$503,_calc!$E$278))=0,"",INDEX('Documents'!$D$4:$D$503,_calc!$E$278)))=0,"","Ref: "&amp;IF(LEN(INDEX('Documents'!$D$4:$D$503,_calc!$E$278))=0,"",INDEX('Documents'!$D$4:$D$503,_calc!$E$278))&amp;". ")&amp;IF(LEN(IF(LEN(INDEX('Documents'!$K$4:$K$503,_calc!$E$278))=0,"",INDEX('Documents'!$K$4:$K$503,_calc!$E$278)))=0,"","On file: "&amp;IF(LEN(INDEX('Documents'!$K$4:$K$503,_calc!$E$278))=0,"",INDEX('Documents'!$K$4:$K$503,_calc!$E$278))&amp;". ")&amp;IF(LEN(IF(LEN(INDEX('Documents'!$L$4:$L$503,_calc!$E$278))=0,"",INDEX('Documents'!$L$4:$L$503,_calc!$E$278)))=0,"","Contractor email: "&amp;IF(LEN(INDEX('Documents'!$L$4:$L$503,_calc!$E$278))=0,"",INDEX('Documents'!$L$4:$L$503,_calc!$E$278))&amp;". ")&amp;IF(LEN(IF(LEN(INDEX('Documents'!$P$4:$P$503,_calc!$E$278))=0,"",INDEX('Documents'!$P$4:$P$503,_calc!$E$278)))=0,"",IF(LEN(INDEX('Documents'!$P$4:$P$503,_calc!$E$278))=0,"",INDEX('Documents'!$P$4:$P$503,_calc!$E$278)))))</f>
        <v/>
      </c>
      <c r="G276" s="43">
        <f>IF(_calc!$E$278="","",IF(LEN(INDEX('Documents'!$O$4:$O$503,_calc!$E$278))=0,"",INDEX('Documents'!$O$4:$O$503,_calc!$E$278)))</f>
        <v/>
      </c>
      <c r="K276" s="43">
        <f>IF(_calc!$E$278="","",IF(LEN(INDEX('Documents'!$M$4:$M$503,_calc!$E$278))=0,"",INDEX('Documents'!$M$4:$M$503,_calc!$E$278)))</f>
        <v/>
      </c>
    </row>
    <row r="277">
      <c r="A277" s="43">
        <f>IF(_calc!$E$279="","",IF(LEN(INDEX('Documents'!$C$4:$C$503,_calc!$E$279))=0,"",INDEX('Documents'!$C$4:$C$503,_calc!$E$279))&amp;" – "&amp;IF(LEN(INDEX('Documents'!$A$4:$A$503,_calc!$E$279))=0,"",INDEX('Documents'!$A$4:$A$503,_calc!$E$279)))</f>
        <v/>
      </c>
      <c r="B277" s="43">
        <f>IF(_calc!$E$279="","",IF(ISNUMBER(INDEX('Documents'!$F$4:$F$503,_calc!$E$279)),TEXT(INDEX('Documents'!$F$4:$F$503,_calc!$E$279),"yyyy-mm-dd"),""))</f>
        <v/>
      </c>
      <c r="C277" s="43">
        <f>IF(_calc!$E$279="","","Contractor document")</f>
        <v/>
      </c>
      <c r="D277" s="43">
        <f>IF(_calc!$E$279="","",IF(ISNUMBER(INDEX('Documents'!$E$4:$E$503,_calc!$E$279)),TEXT(INDEX('Documents'!$E$4:$E$503,_calc!$E$279),"yyyy-mm-dd"),""))</f>
        <v/>
      </c>
      <c r="E277" s="43">
        <f>IF(_calc!$E$279="","",IF(LEN(INDEX('Documents'!$N$4:$N$503,_calc!$E$279))=0,"",INDEX('Documents'!$N$4:$N$503,_calc!$E$279)))</f>
        <v/>
      </c>
      <c r="F277" s="43">
        <f>IF(_calc!$E$279="","",TRIM(IF(LEN(IF(LEN(INDEX('Documents'!$B$4:$B$503,_calc!$E$279))=0,"",INDEX('Documents'!$B$4:$B$503,_calc!$E$279)))=0,"","Trade: "&amp;IF(LEN(INDEX('Documents'!$B$4:$B$503,_calc!$E$279))=0,"",INDEX('Documents'!$B$4:$B$503,_calc!$E$279))&amp;". ")&amp;IF(LEN(IF(LEN(INDEX('Documents'!$D$4:$D$503,_calc!$E$279))=0,"",INDEX('Documents'!$D$4:$D$503,_calc!$E$279)))=0,"","Ref: "&amp;IF(LEN(INDEX('Documents'!$D$4:$D$503,_calc!$E$279))=0,"",INDEX('Documents'!$D$4:$D$503,_calc!$E$279))&amp;". ")&amp;IF(LEN(IF(LEN(INDEX('Documents'!$K$4:$K$503,_calc!$E$279))=0,"",INDEX('Documents'!$K$4:$K$503,_calc!$E$279)))=0,"","On file: "&amp;IF(LEN(INDEX('Documents'!$K$4:$K$503,_calc!$E$279))=0,"",INDEX('Documents'!$K$4:$K$503,_calc!$E$279))&amp;". ")&amp;IF(LEN(IF(LEN(INDEX('Documents'!$L$4:$L$503,_calc!$E$279))=0,"",INDEX('Documents'!$L$4:$L$503,_calc!$E$279)))=0,"","Contractor email: "&amp;IF(LEN(INDEX('Documents'!$L$4:$L$503,_calc!$E$279))=0,"",INDEX('Documents'!$L$4:$L$503,_calc!$E$279))&amp;". ")&amp;IF(LEN(IF(LEN(INDEX('Documents'!$P$4:$P$503,_calc!$E$279))=0,"",INDEX('Documents'!$P$4:$P$503,_calc!$E$279)))=0,"",IF(LEN(INDEX('Documents'!$P$4:$P$503,_calc!$E$279))=0,"",INDEX('Documents'!$P$4:$P$503,_calc!$E$279)))))</f>
        <v/>
      </c>
      <c r="G277" s="43">
        <f>IF(_calc!$E$279="","",IF(LEN(INDEX('Documents'!$O$4:$O$503,_calc!$E$279))=0,"",INDEX('Documents'!$O$4:$O$503,_calc!$E$279)))</f>
        <v/>
      </c>
      <c r="K277" s="43">
        <f>IF(_calc!$E$279="","",IF(LEN(INDEX('Documents'!$M$4:$M$503,_calc!$E$279))=0,"",INDEX('Documents'!$M$4:$M$503,_calc!$E$279)))</f>
        <v/>
      </c>
    </row>
    <row r="278">
      <c r="A278" s="43">
        <f>IF(_calc!$E$280="","",IF(LEN(INDEX('Documents'!$C$4:$C$503,_calc!$E$280))=0,"",INDEX('Documents'!$C$4:$C$503,_calc!$E$280))&amp;" – "&amp;IF(LEN(INDEX('Documents'!$A$4:$A$503,_calc!$E$280))=0,"",INDEX('Documents'!$A$4:$A$503,_calc!$E$280)))</f>
        <v/>
      </c>
      <c r="B278" s="43">
        <f>IF(_calc!$E$280="","",IF(ISNUMBER(INDEX('Documents'!$F$4:$F$503,_calc!$E$280)),TEXT(INDEX('Documents'!$F$4:$F$503,_calc!$E$280),"yyyy-mm-dd"),""))</f>
        <v/>
      </c>
      <c r="C278" s="43">
        <f>IF(_calc!$E$280="","","Contractor document")</f>
        <v/>
      </c>
      <c r="D278" s="43">
        <f>IF(_calc!$E$280="","",IF(ISNUMBER(INDEX('Documents'!$E$4:$E$503,_calc!$E$280)),TEXT(INDEX('Documents'!$E$4:$E$503,_calc!$E$280),"yyyy-mm-dd"),""))</f>
        <v/>
      </c>
      <c r="E278" s="43">
        <f>IF(_calc!$E$280="","",IF(LEN(INDEX('Documents'!$N$4:$N$503,_calc!$E$280))=0,"",INDEX('Documents'!$N$4:$N$503,_calc!$E$280)))</f>
        <v/>
      </c>
      <c r="F278" s="43">
        <f>IF(_calc!$E$280="","",TRIM(IF(LEN(IF(LEN(INDEX('Documents'!$B$4:$B$503,_calc!$E$280))=0,"",INDEX('Documents'!$B$4:$B$503,_calc!$E$280)))=0,"","Trade: "&amp;IF(LEN(INDEX('Documents'!$B$4:$B$503,_calc!$E$280))=0,"",INDEX('Documents'!$B$4:$B$503,_calc!$E$280))&amp;". ")&amp;IF(LEN(IF(LEN(INDEX('Documents'!$D$4:$D$503,_calc!$E$280))=0,"",INDEX('Documents'!$D$4:$D$503,_calc!$E$280)))=0,"","Ref: "&amp;IF(LEN(INDEX('Documents'!$D$4:$D$503,_calc!$E$280))=0,"",INDEX('Documents'!$D$4:$D$503,_calc!$E$280))&amp;". ")&amp;IF(LEN(IF(LEN(INDEX('Documents'!$K$4:$K$503,_calc!$E$280))=0,"",INDEX('Documents'!$K$4:$K$503,_calc!$E$280)))=0,"","On file: "&amp;IF(LEN(INDEX('Documents'!$K$4:$K$503,_calc!$E$280))=0,"",INDEX('Documents'!$K$4:$K$503,_calc!$E$280))&amp;". ")&amp;IF(LEN(IF(LEN(INDEX('Documents'!$L$4:$L$503,_calc!$E$280))=0,"",INDEX('Documents'!$L$4:$L$503,_calc!$E$280)))=0,"","Contractor email: "&amp;IF(LEN(INDEX('Documents'!$L$4:$L$503,_calc!$E$280))=0,"",INDEX('Documents'!$L$4:$L$503,_calc!$E$280))&amp;". ")&amp;IF(LEN(IF(LEN(INDEX('Documents'!$P$4:$P$503,_calc!$E$280))=0,"",INDEX('Documents'!$P$4:$P$503,_calc!$E$280)))=0,"",IF(LEN(INDEX('Documents'!$P$4:$P$503,_calc!$E$280))=0,"",INDEX('Documents'!$P$4:$P$503,_calc!$E$280)))))</f>
        <v/>
      </c>
      <c r="G278" s="43">
        <f>IF(_calc!$E$280="","",IF(LEN(INDEX('Documents'!$O$4:$O$503,_calc!$E$280))=0,"",INDEX('Documents'!$O$4:$O$503,_calc!$E$280)))</f>
        <v/>
      </c>
      <c r="K278" s="43">
        <f>IF(_calc!$E$280="","",IF(LEN(INDEX('Documents'!$M$4:$M$503,_calc!$E$280))=0,"",INDEX('Documents'!$M$4:$M$503,_calc!$E$280)))</f>
        <v/>
      </c>
    </row>
    <row r="279">
      <c r="A279" s="43">
        <f>IF(_calc!$E$281="","",IF(LEN(INDEX('Documents'!$C$4:$C$503,_calc!$E$281))=0,"",INDEX('Documents'!$C$4:$C$503,_calc!$E$281))&amp;" – "&amp;IF(LEN(INDEX('Documents'!$A$4:$A$503,_calc!$E$281))=0,"",INDEX('Documents'!$A$4:$A$503,_calc!$E$281)))</f>
        <v/>
      </c>
      <c r="B279" s="43">
        <f>IF(_calc!$E$281="","",IF(ISNUMBER(INDEX('Documents'!$F$4:$F$503,_calc!$E$281)),TEXT(INDEX('Documents'!$F$4:$F$503,_calc!$E$281),"yyyy-mm-dd"),""))</f>
        <v/>
      </c>
      <c r="C279" s="43">
        <f>IF(_calc!$E$281="","","Contractor document")</f>
        <v/>
      </c>
      <c r="D279" s="43">
        <f>IF(_calc!$E$281="","",IF(ISNUMBER(INDEX('Documents'!$E$4:$E$503,_calc!$E$281)),TEXT(INDEX('Documents'!$E$4:$E$503,_calc!$E$281),"yyyy-mm-dd"),""))</f>
        <v/>
      </c>
      <c r="E279" s="43">
        <f>IF(_calc!$E$281="","",IF(LEN(INDEX('Documents'!$N$4:$N$503,_calc!$E$281))=0,"",INDEX('Documents'!$N$4:$N$503,_calc!$E$281)))</f>
        <v/>
      </c>
      <c r="F279" s="43">
        <f>IF(_calc!$E$281="","",TRIM(IF(LEN(IF(LEN(INDEX('Documents'!$B$4:$B$503,_calc!$E$281))=0,"",INDEX('Documents'!$B$4:$B$503,_calc!$E$281)))=0,"","Trade: "&amp;IF(LEN(INDEX('Documents'!$B$4:$B$503,_calc!$E$281))=0,"",INDEX('Documents'!$B$4:$B$503,_calc!$E$281))&amp;". ")&amp;IF(LEN(IF(LEN(INDEX('Documents'!$D$4:$D$503,_calc!$E$281))=0,"",INDEX('Documents'!$D$4:$D$503,_calc!$E$281)))=0,"","Ref: "&amp;IF(LEN(INDEX('Documents'!$D$4:$D$503,_calc!$E$281))=0,"",INDEX('Documents'!$D$4:$D$503,_calc!$E$281))&amp;". ")&amp;IF(LEN(IF(LEN(INDEX('Documents'!$K$4:$K$503,_calc!$E$281))=0,"",INDEX('Documents'!$K$4:$K$503,_calc!$E$281)))=0,"","On file: "&amp;IF(LEN(INDEX('Documents'!$K$4:$K$503,_calc!$E$281))=0,"",INDEX('Documents'!$K$4:$K$503,_calc!$E$281))&amp;". ")&amp;IF(LEN(IF(LEN(INDEX('Documents'!$L$4:$L$503,_calc!$E$281))=0,"",INDEX('Documents'!$L$4:$L$503,_calc!$E$281)))=0,"","Contractor email: "&amp;IF(LEN(INDEX('Documents'!$L$4:$L$503,_calc!$E$281))=0,"",INDEX('Documents'!$L$4:$L$503,_calc!$E$281))&amp;". ")&amp;IF(LEN(IF(LEN(INDEX('Documents'!$P$4:$P$503,_calc!$E$281))=0,"",INDEX('Documents'!$P$4:$P$503,_calc!$E$281)))=0,"",IF(LEN(INDEX('Documents'!$P$4:$P$503,_calc!$E$281))=0,"",INDEX('Documents'!$P$4:$P$503,_calc!$E$281)))))</f>
        <v/>
      </c>
      <c r="G279" s="43">
        <f>IF(_calc!$E$281="","",IF(LEN(INDEX('Documents'!$O$4:$O$503,_calc!$E$281))=0,"",INDEX('Documents'!$O$4:$O$503,_calc!$E$281)))</f>
        <v/>
      </c>
      <c r="K279" s="43">
        <f>IF(_calc!$E$281="","",IF(LEN(INDEX('Documents'!$M$4:$M$503,_calc!$E$281))=0,"",INDEX('Documents'!$M$4:$M$503,_calc!$E$281)))</f>
        <v/>
      </c>
    </row>
    <row r="280">
      <c r="A280" s="43">
        <f>IF(_calc!$E$282="","",IF(LEN(INDEX('Documents'!$C$4:$C$503,_calc!$E$282))=0,"",INDEX('Documents'!$C$4:$C$503,_calc!$E$282))&amp;" – "&amp;IF(LEN(INDEX('Documents'!$A$4:$A$503,_calc!$E$282))=0,"",INDEX('Documents'!$A$4:$A$503,_calc!$E$282)))</f>
        <v/>
      </c>
      <c r="B280" s="43">
        <f>IF(_calc!$E$282="","",IF(ISNUMBER(INDEX('Documents'!$F$4:$F$503,_calc!$E$282)),TEXT(INDEX('Documents'!$F$4:$F$503,_calc!$E$282),"yyyy-mm-dd"),""))</f>
        <v/>
      </c>
      <c r="C280" s="43">
        <f>IF(_calc!$E$282="","","Contractor document")</f>
        <v/>
      </c>
      <c r="D280" s="43">
        <f>IF(_calc!$E$282="","",IF(ISNUMBER(INDEX('Documents'!$E$4:$E$503,_calc!$E$282)),TEXT(INDEX('Documents'!$E$4:$E$503,_calc!$E$282),"yyyy-mm-dd"),""))</f>
        <v/>
      </c>
      <c r="E280" s="43">
        <f>IF(_calc!$E$282="","",IF(LEN(INDEX('Documents'!$N$4:$N$503,_calc!$E$282))=0,"",INDEX('Documents'!$N$4:$N$503,_calc!$E$282)))</f>
        <v/>
      </c>
      <c r="F280" s="43">
        <f>IF(_calc!$E$282="","",TRIM(IF(LEN(IF(LEN(INDEX('Documents'!$B$4:$B$503,_calc!$E$282))=0,"",INDEX('Documents'!$B$4:$B$503,_calc!$E$282)))=0,"","Trade: "&amp;IF(LEN(INDEX('Documents'!$B$4:$B$503,_calc!$E$282))=0,"",INDEX('Documents'!$B$4:$B$503,_calc!$E$282))&amp;". ")&amp;IF(LEN(IF(LEN(INDEX('Documents'!$D$4:$D$503,_calc!$E$282))=0,"",INDEX('Documents'!$D$4:$D$503,_calc!$E$282)))=0,"","Ref: "&amp;IF(LEN(INDEX('Documents'!$D$4:$D$503,_calc!$E$282))=0,"",INDEX('Documents'!$D$4:$D$503,_calc!$E$282))&amp;". ")&amp;IF(LEN(IF(LEN(INDEX('Documents'!$K$4:$K$503,_calc!$E$282))=0,"",INDEX('Documents'!$K$4:$K$503,_calc!$E$282)))=0,"","On file: "&amp;IF(LEN(INDEX('Documents'!$K$4:$K$503,_calc!$E$282))=0,"",INDEX('Documents'!$K$4:$K$503,_calc!$E$282))&amp;". ")&amp;IF(LEN(IF(LEN(INDEX('Documents'!$L$4:$L$503,_calc!$E$282))=0,"",INDEX('Documents'!$L$4:$L$503,_calc!$E$282)))=0,"","Contractor email: "&amp;IF(LEN(INDEX('Documents'!$L$4:$L$503,_calc!$E$282))=0,"",INDEX('Documents'!$L$4:$L$503,_calc!$E$282))&amp;". ")&amp;IF(LEN(IF(LEN(INDEX('Documents'!$P$4:$P$503,_calc!$E$282))=0,"",INDEX('Documents'!$P$4:$P$503,_calc!$E$282)))=0,"",IF(LEN(INDEX('Documents'!$P$4:$P$503,_calc!$E$282))=0,"",INDEX('Documents'!$P$4:$P$503,_calc!$E$282)))))</f>
        <v/>
      </c>
      <c r="G280" s="43">
        <f>IF(_calc!$E$282="","",IF(LEN(INDEX('Documents'!$O$4:$O$503,_calc!$E$282))=0,"",INDEX('Documents'!$O$4:$O$503,_calc!$E$282)))</f>
        <v/>
      </c>
      <c r="K280" s="43">
        <f>IF(_calc!$E$282="","",IF(LEN(INDEX('Documents'!$M$4:$M$503,_calc!$E$282))=0,"",INDEX('Documents'!$M$4:$M$503,_calc!$E$282)))</f>
        <v/>
      </c>
    </row>
    <row r="281">
      <c r="A281" s="43">
        <f>IF(_calc!$E$283="","",IF(LEN(INDEX('Documents'!$C$4:$C$503,_calc!$E$283))=0,"",INDEX('Documents'!$C$4:$C$503,_calc!$E$283))&amp;" – "&amp;IF(LEN(INDEX('Documents'!$A$4:$A$503,_calc!$E$283))=0,"",INDEX('Documents'!$A$4:$A$503,_calc!$E$283)))</f>
        <v/>
      </c>
      <c r="B281" s="43">
        <f>IF(_calc!$E$283="","",IF(ISNUMBER(INDEX('Documents'!$F$4:$F$503,_calc!$E$283)),TEXT(INDEX('Documents'!$F$4:$F$503,_calc!$E$283),"yyyy-mm-dd"),""))</f>
        <v/>
      </c>
      <c r="C281" s="43">
        <f>IF(_calc!$E$283="","","Contractor document")</f>
        <v/>
      </c>
      <c r="D281" s="43">
        <f>IF(_calc!$E$283="","",IF(ISNUMBER(INDEX('Documents'!$E$4:$E$503,_calc!$E$283)),TEXT(INDEX('Documents'!$E$4:$E$503,_calc!$E$283),"yyyy-mm-dd"),""))</f>
        <v/>
      </c>
      <c r="E281" s="43">
        <f>IF(_calc!$E$283="","",IF(LEN(INDEX('Documents'!$N$4:$N$503,_calc!$E$283))=0,"",INDEX('Documents'!$N$4:$N$503,_calc!$E$283)))</f>
        <v/>
      </c>
      <c r="F281" s="43">
        <f>IF(_calc!$E$283="","",TRIM(IF(LEN(IF(LEN(INDEX('Documents'!$B$4:$B$503,_calc!$E$283))=0,"",INDEX('Documents'!$B$4:$B$503,_calc!$E$283)))=0,"","Trade: "&amp;IF(LEN(INDEX('Documents'!$B$4:$B$503,_calc!$E$283))=0,"",INDEX('Documents'!$B$4:$B$503,_calc!$E$283))&amp;". ")&amp;IF(LEN(IF(LEN(INDEX('Documents'!$D$4:$D$503,_calc!$E$283))=0,"",INDEX('Documents'!$D$4:$D$503,_calc!$E$283)))=0,"","Ref: "&amp;IF(LEN(INDEX('Documents'!$D$4:$D$503,_calc!$E$283))=0,"",INDEX('Documents'!$D$4:$D$503,_calc!$E$283))&amp;". ")&amp;IF(LEN(IF(LEN(INDEX('Documents'!$K$4:$K$503,_calc!$E$283))=0,"",INDEX('Documents'!$K$4:$K$503,_calc!$E$283)))=0,"","On file: "&amp;IF(LEN(INDEX('Documents'!$K$4:$K$503,_calc!$E$283))=0,"",INDEX('Documents'!$K$4:$K$503,_calc!$E$283))&amp;". ")&amp;IF(LEN(IF(LEN(INDEX('Documents'!$L$4:$L$503,_calc!$E$283))=0,"",INDEX('Documents'!$L$4:$L$503,_calc!$E$283)))=0,"","Contractor email: "&amp;IF(LEN(INDEX('Documents'!$L$4:$L$503,_calc!$E$283))=0,"",INDEX('Documents'!$L$4:$L$503,_calc!$E$283))&amp;". ")&amp;IF(LEN(IF(LEN(INDEX('Documents'!$P$4:$P$503,_calc!$E$283))=0,"",INDEX('Documents'!$P$4:$P$503,_calc!$E$283)))=0,"",IF(LEN(INDEX('Documents'!$P$4:$P$503,_calc!$E$283))=0,"",INDEX('Documents'!$P$4:$P$503,_calc!$E$283)))))</f>
        <v/>
      </c>
      <c r="G281" s="43">
        <f>IF(_calc!$E$283="","",IF(LEN(INDEX('Documents'!$O$4:$O$503,_calc!$E$283))=0,"",INDEX('Documents'!$O$4:$O$503,_calc!$E$283)))</f>
        <v/>
      </c>
      <c r="K281" s="43">
        <f>IF(_calc!$E$283="","",IF(LEN(INDEX('Documents'!$M$4:$M$503,_calc!$E$283))=0,"",INDEX('Documents'!$M$4:$M$503,_calc!$E$283)))</f>
        <v/>
      </c>
    </row>
    <row r="282">
      <c r="A282" s="43">
        <f>IF(_calc!$E$284="","",IF(LEN(INDEX('Documents'!$C$4:$C$503,_calc!$E$284))=0,"",INDEX('Documents'!$C$4:$C$503,_calc!$E$284))&amp;" – "&amp;IF(LEN(INDEX('Documents'!$A$4:$A$503,_calc!$E$284))=0,"",INDEX('Documents'!$A$4:$A$503,_calc!$E$284)))</f>
        <v/>
      </c>
      <c r="B282" s="43">
        <f>IF(_calc!$E$284="","",IF(ISNUMBER(INDEX('Documents'!$F$4:$F$503,_calc!$E$284)),TEXT(INDEX('Documents'!$F$4:$F$503,_calc!$E$284),"yyyy-mm-dd"),""))</f>
        <v/>
      </c>
      <c r="C282" s="43">
        <f>IF(_calc!$E$284="","","Contractor document")</f>
        <v/>
      </c>
      <c r="D282" s="43">
        <f>IF(_calc!$E$284="","",IF(ISNUMBER(INDEX('Documents'!$E$4:$E$503,_calc!$E$284)),TEXT(INDEX('Documents'!$E$4:$E$503,_calc!$E$284),"yyyy-mm-dd"),""))</f>
        <v/>
      </c>
      <c r="E282" s="43">
        <f>IF(_calc!$E$284="","",IF(LEN(INDEX('Documents'!$N$4:$N$503,_calc!$E$284))=0,"",INDEX('Documents'!$N$4:$N$503,_calc!$E$284)))</f>
        <v/>
      </c>
      <c r="F282" s="43">
        <f>IF(_calc!$E$284="","",TRIM(IF(LEN(IF(LEN(INDEX('Documents'!$B$4:$B$503,_calc!$E$284))=0,"",INDEX('Documents'!$B$4:$B$503,_calc!$E$284)))=0,"","Trade: "&amp;IF(LEN(INDEX('Documents'!$B$4:$B$503,_calc!$E$284))=0,"",INDEX('Documents'!$B$4:$B$503,_calc!$E$284))&amp;". ")&amp;IF(LEN(IF(LEN(INDEX('Documents'!$D$4:$D$503,_calc!$E$284))=0,"",INDEX('Documents'!$D$4:$D$503,_calc!$E$284)))=0,"","Ref: "&amp;IF(LEN(INDEX('Documents'!$D$4:$D$503,_calc!$E$284))=0,"",INDEX('Documents'!$D$4:$D$503,_calc!$E$284))&amp;". ")&amp;IF(LEN(IF(LEN(INDEX('Documents'!$K$4:$K$503,_calc!$E$284))=0,"",INDEX('Documents'!$K$4:$K$503,_calc!$E$284)))=0,"","On file: "&amp;IF(LEN(INDEX('Documents'!$K$4:$K$503,_calc!$E$284))=0,"",INDEX('Documents'!$K$4:$K$503,_calc!$E$284))&amp;". ")&amp;IF(LEN(IF(LEN(INDEX('Documents'!$L$4:$L$503,_calc!$E$284))=0,"",INDEX('Documents'!$L$4:$L$503,_calc!$E$284)))=0,"","Contractor email: "&amp;IF(LEN(INDEX('Documents'!$L$4:$L$503,_calc!$E$284))=0,"",INDEX('Documents'!$L$4:$L$503,_calc!$E$284))&amp;". ")&amp;IF(LEN(IF(LEN(INDEX('Documents'!$P$4:$P$503,_calc!$E$284))=0,"",INDEX('Documents'!$P$4:$P$503,_calc!$E$284)))=0,"",IF(LEN(INDEX('Documents'!$P$4:$P$503,_calc!$E$284))=0,"",INDEX('Documents'!$P$4:$P$503,_calc!$E$284)))))</f>
        <v/>
      </c>
      <c r="G282" s="43">
        <f>IF(_calc!$E$284="","",IF(LEN(INDEX('Documents'!$O$4:$O$503,_calc!$E$284))=0,"",INDEX('Documents'!$O$4:$O$503,_calc!$E$284)))</f>
        <v/>
      </c>
      <c r="K282" s="43">
        <f>IF(_calc!$E$284="","",IF(LEN(INDEX('Documents'!$M$4:$M$503,_calc!$E$284))=0,"",INDEX('Documents'!$M$4:$M$503,_calc!$E$284)))</f>
        <v/>
      </c>
    </row>
    <row r="283">
      <c r="A283" s="43">
        <f>IF(_calc!$E$285="","",IF(LEN(INDEX('Documents'!$C$4:$C$503,_calc!$E$285))=0,"",INDEX('Documents'!$C$4:$C$503,_calc!$E$285))&amp;" – "&amp;IF(LEN(INDEX('Documents'!$A$4:$A$503,_calc!$E$285))=0,"",INDEX('Documents'!$A$4:$A$503,_calc!$E$285)))</f>
        <v/>
      </c>
      <c r="B283" s="43">
        <f>IF(_calc!$E$285="","",IF(ISNUMBER(INDEX('Documents'!$F$4:$F$503,_calc!$E$285)),TEXT(INDEX('Documents'!$F$4:$F$503,_calc!$E$285),"yyyy-mm-dd"),""))</f>
        <v/>
      </c>
      <c r="C283" s="43">
        <f>IF(_calc!$E$285="","","Contractor document")</f>
        <v/>
      </c>
      <c r="D283" s="43">
        <f>IF(_calc!$E$285="","",IF(ISNUMBER(INDEX('Documents'!$E$4:$E$503,_calc!$E$285)),TEXT(INDEX('Documents'!$E$4:$E$503,_calc!$E$285),"yyyy-mm-dd"),""))</f>
        <v/>
      </c>
      <c r="E283" s="43">
        <f>IF(_calc!$E$285="","",IF(LEN(INDEX('Documents'!$N$4:$N$503,_calc!$E$285))=0,"",INDEX('Documents'!$N$4:$N$503,_calc!$E$285)))</f>
        <v/>
      </c>
      <c r="F283" s="43">
        <f>IF(_calc!$E$285="","",TRIM(IF(LEN(IF(LEN(INDEX('Documents'!$B$4:$B$503,_calc!$E$285))=0,"",INDEX('Documents'!$B$4:$B$503,_calc!$E$285)))=0,"","Trade: "&amp;IF(LEN(INDEX('Documents'!$B$4:$B$503,_calc!$E$285))=0,"",INDEX('Documents'!$B$4:$B$503,_calc!$E$285))&amp;". ")&amp;IF(LEN(IF(LEN(INDEX('Documents'!$D$4:$D$503,_calc!$E$285))=0,"",INDEX('Documents'!$D$4:$D$503,_calc!$E$285)))=0,"","Ref: "&amp;IF(LEN(INDEX('Documents'!$D$4:$D$503,_calc!$E$285))=0,"",INDEX('Documents'!$D$4:$D$503,_calc!$E$285))&amp;". ")&amp;IF(LEN(IF(LEN(INDEX('Documents'!$K$4:$K$503,_calc!$E$285))=0,"",INDEX('Documents'!$K$4:$K$503,_calc!$E$285)))=0,"","On file: "&amp;IF(LEN(INDEX('Documents'!$K$4:$K$503,_calc!$E$285))=0,"",INDEX('Documents'!$K$4:$K$503,_calc!$E$285))&amp;". ")&amp;IF(LEN(IF(LEN(INDEX('Documents'!$L$4:$L$503,_calc!$E$285))=0,"",INDEX('Documents'!$L$4:$L$503,_calc!$E$285)))=0,"","Contractor email: "&amp;IF(LEN(INDEX('Documents'!$L$4:$L$503,_calc!$E$285))=0,"",INDEX('Documents'!$L$4:$L$503,_calc!$E$285))&amp;". ")&amp;IF(LEN(IF(LEN(INDEX('Documents'!$P$4:$P$503,_calc!$E$285))=0,"",INDEX('Documents'!$P$4:$P$503,_calc!$E$285)))=0,"",IF(LEN(INDEX('Documents'!$P$4:$P$503,_calc!$E$285))=0,"",INDEX('Documents'!$P$4:$P$503,_calc!$E$285)))))</f>
        <v/>
      </c>
      <c r="G283" s="43">
        <f>IF(_calc!$E$285="","",IF(LEN(INDEX('Documents'!$O$4:$O$503,_calc!$E$285))=0,"",INDEX('Documents'!$O$4:$O$503,_calc!$E$285)))</f>
        <v/>
      </c>
      <c r="K283" s="43">
        <f>IF(_calc!$E$285="","",IF(LEN(INDEX('Documents'!$M$4:$M$503,_calc!$E$285))=0,"",INDEX('Documents'!$M$4:$M$503,_calc!$E$285)))</f>
        <v/>
      </c>
    </row>
    <row r="284">
      <c r="A284" s="43">
        <f>IF(_calc!$E$286="","",IF(LEN(INDEX('Documents'!$C$4:$C$503,_calc!$E$286))=0,"",INDEX('Documents'!$C$4:$C$503,_calc!$E$286))&amp;" – "&amp;IF(LEN(INDEX('Documents'!$A$4:$A$503,_calc!$E$286))=0,"",INDEX('Documents'!$A$4:$A$503,_calc!$E$286)))</f>
        <v/>
      </c>
      <c r="B284" s="43">
        <f>IF(_calc!$E$286="","",IF(ISNUMBER(INDEX('Documents'!$F$4:$F$503,_calc!$E$286)),TEXT(INDEX('Documents'!$F$4:$F$503,_calc!$E$286),"yyyy-mm-dd"),""))</f>
        <v/>
      </c>
      <c r="C284" s="43">
        <f>IF(_calc!$E$286="","","Contractor document")</f>
        <v/>
      </c>
      <c r="D284" s="43">
        <f>IF(_calc!$E$286="","",IF(ISNUMBER(INDEX('Documents'!$E$4:$E$503,_calc!$E$286)),TEXT(INDEX('Documents'!$E$4:$E$503,_calc!$E$286),"yyyy-mm-dd"),""))</f>
        <v/>
      </c>
      <c r="E284" s="43">
        <f>IF(_calc!$E$286="","",IF(LEN(INDEX('Documents'!$N$4:$N$503,_calc!$E$286))=0,"",INDEX('Documents'!$N$4:$N$503,_calc!$E$286)))</f>
        <v/>
      </c>
      <c r="F284" s="43">
        <f>IF(_calc!$E$286="","",TRIM(IF(LEN(IF(LEN(INDEX('Documents'!$B$4:$B$503,_calc!$E$286))=0,"",INDEX('Documents'!$B$4:$B$503,_calc!$E$286)))=0,"","Trade: "&amp;IF(LEN(INDEX('Documents'!$B$4:$B$503,_calc!$E$286))=0,"",INDEX('Documents'!$B$4:$B$503,_calc!$E$286))&amp;". ")&amp;IF(LEN(IF(LEN(INDEX('Documents'!$D$4:$D$503,_calc!$E$286))=0,"",INDEX('Documents'!$D$4:$D$503,_calc!$E$286)))=0,"","Ref: "&amp;IF(LEN(INDEX('Documents'!$D$4:$D$503,_calc!$E$286))=0,"",INDEX('Documents'!$D$4:$D$503,_calc!$E$286))&amp;". ")&amp;IF(LEN(IF(LEN(INDEX('Documents'!$K$4:$K$503,_calc!$E$286))=0,"",INDEX('Documents'!$K$4:$K$503,_calc!$E$286)))=0,"","On file: "&amp;IF(LEN(INDEX('Documents'!$K$4:$K$503,_calc!$E$286))=0,"",INDEX('Documents'!$K$4:$K$503,_calc!$E$286))&amp;". ")&amp;IF(LEN(IF(LEN(INDEX('Documents'!$L$4:$L$503,_calc!$E$286))=0,"",INDEX('Documents'!$L$4:$L$503,_calc!$E$286)))=0,"","Contractor email: "&amp;IF(LEN(INDEX('Documents'!$L$4:$L$503,_calc!$E$286))=0,"",INDEX('Documents'!$L$4:$L$503,_calc!$E$286))&amp;". ")&amp;IF(LEN(IF(LEN(INDEX('Documents'!$P$4:$P$503,_calc!$E$286))=0,"",INDEX('Documents'!$P$4:$P$503,_calc!$E$286)))=0,"",IF(LEN(INDEX('Documents'!$P$4:$P$503,_calc!$E$286))=0,"",INDEX('Documents'!$P$4:$P$503,_calc!$E$286)))))</f>
        <v/>
      </c>
      <c r="G284" s="43">
        <f>IF(_calc!$E$286="","",IF(LEN(INDEX('Documents'!$O$4:$O$503,_calc!$E$286))=0,"",INDEX('Documents'!$O$4:$O$503,_calc!$E$286)))</f>
        <v/>
      </c>
      <c r="K284" s="43">
        <f>IF(_calc!$E$286="","",IF(LEN(INDEX('Documents'!$M$4:$M$503,_calc!$E$286))=0,"",INDEX('Documents'!$M$4:$M$503,_calc!$E$286)))</f>
        <v/>
      </c>
    </row>
    <row r="285">
      <c r="A285" s="43">
        <f>IF(_calc!$E$287="","",IF(LEN(INDEX('Documents'!$C$4:$C$503,_calc!$E$287))=0,"",INDEX('Documents'!$C$4:$C$503,_calc!$E$287))&amp;" – "&amp;IF(LEN(INDEX('Documents'!$A$4:$A$503,_calc!$E$287))=0,"",INDEX('Documents'!$A$4:$A$503,_calc!$E$287)))</f>
        <v/>
      </c>
      <c r="B285" s="43">
        <f>IF(_calc!$E$287="","",IF(ISNUMBER(INDEX('Documents'!$F$4:$F$503,_calc!$E$287)),TEXT(INDEX('Documents'!$F$4:$F$503,_calc!$E$287),"yyyy-mm-dd"),""))</f>
        <v/>
      </c>
      <c r="C285" s="43">
        <f>IF(_calc!$E$287="","","Contractor document")</f>
        <v/>
      </c>
      <c r="D285" s="43">
        <f>IF(_calc!$E$287="","",IF(ISNUMBER(INDEX('Documents'!$E$4:$E$503,_calc!$E$287)),TEXT(INDEX('Documents'!$E$4:$E$503,_calc!$E$287),"yyyy-mm-dd"),""))</f>
        <v/>
      </c>
      <c r="E285" s="43">
        <f>IF(_calc!$E$287="","",IF(LEN(INDEX('Documents'!$N$4:$N$503,_calc!$E$287))=0,"",INDEX('Documents'!$N$4:$N$503,_calc!$E$287)))</f>
        <v/>
      </c>
      <c r="F285" s="43">
        <f>IF(_calc!$E$287="","",TRIM(IF(LEN(IF(LEN(INDEX('Documents'!$B$4:$B$503,_calc!$E$287))=0,"",INDEX('Documents'!$B$4:$B$503,_calc!$E$287)))=0,"","Trade: "&amp;IF(LEN(INDEX('Documents'!$B$4:$B$503,_calc!$E$287))=0,"",INDEX('Documents'!$B$4:$B$503,_calc!$E$287))&amp;". ")&amp;IF(LEN(IF(LEN(INDEX('Documents'!$D$4:$D$503,_calc!$E$287))=0,"",INDEX('Documents'!$D$4:$D$503,_calc!$E$287)))=0,"","Ref: "&amp;IF(LEN(INDEX('Documents'!$D$4:$D$503,_calc!$E$287))=0,"",INDEX('Documents'!$D$4:$D$503,_calc!$E$287))&amp;". ")&amp;IF(LEN(IF(LEN(INDEX('Documents'!$K$4:$K$503,_calc!$E$287))=0,"",INDEX('Documents'!$K$4:$K$503,_calc!$E$287)))=0,"","On file: "&amp;IF(LEN(INDEX('Documents'!$K$4:$K$503,_calc!$E$287))=0,"",INDEX('Documents'!$K$4:$K$503,_calc!$E$287))&amp;". ")&amp;IF(LEN(IF(LEN(INDEX('Documents'!$L$4:$L$503,_calc!$E$287))=0,"",INDEX('Documents'!$L$4:$L$503,_calc!$E$287)))=0,"","Contractor email: "&amp;IF(LEN(INDEX('Documents'!$L$4:$L$503,_calc!$E$287))=0,"",INDEX('Documents'!$L$4:$L$503,_calc!$E$287))&amp;". ")&amp;IF(LEN(IF(LEN(INDEX('Documents'!$P$4:$P$503,_calc!$E$287))=0,"",INDEX('Documents'!$P$4:$P$503,_calc!$E$287)))=0,"",IF(LEN(INDEX('Documents'!$P$4:$P$503,_calc!$E$287))=0,"",INDEX('Documents'!$P$4:$P$503,_calc!$E$287)))))</f>
        <v/>
      </c>
      <c r="G285" s="43">
        <f>IF(_calc!$E$287="","",IF(LEN(INDEX('Documents'!$O$4:$O$503,_calc!$E$287))=0,"",INDEX('Documents'!$O$4:$O$503,_calc!$E$287)))</f>
        <v/>
      </c>
      <c r="K285" s="43">
        <f>IF(_calc!$E$287="","",IF(LEN(INDEX('Documents'!$M$4:$M$503,_calc!$E$287))=0,"",INDEX('Documents'!$M$4:$M$503,_calc!$E$287)))</f>
        <v/>
      </c>
    </row>
    <row r="286">
      <c r="A286" s="43">
        <f>IF(_calc!$E$288="","",IF(LEN(INDEX('Documents'!$C$4:$C$503,_calc!$E$288))=0,"",INDEX('Documents'!$C$4:$C$503,_calc!$E$288))&amp;" – "&amp;IF(LEN(INDEX('Documents'!$A$4:$A$503,_calc!$E$288))=0,"",INDEX('Documents'!$A$4:$A$503,_calc!$E$288)))</f>
        <v/>
      </c>
      <c r="B286" s="43">
        <f>IF(_calc!$E$288="","",IF(ISNUMBER(INDEX('Documents'!$F$4:$F$503,_calc!$E$288)),TEXT(INDEX('Documents'!$F$4:$F$503,_calc!$E$288),"yyyy-mm-dd"),""))</f>
        <v/>
      </c>
      <c r="C286" s="43">
        <f>IF(_calc!$E$288="","","Contractor document")</f>
        <v/>
      </c>
      <c r="D286" s="43">
        <f>IF(_calc!$E$288="","",IF(ISNUMBER(INDEX('Documents'!$E$4:$E$503,_calc!$E$288)),TEXT(INDEX('Documents'!$E$4:$E$503,_calc!$E$288),"yyyy-mm-dd"),""))</f>
        <v/>
      </c>
      <c r="E286" s="43">
        <f>IF(_calc!$E$288="","",IF(LEN(INDEX('Documents'!$N$4:$N$503,_calc!$E$288))=0,"",INDEX('Documents'!$N$4:$N$503,_calc!$E$288)))</f>
        <v/>
      </c>
      <c r="F286" s="43">
        <f>IF(_calc!$E$288="","",TRIM(IF(LEN(IF(LEN(INDEX('Documents'!$B$4:$B$503,_calc!$E$288))=0,"",INDEX('Documents'!$B$4:$B$503,_calc!$E$288)))=0,"","Trade: "&amp;IF(LEN(INDEX('Documents'!$B$4:$B$503,_calc!$E$288))=0,"",INDEX('Documents'!$B$4:$B$503,_calc!$E$288))&amp;". ")&amp;IF(LEN(IF(LEN(INDEX('Documents'!$D$4:$D$503,_calc!$E$288))=0,"",INDEX('Documents'!$D$4:$D$503,_calc!$E$288)))=0,"","Ref: "&amp;IF(LEN(INDEX('Documents'!$D$4:$D$503,_calc!$E$288))=0,"",INDEX('Documents'!$D$4:$D$503,_calc!$E$288))&amp;". ")&amp;IF(LEN(IF(LEN(INDEX('Documents'!$K$4:$K$503,_calc!$E$288))=0,"",INDEX('Documents'!$K$4:$K$503,_calc!$E$288)))=0,"","On file: "&amp;IF(LEN(INDEX('Documents'!$K$4:$K$503,_calc!$E$288))=0,"",INDEX('Documents'!$K$4:$K$503,_calc!$E$288))&amp;". ")&amp;IF(LEN(IF(LEN(INDEX('Documents'!$L$4:$L$503,_calc!$E$288))=0,"",INDEX('Documents'!$L$4:$L$503,_calc!$E$288)))=0,"","Contractor email: "&amp;IF(LEN(INDEX('Documents'!$L$4:$L$503,_calc!$E$288))=0,"",INDEX('Documents'!$L$4:$L$503,_calc!$E$288))&amp;". ")&amp;IF(LEN(IF(LEN(INDEX('Documents'!$P$4:$P$503,_calc!$E$288))=0,"",INDEX('Documents'!$P$4:$P$503,_calc!$E$288)))=0,"",IF(LEN(INDEX('Documents'!$P$4:$P$503,_calc!$E$288))=0,"",INDEX('Documents'!$P$4:$P$503,_calc!$E$288)))))</f>
        <v/>
      </c>
      <c r="G286" s="43">
        <f>IF(_calc!$E$288="","",IF(LEN(INDEX('Documents'!$O$4:$O$503,_calc!$E$288))=0,"",INDEX('Documents'!$O$4:$O$503,_calc!$E$288)))</f>
        <v/>
      </c>
      <c r="K286" s="43">
        <f>IF(_calc!$E$288="","",IF(LEN(INDEX('Documents'!$M$4:$M$503,_calc!$E$288))=0,"",INDEX('Documents'!$M$4:$M$503,_calc!$E$288)))</f>
        <v/>
      </c>
    </row>
    <row r="287">
      <c r="A287" s="43">
        <f>IF(_calc!$E$289="","",IF(LEN(INDEX('Documents'!$C$4:$C$503,_calc!$E$289))=0,"",INDEX('Documents'!$C$4:$C$503,_calc!$E$289))&amp;" – "&amp;IF(LEN(INDEX('Documents'!$A$4:$A$503,_calc!$E$289))=0,"",INDEX('Documents'!$A$4:$A$503,_calc!$E$289)))</f>
        <v/>
      </c>
      <c r="B287" s="43">
        <f>IF(_calc!$E$289="","",IF(ISNUMBER(INDEX('Documents'!$F$4:$F$503,_calc!$E$289)),TEXT(INDEX('Documents'!$F$4:$F$503,_calc!$E$289),"yyyy-mm-dd"),""))</f>
        <v/>
      </c>
      <c r="C287" s="43">
        <f>IF(_calc!$E$289="","","Contractor document")</f>
        <v/>
      </c>
      <c r="D287" s="43">
        <f>IF(_calc!$E$289="","",IF(ISNUMBER(INDEX('Documents'!$E$4:$E$503,_calc!$E$289)),TEXT(INDEX('Documents'!$E$4:$E$503,_calc!$E$289),"yyyy-mm-dd"),""))</f>
        <v/>
      </c>
      <c r="E287" s="43">
        <f>IF(_calc!$E$289="","",IF(LEN(INDEX('Documents'!$N$4:$N$503,_calc!$E$289))=0,"",INDEX('Documents'!$N$4:$N$503,_calc!$E$289)))</f>
        <v/>
      </c>
      <c r="F287" s="43">
        <f>IF(_calc!$E$289="","",TRIM(IF(LEN(IF(LEN(INDEX('Documents'!$B$4:$B$503,_calc!$E$289))=0,"",INDEX('Documents'!$B$4:$B$503,_calc!$E$289)))=0,"","Trade: "&amp;IF(LEN(INDEX('Documents'!$B$4:$B$503,_calc!$E$289))=0,"",INDEX('Documents'!$B$4:$B$503,_calc!$E$289))&amp;". ")&amp;IF(LEN(IF(LEN(INDEX('Documents'!$D$4:$D$503,_calc!$E$289))=0,"",INDEX('Documents'!$D$4:$D$503,_calc!$E$289)))=0,"","Ref: "&amp;IF(LEN(INDEX('Documents'!$D$4:$D$503,_calc!$E$289))=0,"",INDEX('Documents'!$D$4:$D$503,_calc!$E$289))&amp;". ")&amp;IF(LEN(IF(LEN(INDEX('Documents'!$K$4:$K$503,_calc!$E$289))=0,"",INDEX('Documents'!$K$4:$K$503,_calc!$E$289)))=0,"","On file: "&amp;IF(LEN(INDEX('Documents'!$K$4:$K$503,_calc!$E$289))=0,"",INDEX('Documents'!$K$4:$K$503,_calc!$E$289))&amp;". ")&amp;IF(LEN(IF(LEN(INDEX('Documents'!$L$4:$L$503,_calc!$E$289))=0,"",INDEX('Documents'!$L$4:$L$503,_calc!$E$289)))=0,"","Contractor email: "&amp;IF(LEN(INDEX('Documents'!$L$4:$L$503,_calc!$E$289))=0,"",INDEX('Documents'!$L$4:$L$503,_calc!$E$289))&amp;". ")&amp;IF(LEN(IF(LEN(INDEX('Documents'!$P$4:$P$503,_calc!$E$289))=0,"",INDEX('Documents'!$P$4:$P$503,_calc!$E$289)))=0,"",IF(LEN(INDEX('Documents'!$P$4:$P$503,_calc!$E$289))=0,"",INDEX('Documents'!$P$4:$P$503,_calc!$E$289)))))</f>
        <v/>
      </c>
      <c r="G287" s="43">
        <f>IF(_calc!$E$289="","",IF(LEN(INDEX('Documents'!$O$4:$O$503,_calc!$E$289))=0,"",INDEX('Documents'!$O$4:$O$503,_calc!$E$289)))</f>
        <v/>
      </c>
      <c r="K287" s="43">
        <f>IF(_calc!$E$289="","",IF(LEN(INDEX('Documents'!$M$4:$M$503,_calc!$E$289))=0,"",INDEX('Documents'!$M$4:$M$503,_calc!$E$289)))</f>
        <v/>
      </c>
    </row>
    <row r="288">
      <c r="A288" s="43">
        <f>IF(_calc!$E$290="","",IF(LEN(INDEX('Documents'!$C$4:$C$503,_calc!$E$290))=0,"",INDEX('Documents'!$C$4:$C$503,_calc!$E$290))&amp;" – "&amp;IF(LEN(INDEX('Documents'!$A$4:$A$503,_calc!$E$290))=0,"",INDEX('Documents'!$A$4:$A$503,_calc!$E$290)))</f>
        <v/>
      </c>
      <c r="B288" s="43">
        <f>IF(_calc!$E$290="","",IF(ISNUMBER(INDEX('Documents'!$F$4:$F$503,_calc!$E$290)),TEXT(INDEX('Documents'!$F$4:$F$503,_calc!$E$290),"yyyy-mm-dd"),""))</f>
        <v/>
      </c>
      <c r="C288" s="43">
        <f>IF(_calc!$E$290="","","Contractor document")</f>
        <v/>
      </c>
      <c r="D288" s="43">
        <f>IF(_calc!$E$290="","",IF(ISNUMBER(INDEX('Documents'!$E$4:$E$503,_calc!$E$290)),TEXT(INDEX('Documents'!$E$4:$E$503,_calc!$E$290),"yyyy-mm-dd"),""))</f>
        <v/>
      </c>
      <c r="E288" s="43">
        <f>IF(_calc!$E$290="","",IF(LEN(INDEX('Documents'!$N$4:$N$503,_calc!$E$290))=0,"",INDEX('Documents'!$N$4:$N$503,_calc!$E$290)))</f>
        <v/>
      </c>
      <c r="F288" s="43">
        <f>IF(_calc!$E$290="","",TRIM(IF(LEN(IF(LEN(INDEX('Documents'!$B$4:$B$503,_calc!$E$290))=0,"",INDEX('Documents'!$B$4:$B$503,_calc!$E$290)))=0,"","Trade: "&amp;IF(LEN(INDEX('Documents'!$B$4:$B$503,_calc!$E$290))=0,"",INDEX('Documents'!$B$4:$B$503,_calc!$E$290))&amp;". ")&amp;IF(LEN(IF(LEN(INDEX('Documents'!$D$4:$D$503,_calc!$E$290))=0,"",INDEX('Documents'!$D$4:$D$503,_calc!$E$290)))=0,"","Ref: "&amp;IF(LEN(INDEX('Documents'!$D$4:$D$503,_calc!$E$290))=0,"",INDEX('Documents'!$D$4:$D$503,_calc!$E$290))&amp;". ")&amp;IF(LEN(IF(LEN(INDEX('Documents'!$K$4:$K$503,_calc!$E$290))=0,"",INDEX('Documents'!$K$4:$K$503,_calc!$E$290)))=0,"","On file: "&amp;IF(LEN(INDEX('Documents'!$K$4:$K$503,_calc!$E$290))=0,"",INDEX('Documents'!$K$4:$K$503,_calc!$E$290))&amp;". ")&amp;IF(LEN(IF(LEN(INDEX('Documents'!$L$4:$L$503,_calc!$E$290))=0,"",INDEX('Documents'!$L$4:$L$503,_calc!$E$290)))=0,"","Contractor email: "&amp;IF(LEN(INDEX('Documents'!$L$4:$L$503,_calc!$E$290))=0,"",INDEX('Documents'!$L$4:$L$503,_calc!$E$290))&amp;". ")&amp;IF(LEN(IF(LEN(INDEX('Documents'!$P$4:$P$503,_calc!$E$290))=0,"",INDEX('Documents'!$P$4:$P$503,_calc!$E$290)))=0,"",IF(LEN(INDEX('Documents'!$P$4:$P$503,_calc!$E$290))=0,"",INDEX('Documents'!$P$4:$P$503,_calc!$E$290)))))</f>
        <v/>
      </c>
      <c r="G288" s="43">
        <f>IF(_calc!$E$290="","",IF(LEN(INDEX('Documents'!$O$4:$O$503,_calc!$E$290))=0,"",INDEX('Documents'!$O$4:$O$503,_calc!$E$290)))</f>
        <v/>
      </c>
      <c r="K288" s="43">
        <f>IF(_calc!$E$290="","",IF(LEN(INDEX('Documents'!$M$4:$M$503,_calc!$E$290))=0,"",INDEX('Documents'!$M$4:$M$503,_calc!$E$290)))</f>
        <v/>
      </c>
    </row>
    <row r="289">
      <c r="A289" s="43">
        <f>IF(_calc!$E$291="","",IF(LEN(INDEX('Documents'!$C$4:$C$503,_calc!$E$291))=0,"",INDEX('Documents'!$C$4:$C$503,_calc!$E$291))&amp;" – "&amp;IF(LEN(INDEX('Documents'!$A$4:$A$503,_calc!$E$291))=0,"",INDEX('Documents'!$A$4:$A$503,_calc!$E$291)))</f>
        <v/>
      </c>
      <c r="B289" s="43">
        <f>IF(_calc!$E$291="","",IF(ISNUMBER(INDEX('Documents'!$F$4:$F$503,_calc!$E$291)),TEXT(INDEX('Documents'!$F$4:$F$503,_calc!$E$291),"yyyy-mm-dd"),""))</f>
        <v/>
      </c>
      <c r="C289" s="43">
        <f>IF(_calc!$E$291="","","Contractor document")</f>
        <v/>
      </c>
      <c r="D289" s="43">
        <f>IF(_calc!$E$291="","",IF(ISNUMBER(INDEX('Documents'!$E$4:$E$503,_calc!$E$291)),TEXT(INDEX('Documents'!$E$4:$E$503,_calc!$E$291),"yyyy-mm-dd"),""))</f>
        <v/>
      </c>
      <c r="E289" s="43">
        <f>IF(_calc!$E$291="","",IF(LEN(INDEX('Documents'!$N$4:$N$503,_calc!$E$291))=0,"",INDEX('Documents'!$N$4:$N$503,_calc!$E$291)))</f>
        <v/>
      </c>
      <c r="F289" s="43">
        <f>IF(_calc!$E$291="","",TRIM(IF(LEN(IF(LEN(INDEX('Documents'!$B$4:$B$503,_calc!$E$291))=0,"",INDEX('Documents'!$B$4:$B$503,_calc!$E$291)))=0,"","Trade: "&amp;IF(LEN(INDEX('Documents'!$B$4:$B$503,_calc!$E$291))=0,"",INDEX('Documents'!$B$4:$B$503,_calc!$E$291))&amp;". ")&amp;IF(LEN(IF(LEN(INDEX('Documents'!$D$4:$D$503,_calc!$E$291))=0,"",INDEX('Documents'!$D$4:$D$503,_calc!$E$291)))=0,"","Ref: "&amp;IF(LEN(INDEX('Documents'!$D$4:$D$503,_calc!$E$291))=0,"",INDEX('Documents'!$D$4:$D$503,_calc!$E$291))&amp;". ")&amp;IF(LEN(IF(LEN(INDEX('Documents'!$K$4:$K$503,_calc!$E$291))=0,"",INDEX('Documents'!$K$4:$K$503,_calc!$E$291)))=0,"","On file: "&amp;IF(LEN(INDEX('Documents'!$K$4:$K$503,_calc!$E$291))=0,"",INDEX('Documents'!$K$4:$K$503,_calc!$E$291))&amp;". ")&amp;IF(LEN(IF(LEN(INDEX('Documents'!$L$4:$L$503,_calc!$E$291))=0,"",INDEX('Documents'!$L$4:$L$503,_calc!$E$291)))=0,"","Contractor email: "&amp;IF(LEN(INDEX('Documents'!$L$4:$L$503,_calc!$E$291))=0,"",INDEX('Documents'!$L$4:$L$503,_calc!$E$291))&amp;". ")&amp;IF(LEN(IF(LEN(INDEX('Documents'!$P$4:$P$503,_calc!$E$291))=0,"",INDEX('Documents'!$P$4:$P$503,_calc!$E$291)))=0,"",IF(LEN(INDEX('Documents'!$P$4:$P$503,_calc!$E$291))=0,"",INDEX('Documents'!$P$4:$P$503,_calc!$E$291)))))</f>
        <v/>
      </c>
      <c r="G289" s="43">
        <f>IF(_calc!$E$291="","",IF(LEN(INDEX('Documents'!$O$4:$O$503,_calc!$E$291))=0,"",INDEX('Documents'!$O$4:$O$503,_calc!$E$291)))</f>
        <v/>
      </c>
      <c r="K289" s="43">
        <f>IF(_calc!$E$291="","",IF(LEN(INDEX('Documents'!$M$4:$M$503,_calc!$E$291))=0,"",INDEX('Documents'!$M$4:$M$503,_calc!$E$291)))</f>
        <v/>
      </c>
    </row>
    <row r="290">
      <c r="A290" s="43">
        <f>IF(_calc!$E$292="","",IF(LEN(INDEX('Documents'!$C$4:$C$503,_calc!$E$292))=0,"",INDEX('Documents'!$C$4:$C$503,_calc!$E$292))&amp;" – "&amp;IF(LEN(INDEX('Documents'!$A$4:$A$503,_calc!$E$292))=0,"",INDEX('Documents'!$A$4:$A$503,_calc!$E$292)))</f>
        <v/>
      </c>
      <c r="B290" s="43">
        <f>IF(_calc!$E$292="","",IF(ISNUMBER(INDEX('Documents'!$F$4:$F$503,_calc!$E$292)),TEXT(INDEX('Documents'!$F$4:$F$503,_calc!$E$292),"yyyy-mm-dd"),""))</f>
        <v/>
      </c>
      <c r="C290" s="43">
        <f>IF(_calc!$E$292="","","Contractor document")</f>
        <v/>
      </c>
      <c r="D290" s="43">
        <f>IF(_calc!$E$292="","",IF(ISNUMBER(INDEX('Documents'!$E$4:$E$503,_calc!$E$292)),TEXT(INDEX('Documents'!$E$4:$E$503,_calc!$E$292),"yyyy-mm-dd"),""))</f>
        <v/>
      </c>
      <c r="E290" s="43">
        <f>IF(_calc!$E$292="","",IF(LEN(INDEX('Documents'!$N$4:$N$503,_calc!$E$292))=0,"",INDEX('Documents'!$N$4:$N$503,_calc!$E$292)))</f>
        <v/>
      </c>
      <c r="F290" s="43">
        <f>IF(_calc!$E$292="","",TRIM(IF(LEN(IF(LEN(INDEX('Documents'!$B$4:$B$503,_calc!$E$292))=0,"",INDEX('Documents'!$B$4:$B$503,_calc!$E$292)))=0,"","Trade: "&amp;IF(LEN(INDEX('Documents'!$B$4:$B$503,_calc!$E$292))=0,"",INDEX('Documents'!$B$4:$B$503,_calc!$E$292))&amp;". ")&amp;IF(LEN(IF(LEN(INDEX('Documents'!$D$4:$D$503,_calc!$E$292))=0,"",INDEX('Documents'!$D$4:$D$503,_calc!$E$292)))=0,"","Ref: "&amp;IF(LEN(INDEX('Documents'!$D$4:$D$503,_calc!$E$292))=0,"",INDEX('Documents'!$D$4:$D$503,_calc!$E$292))&amp;". ")&amp;IF(LEN(IF(LEN(INDEX('Documents'!$K$4:$K$503,_calc!$E$292))=0,"",INDEX('Documents'!$K$4:$K$503,_calc!$E$292)))=0,"","On file: "&amp;IF(LEN(INDEX('Documents'!$K$4:$K$503,_calc!$E$292))=0,"",INDEX('Documents'!$K$4:$K$503,_calc!$E$292))&amp;". ")&amp;IF(LEN(IF(LEN(INDEX('Documents'!$L$4:$L$503,_calc!$E$292))=0,"",INDEX('Documents'!$L$4:$L$503,_calc!$E$292)))=0,"","Contractor email: "&amp;IF(LEN(INDEX('Documents'!$L$4:$L$503,_calc!$E$292))=0,"",INDEX('Documents'!$L$4:$L$503,_calc!$E$292))&amp;". ")&amp;IF(LEN(IF(LEN(INDEX('Documents'!$P$4:$P$503,_calc!$E$292))=0,"",INDEX('Documents'!$P$4:$P$503,_calc!$E$292)))=0,"",IF(LEN(INDEX('Documents'!$P$4:$P$503,_calc!$E$292))=0,"",INDEX('Documents'!$P$4:$P$503,_calc!$E$292)))))</f>
        <v/>
      </c>
      <c r="G290" s="43">
        <f>IF(_calc!$E$292="","",IF(LEN(INDEX('Documents'!$O$4:$O$503,_calc!$E$292))=0,"",INDEX('Documents'!$O$4:$O$503,_calc!$E$292)))</f>
        <v/>
      </c>
      <c r="K290" s="43">
        <f>IF(_calc!$E$292="","",IF(LEN(INDEX('Documents'!$M$4:$M$503,_calc!$E$292))=0,"",INDEX('Documents'!$M$4:$M$503,_calc!$E$292)))</f>
        <v/>
      </c>
    </row>
    <row r="291">
      <c r="A291" s="43">
        <f>IF(_calc!$E$293="","",IF(LEN(INDEX('Documents'!$C$4:$C$503,_calc!$E$293))=0,"",INDEX('Documents'!$C$4:$C$503,_calc!$E$293))&amp;" – "&amp;IF(LEN(INDEX('Documents'!$A$4:$A$503,_calc!$E$293))=0,"",INDEX('Documents'!$A$4:$A$503,_calc!$E$293)))</f>
        <v/>
      </c>
      <c r="B291" s="43">
        <f>IF(_calc!$E$293="","",IF(ISNUMBER(INDEX('Documents'!$F$4:$F$503,_calc!$E$293)),TEXT(INDEX('Documents'!$F$4:$F$503,_calc!$E$293),"yyyy-mm-dd"),""))</f>
        <v/>
      </c>
      <c r="C291" s="43">
        <f>IF(_calc!$E$293="","","Contractor document")</f>
        <v/>
      </c>
      <c r="D291" s="43">
        <f>IF(_calc!$E$293="","",IF(ISNUMBER(INDEX('Documents'!$E$4:$E$503,_calc!$E$293)),TEXT(INDEX('Documents'!$E$4:$E$503,_calc!$E$293),"yyyy-mm-dd"),""))</f>
        <v/>
      </c>
      <c r="E291" s="43">
        <f>IF(_calc!$E$293="","",IF(LEN(INDEX('Documents'!$N$4:$N$503,_calc!$E$293))=0,"",INDEX('Documents'!$N$4:$N$503,_calc!$E$293)))</f>
        <v/>
      </c>
      <c r="F291" s="43">
        <f>IF(_calc!$E$293="","",TRIM(IF(LEN(IF(LEN(INDEX('Documents'!$B$4:$B$503,_calc!$E$293))=0,"",INDEX('Documents'!$B$4:$B$503,_calc!$E$293)))=0,"","Trade: "&amp;IF(LEN(INDEX('Documents'!$B$4:$B$503,_calc!$E$293))=0,"",INDEX('Documents'!$B$4:$B$503,_calc!$E$293))&amp;". ")&amp;IF(LEN(IF(LEN(INDEX('Documents'!$D$4:$D$503,_calc!$E$293))=0,"",INDEX('Documents'!$D$4:$D$503,_calc!$E$293)))=0,"","Ref: "&amp;IF(LEN(INDEX('Documents'!$D$4:$D$503,_calc!$E$293))=0,"",INDEX('Documents'!$D$4:$D$503,_calc!$E$293))&amp;". ")&amp;IF(LEN(IF(LEN(INDEX('Documents'!$K$4:$K$503,_calc!$E$293))=0,"",INDEX('Documents'!$K$4:$K$503,_calc!$E$293)))=0,"","On file: "&amp;IF(LEN(INDEX('Documents'!$K$4:$K$503,_calc!$E$293))=0,"",INDEX('Documents'!$K$4:$K$503,_calc!$E$293))&amp;". ")&amp;IF(LEN(IF(LEN(INDEX('Documents'!$L$4:$L$503,_calc!$E$293))=0,"",INDEX('Documents'!$L$4:$L$503,_calc!$E$293)))=0,"","Contractor email: "&amp;IF(LEN(INDEX('Documents'!$L$4:$L$503,_calc!$E$293))=0,"",INDEX('Documents'!$L$4:$L$503,_calc!$E$293))&amp;". ")&amp;IF(LEN(IF(LEN(INDEX('Documents'!$P$4:$P$503,_calc!$E$293))=0,"",INDEX('Documents'!$P$4:$P$503,_calc!$E$293)))=0,"",IF(LEN(INDEX('Documents'!$P$4:$P$503,_calc!$E$293))=0,"",INDEX('Documents'!$P$4:$P$503,_calc!$E$293)))))</f>
        <v/>
      </c>
      <c r="G291" s="43">
        <f>IF(_calc!$E$293="","",IF(LEN(INDEX('Documents'!$O$4:$O$503,_calc!$E$293))=0,"",INDEX('Documents'!$O$4:$O$503,_calc!$E$293)))</f>
        <v/>
      </c>
      <c r="K291" s="43">
        <f>IF(_calc!$E$293="","",IF(LEN(INDEX('Documents'!$M$4:$M$503,_calc!$E$293))=0,"",INDEX('Documents'!$M$4:$M$503,_calc!$E$293)))</f>
        <v/>
      </c>
    </row>
    <row r="292">
      <c r="A292" s="43">
        <f>IF(_calc!$E$294="","",IF(LEN(INDEX('Documents'!$C$4:$C$503,_calc!$E$294))=0,"",INDEX('Documents'!$C$4:$C$503,_calc!$E$294))&amp;" – "&amp;IF(LEN(INDEX('Documents'!$A$4:$A$503,_calc!$E$294))=0,"",INDEX('Documents'!$A$4:$A$503,_calc!$E$294)))</f>
        <v/>
      </c>
      <c r="B292" s="43">
        <f>IF(_calc!$E$294="","",IF(ISNUMBER(INDEX('Documents'!$F$4:$F$503,_calc!$E$294)),TEXT(INDEX('Documents'!$F$4:$F$503,_calc!$E$294),"yyyy-mm-dd"),""))</f>
        <v/>
      </c>
      <c r="C292" s="43">
        <f>IF(_calc!$E$294="","","Contractor document")</f>
        <v/>
      </c>
      <c r="D292" s="43">
        <f>IF(_calc!$E$294="","",IF(ISNUMBER(INDEX('Documents'!$E$4:$E$503,_calc!$E$294)),TEXT(INDEX('Documents'!$E$4:$E$503,_calc!$E$294),"yyyy-mm-dd"),""))</f>
        <v/>
      </c>
      <c r="E292" s="43">
        <f>IF(_calc!$E$294="","",IF(LEN(INDEX('Documents'!$N$4:$N$503,_calc!$E$294))=0,"",INDEX('Documents'!$N$4:$N$503,_calc!$E$294)))</f>
        <v/>
      </c>
      <c r="F292" s="43">
        <f>IF(_calc!$E$294="","",TRIM(IF(LEN(IF(LEN(INDEX('Documents'!$B$4:$B$503,_calc!$E$294))=0,"",INDEX('Documents'!$B$4:$B$503,_calc!$E$294)))=0,"","Trade: "&amp;IF(LEN(INDEX('Documents'!$B$4:$B$503,_calc!$E$294))=0,"",INDEX('Documents'!$B$4:$B$503,_calc!$E$294))&amp;". ")&amp;IF(LEN(IF(LEN(INDEX('Documents'!$D$4:$D$503,_calc!$E$294))=0,"",INDEX('Documents'!$D$4:$D$503,_calc!$E$294)))=0,"","Ref: "&amp;IF(LEN(INDEX('Documents'!$D$4:$D$503,_calc!$E$294))=0,"",INDEX('Documents'!$D$4:$D$503,_calc!$E$294))&amp;". ")&amp;IF(LEN(IF(LEN(INDEX('Documents'!$K$4:$K$503,_calc!$E$294))=0,"",INDEX('Documents'!$K$4:$K$503,_calc!$E$294)))=0,"","On file: "&amp;IF(LEN(INDEX('Documents'!$K$4:$K$503,_calc!$E$294))=0,"",INDEX('Documents'!$K$4:$K$503,_calc!$E$294))&amp;". ")&amp;IF(LEN(IF(LEN(INDEX('Documents'!$L$4:$L$503,_calc!$E$294))=0,"",INDEX('Documents'!$L$4:$L$503,_calc!$E$294)))=0,"","Contractor email: "&amp;IF(LEN(INDEX('Documents'!$L$4:$L$503,_calc!$E$294))=0,"",INDEX('Documents'!$L$4:$L$503,_calc!$E$294))&amp;". ")&amp;IF(LEN(IF(LEN(INDEX('Documents'!$P$4:$P$503,_calc!$E$294))=0,"",INDEX('Documents'!$P$4:$P$503,_calc!$E$294)))=0,"",IF(LEN(INDEX('Documents'!$P$4:$P$503,_calc!$E$294))=0,"",INDEX('Documents'!$P$4:$P$503,_calc!$E$294)))))</f>
        <v/>
      </c>
      <c r="G292" s="43">
        <f>IF(_calc!$E$294="","",IF(LEN(INDEX('Documents'!$O$4:$O$503,_calc!$E$294))=0,"",INDEX('Documents'!$O$4:$O$503,_calc!$E$294)))</f>
        <v/>
      </c>
      <c r="K292" s="43">
        <f>IF(_calc!$E$294="","",IF(LEN(INDEX('Documents'!$M$4:$M$503,_calc!$E$294))=0,"",INDEX('Documents'!$M$4:$M$503,_calc!$E$294)))</f>
        <v/>
      </c>
    </row>
    <row r="293">
      <c r="A293" s="43">
        <f>IF(_calc!$E$295="","",IF(LEN(INDEX('Documents'!$C$4:$C$503,_calc!$E$295))=0,"",INDEX('Documents'!$C$4:$C$503,_calc!$E$295))&amp;" – "&amp;IF(LEN(INDEX('Documents'!$A$4:$A$503,_calc!$E$295))=0,"",INDEX('Documents'!$A$4:$A$503,_calc!$E$295)))</f>
        <v/>
      </c>
      <c r="B293" s="43">
        <f>IF(_calc!$E$295="","",IF(ISNUMBER(INDEX('Documents'!$F$4:$F$503,_calc!$E$295)),TEXT(INDEX('Documents'!$F$4:$F$503,_calc!$E$295),"yyyy-mm-dd"),""))</f>
        <v/>
      </c>
      <c r="C293" s="43">
        <f>IF(_calc!$E$295="","","Contractor document")</f>
        <v/>
      </c>
      <c r="D293" s="43">
        <f>IF(_calc!$E$295="","",IF(ISNUMBER(INDEX('Documents'!$E$4:$E$503,_calc!$E$295)),TEXT(INDEX('Documents'!$E$4:$E$503,_calc!$E$295),"yyyy-mm-dd"),""))</f>
        <v/>
      </c>
      <c r="E293" s="43">
        <f>IF(_calc!$E$295="","",IF(LEN(INDEX('Documents'!$N$4:$N$503,_calc!$E$295))=0,"",INDEX('Documents'!$N$4:$N$503,_calc!$E$295)))</f>
        <v/>
      </c>
      <c r="F293" s="43">
        <f>IF(_calc!$E$295="","",TRIM(IF(LEN(IF(LEN(INDEX('Documents'!$B$4:$B$503,_calc!$E$295))=0,"",INDEX('Documents'!$B$4:$B$503,_calc!$E$295)))=0,"","Trade: "&amp;IF(LEN(INDEX('Documents'!$B$4:$B$503,_calc!$E$295))=0,"",INDEX('Documents'!$B$4:$B$503,_calc!$E$295))&amp;". ")&amp;IF(LEN(IF(LEN(INDEX('Documents'!$D$4:$D$503,_calc!$E$295))=0,"",INDEX('Documents'!$D$4:$D$503,_calc!$E$295)))=0,"","Ref: "&amp;IF(LEN(INDEX('Documents'!$D$4:$D$503,_calc!$E$295))=0,"",INDEX('Documents'!$D$4:$D$503,_calc!$E$295))&amp;". ")&amp;IF(LEN(IF(LEN(INDEX('Documents'!$K$4:$K$503,_calc!$E$295))=0,"",INDEX('Documents'!$K$4:$K$503,_calc!$E$295)))=0,"","On file: "&amp;IF(LEN(INDEX('Documents'!$K$4:$K$503,_calc!$E$295))=0,"",INDEX('Documents'!$K$4:$K$503,_calc!$E$295))&amp;". ")&amp;IF(LEN(IF(LEN(INDEX('Documents'!$L$4:$L$503,_calc!$E$295))=0,"",INDEX('Documents'!$L$4:$L$503,_calc!$E$295)))=0,"","Contractor email: "&amp;IF(LEN(INDEX('Documents'!$L$4:$L$503,_calc!$E$295))=0,"",INDEX('Documents'!$L$4:$L$503,_calc!$E$295))&amp;". ")&amp;IF(LEN(IF(LEN(INDEX('Documents'!$P$4:$P$503,_calc!$E$295))=0,"",INDEX('Documents'!$P$4:$P$503,_calc!$E$295)))=0,"",IF(LEN(INDEX('Documents'!$P$4:$P$503,_calc!$E$295))=0,"",INDEX('Documents'!$P$4:$P$503,_calc!$E$295)))))</f>
        <v/>
      </c>
      <c r="G293" s="43">
        <f>IF(_calc!$E$295="","",IF(LEN(INDEX('Documents'!$O$4:$O$503,_calc!$E$295))=0,"",INDEX('Documents'!$O$4:$O$503,_calc!$E$295)))</f>
        <v/>
      </c>
      <c r="K293" s="43">
        <f>IF(_calc!$E$295="","",IF(LEN(INDEX('Documents'!$M$4:$M$503,_calc!$E$295))=0,"",INDEX('Documents'!$M$4:$M$503,_calc!$E$295)))</f>
        <v/>
      </c>
    </row>
    <row r="294">
      <c r="A294" s="43">
        <f>IF(_calc!$E$296="","",IF(LEN(INDEX('Documents'!$C$4:$C$503,_calc!$E$296))=0,"",INDEX('Documents'!$C$4:$C$503,_calc!$E$296))&amp;" – "&amp;IF(LEN(INDEX('Documents'!$A$4:$A$503,_calc!$E$296))=0,"",INDEX('Documents'!$A$4:$A$503,_calc!$E$296)))</f>
        <v/>
      </c>
      <c r="B294" s="43">
        <f>IF(_calc!$E$296="","",IF(ISNUMBER(INDEX('Documents'!$F$4:$F$503,_calc!$E$296)),TEXT(INDEX('Documents'!$F$4:$F$503,_calc!$E$296),"yyyy-mm-dd"),""))</f>
        <v/>
      </c>
      <c r="C294" s="43">
        <f>IF(_calc!$E$296="","","Contractor document")</f>
        <v/>
      </c>
      <c r="D294" s="43">
        <f>IF(_calc!$E$296="","",IF(ISNUMBER(INDEX('Documents'!$E$4:$E$503,_calc!$E$296)),TEXT(INDEX('Documents'!$E$4:$E$503,_calc!$E$296),"yyyy-mm-dd"),""))</f>
        <v/>
      </c>
      <c r="E294" s="43">
        <f>IF(_calc!$E$296="","",IF(LEN(INDEX('Documents'!$N$4:$N$503,_calc!$E$296))=0,"",INDEX('Documents'!$N$4:$N$503,_calc!$E$296)))</f>
        <v/>
      </c>
      <c r="F294" s="43">
        <f>IF(_calc!$E$296="","",TRIM(IF(LEN(IF(LEN(INDEX('Documents'!$B$4:$B$503,_calc!$E$296))=0,"",INDEX('Documents'!$B$4:$B$503,_calc!$E$296)))=0,"","Trade: "&amp;IF(LEN(INDEX('Documents'!$B$4:$B$503,_calc!$E$296))=0,"",INDEX('Documents'!$B$4:$B$503,_calc!$E$296))&amp;". ")&amp;IF(LEN(IF(LEN(INDEX('Documents'!$D$4:$D$503,_calc!$E$296))=0,"",INDEX('Documents'!$D$4:$D$503,_calc!$E$296)))=0,"","Ref: "&amp;IF(LEN(INDEX('Documents'!$D$4:$D$503,_calc!$E$296))=0,"",INDEX('Documents'!$D$4:$D$503,_calc!$E$296))&amp;". ")&amp;IF(LEN(IF(LEN(INDEX('Documents'!$K$4:$K$503,_calc!$E$296))=0,"",INDEX('Documents'!$K$4:$K$503,_calc!$E$296)))=0,"","On file: "&amp;IF(LEN(INDEX('Documents'!$K$4:$K$503,_calc!$E$296))=0,"",INDEX('Documents'!$K$4:$K$503,_calc!$E$296))&amp;". ")&amp;IF(LEN(IF(LEN(INDEX('Documents'!$L$4:$L$503,_calc!$E$296))=0,"",INDEX('Documents'!$L$4:$L$503,_calc!$E$296)))=0,"","Contractor email: "&amp;IF(LEN(INDEX('Documents'!$L$4:$L$503,_calc!$E$296))=0,"",INDEX('Documents'!$L$4:$L$503,_calc!$E$296))&amp;". ")&amp;IF(LEN(IF(LEN(INDEX('Documents'!$P$4:$P$503,_calc!$E$296))=0,"",INDEX('Documents'!$P$4:$P$503,_calc!$E$296)))=0,"",IF(LEN(INDEX('Documents'!$P$4:$P$503,_calc!$E$296))=0,"",INDEX('Documents'!$P$4:$P$503,_calc!$E$296)))))</f>
        <v/>
      </c>
      <c r="G294" s="43">
        <f>IF(_calc!$E$296="","",IF(LEN(INDEX('Documents'!$O$4:$O$503,_calc!$E$296))=0,"",INDEX('Documents'!$O$4:$O$503,_calc!$E$296)))</f>
        <v/>
      </c>
      <c r="K294" s="43">
        <f>IF(_calc!$E$296="","",IF(LEN(INDEX('Documents'!$M$4:$M$503,_calc!$E$296))=0,"",INDEX('Documents'!$M$4:$M$503,_calc!$E$296)))</f>
        <v/>
      </c>
    </row>
    <row r="295">
      <c r="A295" s="43">
        <f>IF(_calc!$E$297="","",IF(LEN(INDEX('Documents'!$C$4:$C$503,_calc!$E$297))=0,"",INDEX('Documents'!$C$4:$C$503,_calc!$E$297))&amp;" – "&amp;IF(LEN(INDEX('Documents'!$A$4:$A$503,_calc!$E$297))=0,"",INDEX('Documents'!$A$4:$A$503,_calc!$E$297)))</f>
        <v/>
      </c>
      <c r="B295" s="43">
        <f>IF(_calc!$E$297="","",IF(ISNUMBER(INDEX('Documents'!$F$4:$F$503,_calc!$E$297)),TEXT(INDEX('Documents'!$F$4:$F$503,_calc!$E$297),"yyyy-mm-dd"),""))</f>
        <v/>
      </c>
      <c r="C295" s="43">
        <f>IF(_calc!$E$297="","","Contractor document")</f>
        <v/>
      </c>
      <c r="D295" s="43">
        <f>IF(_calc!$E$297="","",IF(ISNUMBER(INDEX('Documents'!$E$4:$E$503,_calc!$E$297)),TEXT(INDEX('Documents'!$E$4:$E$503,_calc!$E$297),"yyyy-mm-dd"),""))</f>
        <v/>
      </c>
      <c r="E295" s="43">
        <f>IF(_calc!$E$297="","",IF(LEN(INDEX('Documents'!$N$4:$N$503,_calc!$E$297))=0,"",INDEX('Documents'!$N$4:$N$503,_calc!$E$297)))</f>
        <v/>
      </c>
      <c r="F295" s="43">
        <f>IF(_calc!$E$297="","",TRIM(IF(LEN(IF(LEN(INDEX('Documents'!$B$4:$B$503,_calc!$E$297))=0,"",INDEX('Documents'!$B$4:$B$503,_calc!$E$297)))=0,"","Trade: "&amp;IF(LEN(INDEX('Documents'!$B$4:$B$503,_calc!$E$297))=0,"",INDEX('Documents'!$B$4:$B$503,_calc!$E$297))&amp;". ")&amp;IF(LEN(IF(LEN(INDEX('Documents'!$D$4:$D$503,_calc!$E$297))=0,"",INDEX('Documents'!$D$4:$D$503,_calc!$E$297)))=0,"","Ref: "&amp;IF(LEN(INDEX('Documents'!$D$4:$D$503,_calc!$E$297))=0,"",INDEX('Documents'!$D$4:$D$503,_calc!$E$297))&amp;". ")&amp;IF(LEN(IF(LEN(INDEX('Documents'!$K$4:$K$503,_calc!$E$297))=0,"",INDEX('Documents'!$K$4:$K$503,_calc!$E$297)))=0,"","On file: "&amp;IF(LEN(INDEX('Documents'!$K$4:$K$503,_calc!$E$297))=0,"",INDEX('Documents'!$K$4:$K$503,_calc!$E$297))&amp;". ")&amp;IF(LEN(IF(LEN(INDEX('Documents'!$L$4:$L$503,_calc!$E$297))=0,"",INDEX('Documents'!$L$4:$L$503,_calc!$E$297)))=0,"","Contractor email: "&amp;IF(LEN(INDEX('Documents'!$L$4:$L$503,_calc!$E$297))=0,"",INDEX('Documents'!$L$4:$L$503,_calc!$E$297))&amp;". ")&amp;IF(LEN(IF(LEN(INDEX('Documents'!$P$4:$P$503,_calc!$E$297))=0,"",INDEX('Documents'!$P$4:$P$503,_calc!$E$297)))=0,"",IF(LEN(INDEX('Documents'!$P$4:$P$503,_calc!$E$297))=0,"",INDEX('Documents'!$P$4:$P$503,_calc!$E$297)))))</f>
        <v/>
      </c>
      <c r="G295" s="43">
        <f>IF(_calc!$E$297="","",IF(LEN(INDEX('Documents'!$O$4:$O$503,_calc!$E$297))=0,"",INDEX('Documents'!$O$4:$O$503,_calc!$E$297)))</f>
        <v/>
      </c>
      <c r="K295" s="43">
        <f>IF(_calc!$E$297="","",IF(LEN(INDEX('Documents'!$M$4:$M$503,_calc!$E$297))=0,"",INDEX('Documents'!$M$4:$M$503,_calc!$E$297)))</f>
        <v/>
      </c>
    </row>
    <row r="296">
      <c r="A296" s="43">
        <f>IF(_calc!$E$298="","",IF(LEN(INDEX('Documents'!$C$4:$C$503,_calc!$E$298))=0,"",INDEX('Documents'!$C$4:$C$503,_calc!$E$298))&amp;" – "&amp;IF(LEN(INDEX('Documents'!$A$4:$A$503,_calc!$E$298))=0,"",INDEX('Documents'!$A$4:$A$503,_calc!$E$298)))</f>
        <v/>
      </c>
      <c r="B296" s="43">
        <f>IF(_calc!$E$298="","",IF(ISNUMBER(INDEX('Documents'!$F$4:$F$503,_calc!$E$298)),TEXT(INDEX('Documents'!$F$4:$F$503,_calc!$E$298),"yyyy-mm-dd"),""))</f>
        <v/>
      </c>
      <c r="C296" s="43">
        <f>IF(_calc!$E$298="","","Contractor document")</f>
        <v/>
      </c>
      <c r="D296" s="43">
        <f>IF(_calc!$E$298="","",IF(ISNUMBER(INDEX('Documents'!$E$4:$E$503,_calc!$E$298)),TEXT(INDEX('Documents'!$E$4:$E$503,_calc!$E$298),"yyyy-mm-dd"),""))</f>
        <v/>
      </c>
      <c r="E296" s="43">
        <f>IF(_calc!$E$298="","",IF(LEN(INDEX('Documents'!$N$4:$N$503,_calc!$E$298))=0,"",INDEX('Documents'!$N$4:$N$503,_calc!$E$298)))</f>
        <v/>
      </c>
      <c r="F296" s="43">
        <f>IF(_calc!$E$298="","",TRIM(IF(LEN(IF(LEN(INDEX('Documents'!$B$4:$B$503,_calc!$E$298))=0,"",INDEX('Documents'!$B$4:$B$503,_calc!$E$298)))=0,"","Trade: "&amp;IF(LEN(INDEX('Documents'!$B$4:$B$503,_calc!$E$298))=0,"",INDEX('Documents'!$B$4:$B$503,_calc!$E$298))&amp;". ")&amp;IF(LEN(IF(LEN(INDEX('Documents'!$D$4:$D$503,_calc!$E$298))=0,"",INDEX('Documents'!$D$4:$D$503,_calc!$E$298)))=0,"","Ref: "&amp;IF(LEN(INDEX('Documents'!$D$4:$D$503,_calc!$E$298))=0,"",INDEX('Documents'!$D$4:$D$503,_calc!$E$298))&amp;". ")&amp;IF(LEN(IF(LEN(INDEX('Documents'!$K$4:$K$503,_calc!$E$298))=0,"",INDEX('Documents'!$K$4:$K$503,_calc!$E$298)))=0,"","On file: "&amp;IF(LEN(INDEX('Documents'!$K$4:$K$503,_calc!$E$298))=0,"",INDEX('Documents'!$K$4:$K$503,_calc!$E$298))&amp;". ")&amp;IF(LEN(IF(LEN(INDEX('Documents'!$L$4:$L$503,_calc!$E$298))=0,"",INDEX('Documents'!$L$4:$L$503,_calc!$E$298)))=0,"","Contractor email: "&amp;IF(LEN(INDEX('Documents'!$L$4:$L$503,_calc!$E$298))=0,"",INDEX('Documents'!$L$4:$L$503,_calc!$E$298))&amp;". ")&amp;IF(LEN(IF(LEN(INDEX('Documents'!$P$4:$P$503,_calc!$E$298))=0,"",INDEX('Documents'!$P$4:$P$503,_calc!$E$298)))=0,"",IF(LEN(INDEX('Documents'!$P$4:$P$503,_calc!$E$298))=0,"",INDEX('Documents'!$P$4:$P$503,_calc!$E$298)))))</f>
        <v/>
      </c>
      <c r="G296" s="43">
        <f>IF(_calc!$E$298="","",IF(LEN(INDEX('Documents'!$O$4:$O$503,_calc!$E$298))=0,"",INDEX('Documents'!$O$4:$O$503,_calc!$E$298)))</f>
        <v/>
      </c>
      <c r="K296" s="43">
        <f>IF(_calc!$E$298="","",IF(LEN(INDEX('Documents'!$M$4:$M$503,_calc!$E$298))=0,"",INDEX('Documents'!$M$4:$M$503,_calc!$E$298)))</f>
        <v/>
      </c>
    </row>
    <row r="297">
      <c r="A297" s="43">
        <f>IF(_calc!$E$299="","",IF(LEN(INDEX('Documents'!$C$4:$C$503,_calc!$E$299))=0,"",INDEX('Documents'!$C$4:$C$503,_calc!$E$299))&amp;" – "&amp;IF(LEN(INDEX('Documents'!$A$4:$A$503,_calc!$E$299))=0,"",INDEX('Documents'!$A$4:$A$503,_calc!$E$299)))</f>
        <v/>
      </c>
      <c r="B297" s="43">
        <f>IF(_calc!$E$299="","",IF(ISNUMBER(INDEX('Documents'!$F$4:$F$503,_calc!$E$299)),TEXT(INDEX('Documents'!$F$4:$F$503,_calc!$E$299),"yyyy-mm-dd"),""))</f>
        <v/>
      </c>
      <c r="C297" s="43">
        <f>IF(_calc!$E$299="","","Contractor document")</f>
        <v/>
      </c>
      <c r="D297" s="43">
        <f>IF(_calc!$E$299="","",IF(ISNUMBER(INDEX('Documents'!$E$4:$E$503,_calc!$E$299)),TEXT(INDEX('Documents'!$E$4:$E$503,_calc!$E$299),"yyyy-mm-dd"),""))</f>
        <v/>
      </c>
      <c r="E297" s="43">
        <f>IF(_calc!$E$299="","",IF(LEN(INDEX('Documents'!$N$4:$N$503,_calc!$E$299))=0,"",INDEX('Documents'!$N$4:$N$503,_calc!$E$299)))</f>
        <v/>
      </c>
      <c r="F297" s="43">
        <f>IF(_calc!$E$299="","",TRIM(IF(LEN(IF(LEN(INDEX('Documents'!$B$4:$B$503,_calc!$E$299))=0,"",INDEX('Documents'!$B$4:$B$503,_calc!$E$299)))=0,"","Trade: "&amp;IF(LEN(INDEX('Documents'!$B$4:$B$503,_calc!$E$299))=0,"",INDEX('Documents'!$B$4:$B$503,_calc!$E$299))&amp;". ")&amp;IF(LEN(IF(LEN(INDEX('Documents'!$D$4:$D$503,_calc!$E$299))=0,"",INDEX('Documents'!$D$4:$D$503,_calc!$E$299)))=0,"","Ref: "&amp;IF(LEN(INDEX('Documents'!$D$4:$D$503,_calc!$E$299))=0,"",INDEX('Documents'!$D$4:$D$503,_calc!$E$299))&amp;". ")&amp;IF(LEN(IF(LEN(INDEX('Documents'!$K$4:$K$503,_calc!$E$299))=0,"",INDEX('Documents'!$K$4:$K$503,_calc!$E$299)))=0,"","On file: "&amp;IF(LEN(INDEX('Documents'!$K$4:$K$503,_calc!$E$299))=0,"",INDEX('Documents'!$K$4:$K$503,_calc!$E$299))&amp;". ")&amp;IF(LEN(IF(LEN(INDEX('Documents'!$L$4:$L$503,_calc!$E$299))=0,"",INDEX('Documents'!$L$4:$L$503,_calc!$E$299)))=0,"","Contractor email: "&amp;IF(LEN(INDEX('Documents'!$L$4:$L$503,_calc!$E$299))=0,"",INDEX('Documents'!$L$4:$L$503,_calc!$E$299))&amp;". ")&amp;IF(LEN(IF(LEN(INDEX('Documents'!$P$4:$P$503,_calc!$E$299))=0,"",INDEX('Documents'!$P$4:$P$503,_calc!$E$299)))=0,"",IF(LEN(INDEX('Documents'!$P$4:$P$503,_calc!$E$299))=0,"",INDEX('Documents'!$P$4:$P$503,_calc!$E$299)))))</f>
        <v/>
      </c>
      <c r="G297" s="43">
        <f>IF(_calc!$E$299="","",IF(LEN(INDEX('Documents'!$O$4:$O$503,_calc!$E$299))=0,"",INDEX('Documents'!$O$4:$O$503,_calc!$E$299)))</f>
        <v/>
      </c>
      <c r="K297" s="43">
        <f>IF(_calc!$E$299="","",IF(LEN(INDEX('Documents'!$M$4:$M$503,_calc!$E$299))=0,"",INDEX('Documents'!$M$4:$M$503,_calc!$E$299)))</f>
        <v/>
      </c>
    </row>
    <row r="298">
      <c r="A298" s="43">
        <f>IF(_calc!$E$300="","",IF(LEN(INDEX('Documents'!$C$4:$C$503,_calc!$E$300))=0,"",INDEX('Documents'!$C$4:$C$503,_calc!$E$300))&amp;" – "&amp;IF(LEN(INDEX('Documents'!$A$4:$A$503,_calc!$E$300))=0,"",INDEX('Documents'!$A$4:$A$503,_calc!$E$300)))</f>
        <v/>
      </c>
      <c r="B298" s="43">
        <f>IF(_calc!$E$300="","",IF(ISNUMBER(INDEX('Documents'!$F$4:$F$503,_calc!$E$300)),TEXT(INDEX('Documents'!$F$4:$F$503,_calc!$E$300),"yyyy-mm-dd"),""))</f>
        <v/>
      </c>
      <c r="C298" s="43">
        <f>IF(_calc!$E$300="","","Contractor document")</f>
        <v/>
      </c>
      <c r="D298" s="43">
        <f>IF(_calc!$E$300="","",IF(ISNUMBER(INDEX('Documents'!$E$4:$E$503,_calc!$E$300)),TEXT(INDEX('Documents'!$E$4:$E$503,_calc!$E$300),"yyyy-mm-dd"),""))</f>
        <v/>
      </c>
      <c r="E298" s="43">
        <f>IF(_calc!$E$300="","",IF(LEN(INDEX('Documents'!$N$4:$N$503,_calc!$E$300))=0,"",INDEX('Documents'!$N$4:$N$503,_calc!$E$300)))</f>
        <v/>
      </c>
      <c r="F298" s="43">
        <f>IF(_calc!$E$300="","",TRIM(IF(LEN(IF(LEN(INDEX('Documents'!$B$4:$B$503,_calc!$E$300))=0,"",INDEX('Documents'!$B$4:$B$503,_calc!$E$300)))=0,"","Trade: "&amp;IF(LEN(INDEX('Documents'!$B$4:$B$503,_calc!$E$300))=0,"",INDEX('Documents'!$B$4:$B$503,_calc!$E$300))&amp;". ")&amp;IF(LEN(IF(LEN(INDEX('Documents'!$D$4:$D$503,_calc!$E$300))=0,"",INDEX('Documents'!$D$4:$D$503,_calc!$E$300)))=0,"","Ref: "&amp;IF(LEN(INDEX('Documents'!$D$4:$D$503,_calc!$E$300))=0,"",INDEX('Documents'!$D$4:$D$503,_calc!$E$300))&amp;". ")&amp;IF(LEN(IF(LEN(INDEX('Documents'!$K$4:$K$503,_calc!$E$300))=0,"",INDEX('Documents'!$K$4:$K$503,_calc!$E$300)))=0,"","On file: "&amp;IF(LEN(INDEX('Documents'!$K$4:$K$503,_calc!$E$300))=0,"",INDEX('Documents'!$K$4:$K$503,_calc!$E$300))&amp;". ")&amp;IF(LEN(IF(LEN(INDEX('Documents'!$L$4:$L$503,_calc!$E$300))=0,"",INDEX('Documents'!$L$4:$L$503,_calc!$E$300)))=0,"","Contractor email: "&amp;IF(LEN(INDEX('Documents'!$L$4:$L$503,_calc!$E$300))=0,"",INDEX('Documents'!$L$4:$L$503,_calc!$E$300))&amp;". ")&amp;IF(LEN(IF(LEN(INDEX('Documents'!$P$4:$P$503,_calc!$E$300))=0,"",INDEX('Documents'!$P$4:$P$503,_calc!$E$300)))=0,"",IF(LEN(INDEX('Documents'!$P$4:$P$503,_calc!$E$300))=0,"",INDEX('Documents'!$P$4:$P$503,_calc!$E$300)))))</f>
        <v/>
      </c>
      <c r="G298" s="43">
        <f>IF(_calc!$E$300="","",IF(LEN(INDEX('Documents'!$O$4:$O$503,_calc!$E$300))=0,"",INDEX('Documents'!$O$4:$O$503,_calc!$E$300)))</f>
        <v/>
      </c>
      <c r="K298" s="43">
        <f>IF(_calc!$E$300="","",IF(LEN(INDEX('Documents'!$M$4:$M$503,_calc!$E$300))=0,"",INDEX('Documents'!$M$4:$M$503,_calc!$E$300)))</f>
        <v/>
      </c>
    </row>
    <row r="299">
      <c r="A299" s="43">
        <f>IF(_calc!$E$301="","",IF(LEN(INDEX('Documents'!$C$4:$C$503,_calc!$E$301))=0,"",INDEX('Documents'!$C$4:$C$503,_calc!$E$301))&amp;" – "&amp;IF(LEN(INDEX('Documents'!$A$4:$A$503,_calc!$E$301))=0,"",INDEX('Documents'!$A$4:$A$503,_calc!$E$301)))</f>
        <v/>
      </c>
      <c r="B299" s="43">
        <f>IF(_calc!$E$301="","",IF(ISNUMBER(INDEX('Documents'!$F$4:$F$503,_calc!$E$301)),TEXT(INDEX('Documents'!$F$4:$F$503,_calc!$E$301),"yyyy-mm-dd"),""))</f>
        <v/>
      </c>
      <c r="C299" s="43">
        <f>IF(_calc!$E$301="","","Contractor document")</f>
        <v/>
      </c>
      <c r="D299" s="43">
        <f>IF(_calc!$E$301="","",IF(ISNUMBER(INDEX('Documents'!$E$4:$E$503,_calc!$E$301)),TEXT(INDEX('Documents'!$E$4:$E$503,_calc!$E$301),"yyyy-mm-dd"),""))</f>
        <v/>
      </c>
      <c r="E299" s="43">
        <f>IF(_calc!$E$301="","",IF(LEN(INDEX('Documents'!$N$4:$N$503,_calc!$E$301))=0,"",INDEX('Documents'!$N$4:$N$503,_calc!$E$301)))</f>
        <v/>
      </c>
      <c r="F299" s="43">
        <f>IF(_calc!$E$301="","",TRIM(IF(LEN(IF(LEN(INDEX('Documents'!$B$4:$B$503,_calc!$E$301))=0,"",INDEX('Documents'!$B$4:$B$503,_calc!$E$301)))=0,"","Trade: "&amp;IF(LEN(INDEX('Documents'!$B$4:$B$503,_calc!$E$301))=0,"",INDEX('Documents'!$B$4:$B$503,_calc!$E$301))&amp;". ")&amp;IF(LEN(IF(LEN(INDEX('Documents'!$D$4:$D$503,_calc!$E$301))=0,"",INDEX('Documents'!$D$4:$D$503,_calc!$E$301)))=0,"","Ref: "&amp;IF(LEN(INDEX('Documents'!$D$4:$D$503,_calc!$E$301))=0,"",INDEX('Documents'!$D$4:$D$503,_calc!$E$301))&amp;". ")&amp;IF(LEN(IF(LEN(INDEX('Documents'!$K$4:$K$503,_calc!$E$301))=0,"",INDEX('Documents'!$K$4:$K$503,_calc!$E$301)))=0,"","On file: "&amp;IF(LEN(INDEX('Documents'!$K$4:$K$503,_calc!$E$301))=0,"",INDEX('Documents'!$K$4:$K$503,_calc!$E$301))&amp;". ")&amp;IF(LEN(IF(LEN(INDEX('Documents'!$L$4:$L$503,_calc!$E$301))=0,"",INDEX('Documents'!$L$4:$L$503,_calc!$E$301)))=0,"","Contractor email: "&amp;IF(LEN(INDEX('Documents'!$L$4:$L$503,_calc!$E$301))=0,"",INDEX('Documents'!$L$4:$L$503,_calc!$E$301))&amp;". ")&amp;IF(LEN(IF(LEN(INDEX('Documents'!$P$4:$P$503,_calc!$E$301))=0,"",INDEX('Documents'!$P$4:$P$503,_calc!$E$301)))=0,"",IF(LEN(INDEX('Documents'!$P$4:$P$503,_calc!$E$301))=0,"",INDEX('Documents'!$P$4:$P$503,_calc!$E$301)))))</f>
        <v/>
      </c>
      <c r="G299" s="43">
        <f>IF(_calc!$E$301="","",IF(LEN(INDEX('Documents'!$O$4:$O$503,_calc!$E$301))=0,"",INDEX('Documents'!$O$4:$O$503,_calc!$E$301)))</f>
        <v/>
      </c>
      <c r="K299" s="43">
        <f>IF(_calc!$E$301="","",IF(LEN(INDEX('Documents'!$M$4:$M$503,_calc!$E$301))=0,"",INDEX('Documents'!$M$4:$M$503,_calc!$E$301)))</f>
        <v/>
      </c>
    </row>
    <row r="300">
      <c r="A300" s="43">
        <f>IF(_calc!$E$302="","",IF(LEN(INDEX('Documents'!$C$4:$C$503,_calc!$E$302))=0,"",INDEX('Documents'!$C$4:$C$503,_calc!$E$302))&amp;" – "&amp;IF(LEN(INDEX('Documents'!$A$4:$A$503,_calc!$E$302))=0,"",INDEX('Documents'!$A$4:$A$503,_calc!$E$302)))</f>
        <v/>
      </c>
      <c r="B300" s="43">
        <f>IF(_calc!$E$302="","",IF(ISNUMBER(INDEX('Documents'!$F$4:$F$503,_calc!$E$302)),TEXT(INDEX('Documents'!$F$4:$F$503,_calc!$E$302),"yyyy-mm-dd"),""))</f>
        <v/>
      </c>
      <c r="C300" s="43">
        <f>IF(_calc!$E$302="","","Contractor document")</f>
        <v/>
      </c>
      <c r="D300" s="43">
        <f>IF(_calc!$E$302="","",IF(ISNUMBER(INDEX('Documents'!$E$4:$E$503,_calc!$E$302)),TEXT(INDEX('Documents'!$E$4:$E$503,_calc!$E$302),"yyyy-mm-dd"),""))</f>
        <v/>
      </c>
      <c r="E300" s="43">
        <f>IF(_calc!$E$302="","",IF(LEN(INDEX('Documents'!$N$4:$N$503,_calc!$E$302))=0,"",INDEX('Documents'!$N$4:$N$503,_calc!$E$302)))</f>
        <v/>
      </c>
      <c r="F300" s="43">
        <f>IF(_calc!$E$302="","",TRIM(IF(LEN(IF(LEN(INDEX('Documents'!$B$4:$B$503,_calc!$E$302))=0,"",INDEX('Documents'!$B$4:$B$503,_calc!$E$302)))=0,"","Trade: "&amp;IF(LEN(INDEX('Documents'!$B$4:$B$503,_calc!$E$302))=0,"",INDEX('Documents'!$B$4:$B$503,_calc!$E$302))&amp;". ")&amp;IF(LEN(IF(LEN(INDEX('Documents'!$D$4:$D$503,_calc!$E$302))=0,"",INDEX('Documents'!$D$4:$D$503,_calc!$E$302)))=0,"","Ref: "&amp;IF(LEN(INDEX('Documents'!$D$4:$D$503,_calc!$E$302))=0,"",INDEX('Documents'!$D$4:$D$503,_calc!$E$302))&amp;". ")&amp;IF(LEN(IF(LEN(INDEX('Documents'!$K$4:$K$503,_calc!$E$302))=0,"",INDEX('Documents'!$K$4:$K$503,_calc!$E$302)))=0,"","On file: "&amp;IF(LEN(INDEX('Documents'!$K$4:$K$503,_calc!$E$302))=0,"",INDEX('Documents'!$K$4:$K$503,_calc!$E$302))&amp;". ")&amp;IF(LEN(IF(LEN(INDEX('Documents'!$L$4:$L$503,_calc!$E$302))=0,"",INDEX('Documents'!$L$4:$L$503,_calc!$E$302)))=0,"","Contractor email: "&amp;IF(LEN(INDEX('Documents'!$L$4:$L$503,_calc!$E$302))=0,"",INDEX('Documents'!$L$4:$L$503,_calc!$E$302))&amp;". ")&amp;IF(LEN(IF(LEN(INDEX('Documents'!$P$4:$P$503,_calc!$E$302))=0,"",INDEX('Documents'!$P$4:$P$503,_calc!$E$302)))=0,"",IF(LEN(INDEX('Documents'!$P$4:$P$503,_calc!$E$302))=0,"",INDEX('Documents'!$P$4:$P$503,_calc!$E$302)))))</f>
        <v/>
      </c>
      <c r="G300" s="43">
        <f>IF(_calc!$E$302="","",IF(LEN(INDEX('Documents'!$O$4:$O$503,_calc!$E$302))=0,"",INDEX('Documents'!$O$4:$O$503,_calc!$E$302)))</f>
        <v/>
      </c>
      <c r="K300" s="43">
        <f>IF(_calc!$E$302="","",IF(LEN(INDEX('Documents'!$M$4:$M$503,_calc!$E$302))=0,"",INDEX('Documents'!$M$4:$M$503,_calc!$E$302)))</f>
        <v/>
      </c>
    </row>
    <row r="301">
      <c r="A301" s="43">
        <f>IF(_calc!$E$303="","",IF(LEN(INDEX('Documents'!$C$4:$C$503,_calc!$E$303))=0,"",INDEX('Documents'!$C$4:$C$503,_calc!$E$303))&amp;" – "&amp;IF(LEN(INDEX('Documents'!$A$4:$A$503,_calc!$E$303))=0,"",INDEX('Documents'!$A$4:$A$503,_calc!$E$303)))</f>
        <v/>
      </c>
      <c r="B301" s="43">
        <f>IF(_calc!$E$303="","",IF(ISNUMBER(INDEX('Documents'!$F$4:$F$503,_calc!$E$303)),TEXT(INDEX('Documents'!$F$4:$F$503,_calc!$E$303),"yyyy-mm-dd"),""))</f>
        <v/>
      </c>
      <c r="C301" s="43">
        <f>IF(_calc!$E$303="","","Contractor document")</f>
        <v/>
      </c>
      <c r="D301" s="43">
        <f>IF(_calc!$E$303="","",IF(ISNUMBER(INDEX('Documents'!$E$4:$E$503,_calc!$E$303)),TEXT(INDEX('Documents'!$E$4:$E$503,_calc!$E$303),"yyyy-mm-dd"),""))</f>
        <v/>
      </c>
      <c r="E301" s="43">
        <f>IF(_calc!$E$303="","",IF(LEN(INDEX('Documents'!$N$4:$N$503,_calc!$E$303))=0,"",INDEX('Documents'!$N$4:$N$503,_calc!$E$303)))</f>
        <v/>
      </c>
      <c r="F301" s="43">
        <f>IF(_calc!$E$303="","",TRIM(IF(LEN(IF(LEN(INDEX('Documents'!$B$4:$B$503,_calc!$E$303))=0,"",INDEX('Documents'!$B$4:$B$503,_calc!$E$303)))=0,"","Trade: "&amp;IF(LEN(INDEX('Documents'!$B$4:$B$503,_calc!$E$303))=0,"",INDEX('Documents'!$B$4:$B$503,_calc!$E$303))&amp;". ")&amp;IF(LEN(IF(LEN(INDEX('Documents'!$D$4:$D$503,_calc!$E$303))=0,"",INDEX('Documents'!$D$4:$D$503,_calc!$E$303)))=0,"","Ref: "&amp;IF(LEN(INDEX('Documents'!$D$4:$D$503,_calc!$E$303))=0,"",INDEX('Documents'!$D$4:$D$503,_calc!$E$303))&amp;". ")&amp;IF(LEN(IF(LEN(INDEX('Documents'!$K$4:$K$503,_calc!$E$303))=0,"",INDEX('Documents'!$K$4:$K$503,_calc!$E$303)))=0,"","On file: "&amp;IF(LEN(INDEX('Documents'!$K$4:$K$503,_calc!$E$303))=0,"",INDEX('Documents'!$K$4:$K$503,_calc!$E$303))&amp;". ")&amp;IF(LEN(IF(LEN(INDEX('Documents'!$L$4:$L$503,_calc!$E$303))=0,"",INDEX('Documents'!$L$4:$L$503,_calc!$E$303)))=0,"","Contractor email: "&amp;IF(LEN(INDEX('Documents'!$L$4:$L$503,_calc!$E$303))=0,"",INDEX('Documents'!$L$4:$L$503,_calc!$E$303))&amp;". ")&amp;IF(LEN(IF(LEN(INDEX('Documents'!$P$4:$P$503,_calc!$E$303))=0,"",INDEX('Documents'!$P$4:$P$503,_calc!$E$303)))=0,"",IF(LEN(INDEX('Documents'!$P$4:$P$503,_calc!$E$303))=0,"",INDEX('Documents'!$P$4:$P$503,_calc!$E$303)))))</f>
        <v/>
      </c>
      <c r="G301" s="43">
        <f>IF(_calc!$E$303="","",IF(LEN(INDEX('Documents'!$O$4:$O$503,_calc!$E$303))=0,"",INDEX('Documents'!$O$4:$O$503,_calc!$E$303)))</f>
        <v/>
      </c>
      <c r="K301" s="43">
        <f>IF(_calc!$E$303="","",IF(LEN(INDEX('Documents'!$M$4:$M$503,_calc!$E$303))=0,"",INDEX('Documents'!$M$4:$M$503,_calc!$E$303)))</f>
        <v/>
      </c>
    </row>
    <row r="302">
      <c r="A302" s="43">
        <f>IF(_calc!$E$304="","",IF(LEN(INDEX('Documents'!$C$4:$C$503,_calc!$E$304))=0,"",INDEX('Documents'!$C$4:$C$503,_calc!$E$304))&amp;" – "&amp;IF(LEN(INDEX('Documents'!$A$4:$A$503,_calc!$E$304))=0,"",INDEX('Documents'!$A$4:$A$503,_calc!$E$304)))</f>
        <v/>
      </c>
      <c r="B302" s="43">
        <f>IF(_calc!$E$304="","",IF(ISNUMBER(INDEX('Documents'!$F$4:$F$503,_calc!$E$304)),TEXT(INDEX('Documents'!$F$4:$F$503,_calc!$E$304),"yyyy-mm-dd"),""))</f>
        <v/>
      </c>
      <c r="C302" s="43">
        <f>IF(_calc!$E$304="","","Contractor document")</f>
        <v/>
      </c>
      <c r="D302" s="43">
        <f>IF(_calc!$E$304="","",IF(ISNUMBER(INDEX('Documents'!$E$4:$E$503,_calc!$E$304)),TEXT(INDEX('Documents'!$E$4:$E$503,_calc!$E$304),"yyyy-mm-dd"),""))</f>
        <v/>
      </c>
      <c r="E302" s="43">
        <f>IF(_calc!$E$304="","",IF(LEN(INDEX('Documents'!$N$4:$N$503,_calc!$E$304))=0,"",INDEX('Documents'!$N$4:$N$503,_calc!$E$304)))</f>
        <v/>
      </c>
      <c r="F302" s="43">
        <f>IF(_calc!$E$304="","",TRIM(IF(LEN(IF(LEN(INDEX('Documents'!$B$4:$B$503,_calc!$E$304))=0,"",INDEX('Documents'!$B$4:$B$503,_calc!$E$304)))=0,"","Trade: "&amp;IF(LEN(INDEX('Documents'!$B$4:$B$503,_calc!$E$304))=0,"",INDEX('Documents'!$B$4:$B$503,_calc!$E$304))&amp;". ")&amp;IF(LEN(IF(LEN(INDEX('Documents'!$D$4:$D$503,_calc!$E$304))=0,"",INDEX('Documents'!$D$4:$D$503,_calc!$E$304)))=0,"","Ref: "&amp;IF(LEN(INDEX('Documents'!$D$4:$D$503,_calc!$E$304))=0,"",INDEX('Documents'!$D$4:$D$503,_calc!$E$304))&amp;". ")&amp;IF(LEN(IF(LEN(INDEX('Documents'!$K$4:$K$503,_calc!$E$304))=0,"",INDEX('Documents'!$K$4:$K$503,_calc!$E$304)))=0,"","On file: "&amp;IF(LEN(INDEX('Documents'!$K$4:$K$503,_calc!$E$304))=0,"",INDEX('Documents'!$K$4:$K$503,_calc!$E$304))&amp;". ")&amp;IF(LEN(IF(LEN(INDEX('Documents'!$L$4:$L$503,_calc!$E$304))=0,"",INDEX('Documents'!$L$4:$L$503,_calc!$E$304)))=0,"","Contractor email: "&amp;IF(LEN(INDEX('Documents'!$L$4:$L$503,_calc!$E$304))=0,"",INDEX('Documents'!$L$4:$L$503,_calc!$E$304))&amp;". ")&amp;IF(LEN(IF(LEN(INDEX('Documents'!$P$4:$P$503,_calc!$E$304))=0,"",INDEX('Documents'!$P$4:$P$503,_calc!$E$304)))=0,"",IF(LEN(INDEX('Documents'!$P$4:$P$503,_calc!$E$304))=0,"",INDEX('Documents'!$P$4:$P$503,_calc!$E$304)))))</f>
        <v/>
      </c>
      <c r="G302" s="43">
        <f>IF(_calc!$E$304="","",IF(LEN(INDEX('Documents'!$O$4:$O$503,_calc!$E$304))=0,"",INDEX('Documents'!$O$4:$O$503,_calc!$E$304)))</f>
        <v/>
      </c>
      <c r="K302" s="43">
        <f>IF(_calc!$E$304="","",IF(LEN(INDEX('Documents'!$M$4:$M$503,_calc!$E$304))=0,"",INDEX('Documents'!$M$4:$M$503,_calc!$E$304)))</f>
        <v/>
      </c>
    </row>
    <row r="303">
      <c r="A303" s="43">
        <f>IF(_calc!$E$305="","",IF(LEN(INDEX('Documents'!$C$4:$C$503,_calc!$E$305))=0,"",INDEX('Documents'!$C$4:$C$503,_calc!$E$305))&amp;" – "&amp;IF(LEN(INDEX('Documents'!$A$4:$A$503,_calc!$E$305))=0,"",INDEX('Documents'!$A$4:$A$503,_calc!$E$305)))</f>
        <v/>
      </c>
      <c r="B303" s="43">
        <f>IF(_calc!$E$305="","",IF(ISNUMBER(INDEX('Documents'!$F$4:$F$503,_calc!$E$305)),TEXT(INDEX('Documents'!$F$4:$F$503,_calc!$E$305),"yyyy-mm-dd"),""))</f>
        <v/>
      </c>
      <c r="C303" s="43">
        <f>IF(_calc!$E$305="","","Contractor document")</f>
        <v/>
      </c>
      <c r="D303" s="43">
        <f>IF(_calc!$E$305="","",IF(ISNUMBER(INDEX('Documents'!$E$4:$E$503,_calc!$E$305)),TEXT(INDEX('Documents'!$E$4:$E$503,_calc!$E$305),"yyyy-mm-dd"),""))</f>
        <v/>
      </c>
      <c r="E303" s="43">
        <f>IF(_calc!$E$305="","",IF(LEN(INDEX('Documents'!$N$4:$N$503,_calc!$E$305))=0,"",INDEX('Documents'!$N$4:$N$503,_calc!$E$305)))</f>
        <v/>
      </c>
      <c r="F303" s="43">
        <f>IF(_calc!$E$305="","",TRIM(IF(LEN(IF(LEN(INDEX('Documents'!$B$4:$B$503,_calc!$E$305))=0,"",INDEX('Documents'!$B$4:$B$503,_calc!$E$305)))=0,"","Trade: "&amp;IF(LEN(INDEX('Documents'!$B$4:$B$503,_calc!$E$305))=0,"",INDEX('Documents'!$B$4:$B$503,_calc!$E$305))&amp;". ")&amp;IF(LEN(IF(LEN(INDEX('Documents'!$D$4:$D$503,_calc!$E$305))=0,"",INDEX('Documents'!$D$4:$D$503,_calc!$E$305)))=0,"","Ref: "&amp;IF(LEN(INDEX('Documents'!$D$4:$D$503,_calc!$E$305))=0,"",INDEX('Documents'!$D$4:$D$503,_calc!$E$305))&amp;". ")&amp;IF(LEN(IF(LEN(INDEX('Documents'!$K$4:$K$503,_calc!$E$305))=0,"",INDEX('Documents'!$K$4:$K$503,_calc!$E$305)))=0,"","On file: "&amp;IF(LEN(INDEX('Documents'!$K$4:$K$503,_calc!$E$305))=0,"",INDEX('Documents'!$K$4:$K$503,_calc!$E$305))&amp;". ")&amp;IF(LEN(IF(LEN(INDEX('Documents'!$L$4:$L$503,_calc!$E$305))=0,"",INDEX('Documents'!$L$4:$L$503,_calc!$E$305)))=0,"","Contractor email: "&amp;IF(LEN(INDEX('Documents'!$L$4:$L$503,_calc!$E$305))=0,"",INDEX('Documents'!$L$4:$L$503,_calc!$E$305))&amp;". ")&amp;IF(LEN(IF(LEN(INDEX('Documents'!$P$4:$P$503,_calc!$E$305))=0,"",INDEX('Documents'!$P$4:$P$503,_calc!$E$305)))=0,"",IF(LEN(INDEX('Documents'!$P$4:$P$503,_calc!$E$305))=0,"",INDEX('Documents'!$P$4:$P$503,_calc!$E$305)))))</f>
        <v/>
      </c>
      <c r="G303" s="43">
        <f>IF(_calc!$E$305="","",IF(LEN(INDEX('Documents'!$O$4:$O$503,_calc!$E$305))=0,"",INDEX('Documents'!$O$4:$O$503,_calc!$E$305)))</f>
        <v/>
      </c>
      <c r="K303" s="43">
        <f>IF(_calc!$E$305="","",IF(LEN(INDEX('Documents'!$M$4:$M$503,_calc!$E$305))=0,"",INDEX('Documents'!$M$4:$M$503,_calc!$E$305)))</f>
        <v/>
      </c>
    </row>
    <row r="304">
      <c r="A304" s="43">
        <f>IF(_calc!$E$306="","",IF(LEN(INDEX('Documents'!$C$4:$C$503,_calc!$E$306))=0,"",INDEX('Documents'!$C$4:$C$503,_calc!$E$306))&amp;" – "&amp;IF(LEN(INDEX('Documents'!$A$4:$A$503,_calc!$E$306))=0,"",INDEX('Documents'!$A$4:$A$503,_calc!$E$306)))</f>
        <v/>
      </c>
      <c r="B304" s="43">
        <f>IF(_calc!$E$306="","",IF(ISNUMBER(INDEX('Documents'!$F$4:$F$503,_calc!$E$306)),TEXT(INDEX('Documents'!$F$4:$F$503,_calc!$E$306),"yyyy-mm-dd"),""))</f>
        <v/>
      </c>
      <c r="C304" s="43">
        <f>IF(_calc!$E$306="","","Contractor document")</f>
        <v/>
      </c>
      <c r="D304" s="43">
        <f>IF(_calc!$E$306="","",IF(ISNUMBER(INDEX('Documents'!$E$4:$E$503,_calc!$E$306)),TEXT(INDEX('Documents'!$E$4:$E$503,_calc!$E$306),"yyyy-mm-dd"),""))</f>
        <v/>
      </c>
      <c r="E304" s="43">
        <f>IF(_calc!$E$306="","",IF(LEN(INDEX('Documents'!$N$4:$N$503,_calc!$E$306))=0,"",INDEX('Documents'!$N$4:$N$503,_calc!$E$306)))</f>
        <v/>
      </c>
      <c r="F304" s="43">
        <f>IF(_calc!$E$306="","",TRIM(IF(LEN(IF(LEN(INDEX('Documents'!$B$4:$B$503,_calc!$E$306))=0,"",INDEX('Documents'!$B$4:$B$503,_calc!$E$306)))=0,"","Trade: "&amp;IF(LEN(INDEX('Documents'!$B$4:$B$503,_calc!$E$306))=0,"",INDEX('Documents'!$B$4:$B$503,_calc!$E$306))&amp;". ")&amp;IF(LEN(IF(LEN(INDEX('Documents'!$D$4:$D$503,_calc!$E$306))=0,"",INDEX('Documents'!$D$4:$D$503,_calc!$E$306)))=0,"","Ref: "&amp;IF(LEN(INDEX('Documents'!$D$4:$D$503,_calc!$E$306))=0,"",INDEX('Documents'!$D$4:$D$503,_calc!$E$306))&amp;". ")&amp;IF(LEN(IF(LEN(INDEX('Documents'!$K$4:$K$503,_calc!$E$306))=0,"",INDEX('Documents'!$K$4:$K$503,_calc!$E$306)))=0,"","On file: "&amp;IF(LEN(INDEX('Documents'!$K$4:$K$503,_calc!$E$306))=0,"",INDEX('Documents'!$K$4:$K$503,_calc!$E$306))&amp;". ")&amp;IF(LEN(IF(LEN(INDEX('Documents'!$L$4:$L$503,_calc!$E$306))=0,"",INDEX('Documents'!$L$4:$L$503,_calc!$E$306)))=0,"","Contractor email: "&amp;IF(LEN(INDEX('Documents'!$L$4:$L$503,_calc!$E$306))=0,"",INDEX('Documents'!$L$4:$L$503,_calc!$E$306))&amp;". ")&amp;IF(LEN(IF(LEN(INDEX('Documents'!$P$4:$P$503,_calc!$E$306))=0,"",INDEX('Documents'!$P$4:$P$503,_calc!$E$306)))=0,"",IF(LEN(INDEX('Documents'!$P$4:$P$503,_calc!$E$306))=0,"",INDEX('Documents'!$P$4:$P$503,_calc!$E$306)))))</f>
        <v/>
      </c>
      <c r="G304" s="43">
        <f>IF(_calc!$E$306="","",IF(LEN(INDEX('Documents'!$O$4:$O$503,_calc!$E$306))=0,"",INDEX('Documents'!$O$4:$O$503,_calc!$E$306)))</f>
        <v/>
      </c>
      <c r="K304" s="43">
        <f>IF(_calc!$E$306="","",IF(LEN(INDEX('Documents'!$M$4:$M$503,_calc!$E$306))=0,"",INDEX('Documents'!$M$4:$M$503,_calc!$E$306)))</f>
        <v/>
      </c>
    </row>
    <row r="305">
      <c r="A305" s="43">
        <f>IF(_calc!$E$307="","",IF(LEN(INDEX('Documents'!$C$4:$C$503,_calc!$E$307))=0,"",INDEX('Documents'!$C$4:$C$503,_calc!$E$307))&amp;" – "&amp;IF(LEN(INDEX('Documents'!$A$4:$A$503,_calc!$E$307))=0,"",INDEX('Documents'!$A$4:$A$503,_calc!$E$307)))</f>
        <v/>
      </c>
      <c r="B305" s="43">
        <f>IF(_calc!$E$307="","",IF(ISNUMBER(INDEX('Documents'!$F$4:$F$503,_calc!$E$307)),TEXT(INDEX('Documents'!$F$4:$F$503,_calc!$E$307),"yyyy-mm-dd"),""))</f>
        <v/>
      </c>
      <c r="C305" s="43">
        <f>IF(_calc!$E$307="","","Contractor document")</f>
        <v/>
      </c>
      <c r="D305" s="43">
        <f>IF(_calc!$E$307="","",IF(ISNUMBER(INDEX('Documents'!$E$4:$E$503,_calc!$E$307)),TEXT(INDEX('Documents'!$E$4:$E$503,_calc!$E$307),"yyyy-mm-dd"),""))</f>
        <v/>
      </c>
      <c r="E305" s="43">
        <f>IF(_calc!$E$307="","",IF(LEN(INDEX('Documents'!$N$4:$N$503,_calc!$E$307))=0,"",INDEX('Documents'!$N$4:$N$503,_calc!$E$307)))</f>
        <v/>
      </c>
      <c r="F305" s="43">
        <f>IF(_calc!$E$307="","",TRIM(IF(LEN(IF(LEN(INDEX('Documents'!$B$4:$B$503,_calc!$E$307))=0,"",INDEX('Documents'!$B$4:$B$503,_calc!$E$307)))=0,"","Trade: "&amp;IF(LEN(INDEX('Documents'!$B$4:$B$503,_calc!$E$307))=0,"",INDEX('Documents'!$B$4:$B$503,_calc!$E$307))&amp;". ")&amp;IF(LEN(IF(LEN(INDEX('Documents'!$D$4:$D$503,_calc!$E$307))=0,"",INDEX('Documents'!$D$4:$D$503,_calc!$E$307)))=0,"","Ref: "&amp;IF(LEN(INDEX('Documents'!$D$4:$D$503,_calc!$E$307))=0,"",INDEX('Documents'!$D$4:$D$503,_calc!$E$307))&amp;". ")&amp;IF(LEN(IF(LEN(INDEX('Documents'!$K$4:$K$503,_calc!$E$307))=0,"",INDEX('Documents'!$K$4:$K$503,_calc!$E$307)))=0,"","On file: "&amp;IF(LEN(INDEX('Documents'!$K$4:$K$503,_calc!$E$307))=0,"",INDEX('Documents'!$K$4:$K$503,_calc!$E$307))&amp;". ")&amp;IF(LEN(IF(LEN(INDEX('Documents'!$L$4:$L$503,_calc!$E$307))=0,"",INDEX('Documents'!$L$4:$L$503,_calc!$E$307)))=0,"","Contractor email: "&amp;IF(LEN(INDEX('Documents'!$L$4:$L$503,_calc!$E$307))=0,"",INDEX('Documents'!$L$4:$L$503,_calc!$E$307))&amp;". ")&amp;IF(LEN(IF(LEN(INDEX('Documents'!$P$4:$P$503,_calc!$E$307))=0,"",INDEX('Documents'!$P$4:$P$503,_calc!$E$307)))=0,"",IF(LEN(INDEX('Documents'!$P$4:$P$503,_calc!$E$307))=0,"",INDEX('Documents'!$P$4:$P$503,_calc!$E$307)))))</f>
        <v/>
      </c>
      <c r="G305" s="43">
        <f>IF(_calc!$E$307="","",IF(LEN(INDEX('Documents'!$O$4:$O$503,_calc!$E$307))=0,"",INDEX('Documents'!$O$4:$O$503,_calc!$E$307)))</f>
        <v/>
      </c>
      <c r="K305" s="43">
        <f>IF(_calc!$E$307="","",IF(LEN(INDEX('Documents'!$M$4:$M$503,_calc!$E$307))=0,"",INDEX('Documents'!$M$4:$M$503,_calc!$E$307)))</f>
        <v/>
      </c>
    </row>
    <row r="306">
      <c r="A306" s="43">
        <f>IF(_calc!$E$308="","",IF(LEN(INDEX('Documents'!$C$4:$C$503,_calc!$E$308))=0,"",INDEX('Documents'!$C$4:$C$503,_calc!$E$308))&amp;" – "&amp;IF(LEN(INDEX('Documents'!$A$4:$A$503,_calc!$E$308))=0,"",INDEX('Documents'!$A$4:$A$503,_calc!$E$308)))</f>
        <v/>
      </c>
      <c r="B306" s="43">
        <f>IF(_calc!$E$308="","",IF(ISNUMBER(INDEX('Documents'!$F$4:$F$503,_calc!$E$308)),TEXT(INDEX('Documents'!$F$4:$F$503,_calc!$E$308),"yyyy-mm-dd"),""))</f>
        <v/>
      </c>
      <c r="C306" s="43">
        <f>IF(_calc!$E$308="","","Contractor document")</f>
        <v/>
      </c>
      <c r="D306" s="43">
        <f>IF(_calc!$E$308="","",IF(ISNUMBER(INDEX('Documents'!$E$4:$E$503,_calc!$E$308)),TEXT(INDEX('Documents'!$E$4:$E$503,_calc!$E$308),"yyyy-mm-dd"),""))</f>
        <v/>
      </c>
      <c r="E306" s="43">
        <f>IF(_calc!$E$308="","",IF(LEN(INDEX('Documents'!$N$4:$N$503,_calc!$E$308))=0,"",INDEX('Documents'!$N$4:$N$503,_calc!$E$308)))</f>
        <v/>
      </c>
      <c r="F306" s="43">
        <f>IF(_calc!$E$308="","",TRIM(IF(LEN(IF(LEN(INDEX('Documents'!$B$4:$B$503,_calc!$E$308))=0,"",INDEX('Documents'!$B$4:$B$503,_calc!$E$308)))=0,"","Trade: "&amp;IF(LEN(INDEX('Documents'!$B$4:$B$503,_calc!$E$308))=0,"",INDEX('Documents'!$B$4:$B$503,_calc!$E$308))&amp;". ")&amp;IF(LEN(IF(LEN(INDEX('Documents'!$D$4:$D$503,_calc!$E$308))=0,"",INDEX('Documents'!$D$4:$D$503,_calc!$E$308)))=0,"","Ref: "&amp;IF(LEN(INDEX('Documents'!$D$4:$D$503,_calc!$E$308))=0,"",INDEX('Documents'!$D$4:$D$503,_calc!$E$308))&amp;". ")&amp;IF(LEN(IF(LEN(INDEX('Documents'!$K$4:$K$503,_calc!$E$308))=0,"",INDEX('Documents'!$K$4:$K$503,_calc!$E$308)))=0,"","On file: "&amp;IF(LEN(INDEX('Documents'!$K$4:$K$503,_calc!$E$308))=0,"",INDEX('Documents'!$K$4:$K$503,_calc!$E$308))&amp;". ")&amp;IF(LEN(IF(LEN(INDEX('Documents'!$L$4:$L$503,_calc!$E$308))=0,"",INDEX('Documents'!$L$4:$L$503,_calc!$E$308)))=0,"","Contractor email: "&amp;IF(LEN(INDEX('Documents'!$L$4:$L$503,_calc!$E$308))=0,"",INDEX('Documents'!$L$4:$L$503,_calc!$E$308))&amp;". ")&amp;IF(LEN(IF(LEN(INDEX('Documents'!$P$4:$P$503,_calc!$E$308))=0,"",INDEX('Documents'!$P$4:$P$503,_calc!$E$308)))=0,"",IF(LEN(INDEX('Documents'!$P$4:$P$503,_calc!$E$308))=0,"",INDEX('Documents'!$P$4:$P$503,_calc!$E$308)))))</f>
        <v/>
      </c>
      <c r="G306" s="43">
        <f>IF(_calc!$E$308="","",IF(LEN(INDEX('Documents'!$O$4:$O$503,_calc!$E$308))=0,"",INDEX('Documents'!$O$4:$O$503,_calc!$E$308)))</f>
        <v/>
      </c>
      <c r="K306" s="43">
        <f>IF(_calc!$E$308="","",IF(LEN(INDEX('Documents'!$M$4:$M$503,_calc!$E$308))=0,"",INDEX('Documents'!$M$4:$M$503,_calc!$E$308)))</f>
        <v/>
      </c>
    </row>
    <row r="307">
      <c r="A307" s="43">
        <f>IF(_calc!$E$309="","",IF(LEN(INDEX('Documents'!$C$4:$C$503,_calc!$E$309))=0,"",INDEX('Documents'!$C$4:$C$503,_calc!$E$309))&amp;" – "&amp;IF(LEN(INDEX('Documents'!$A$4:$A$503,_calc!$E$309))=0,"",INDEX('Documents'!$A$4:$A$503,_calc!$E$309)))</f>
        <v/>
      </c>
      <c r="B307" s="43">
        <f>IF(_calc!$E$309="","",IF(ISNUMBER(INDEX('Documents'!$F$4:$F$503,_calc!$E$309)),TEXT(INDEX('Documents'!$F$4:$F$503,_calc!$E$309),"yyyy-mm-dd"),""))</f>
        <v/>
      </c>
      <c r="C307" s="43">
        <f>IF(_calc!$E$309="","","Contractor document")</f>
        <v/>
      </c>
      <c r="D307" s="43">
        <f>IF(_calc!$E$309="","",IF(ISNUMBER(INDEX('Documents'!$E$4:$E$503,_calc!$E$309)),TEXT(INDEX('Documents'!$E$4:$E$503,_calc!$E$309),"yyyy-mm-dd"),""))</f>
        <v/>
      </c>
      <c r="E307" s="43">
        <f>IF(_calc!$E$309="","",IF(LEN(INDEX('Documents'!$N$4:$N$503,_calc!$E$309))=0,"",INDEX('Documents'!$N$4:$N$503,_calc!$E$309)))</f>
        <v/>
      </c>
      <c r="F307" s="43">
        <f>IF(_calc!$E$309="","",TRIM(IF(LEN(IF(LEN(INDEX('Documents'!$B$4:$B$503,_calc!$E$309))=0,"",INDEX('Documents'!$B$4:$B$503,_calc!$E$309)))=0,"","Trade: "&amp;IF(LEN(INDEX('Documents'!$B$4:$B$503,_calc!$E$309))=0,"",INDEX('Documents'!$B$4:$B$503,_calc!$E$309))&amp;". ")&amp;IF(LEN(IF(LEN(INDEX('Documents'!$D$4:$D$503,_calc!$E$309))=0,"",INDEX('Documents'!$D$4:$D$503,_calc!$E$309)))=0,"","Ref: "&amp;IF(LEN(INDEX('Documents'!$D$4:$D$503,_calc!$E$309))=0,"",INDEX('Documents'!$D$4:$D$503,_calc!$E$309))&amp;". ")&amp;IF(LEN(IF(LEN(INDEX('Documents'!$K$4:$K$503,_calc!$E$309))=0,"",INDEX('Documents'!$K$4:$K$503,_calc!$E$309)))=0,"","On file: "&amp;IF(LEN(INDEX('Documents'!$K$4:$K$503,_calc!$E$309))=0,"",INDEX('Documents'!$K$4:$K$503,_calc!$E$309))&amp;". ")&amp;IF(LEN(IF(LEN(INDEX('Documents'!$L$4:$L$503,_calc!$E$309))=0,"",INDEX('Documents'!$L$4:$L$503,_calc!$E$309)))=0,"","Contractor email: "&amp;IF(LEN(INDEX('Documents'!$L$4:$L$503,_calc!$E$309))=0,"",INDEX('Documents'!$L$4:$L$503,_calc!$E$309))&amp;". ")&amp;IF(LEN(IF(LEN(INDEX('Documents'!$P$4:$P$503,_calc!$E$309))=0,"",INDEX('Documents'!$P$4:$P$503,_calc!$E$309)))=0,"",IF(LEN(INDEX('Documents'!$P$4:$P$503,_calc!$E$309))=0,"",INDEX('Documents'!$P$4:$P$503,_calc!$E$309)))))</f>
        <v/>
      </c>
      <c r="G307" s="43">
        <f>IF(_calc!$E$309="","",IF(LEN(INDEX('Documents'!$O$4:$O$503,_calc!$E$309))=0,"",INDEX('Documents'!$O$4:$O$503,_calc!$E$309)))</f>
        <v/>
      </c>
      <c r="K307" s="43">
        <f>IF(_calc!$E$309="","",IF(LEN(INDEX('Documents'!$M$4:$M$503,_calc!$E$309))=0,"",INDEX('Documents'!$M$4:$M$503,_calc!$E$309)))</f>
        <v/>
      </c>
    </row>
    <row r="308">
      <c r="A308" s="43">
        <f>IF(_calc!$E$310="","",IF(LEN(INDEX('Documents'!$C$4:$C$503,_calc!$E$310))=0,"",INDEX('Documents'!$C$4:$C$503,_calc!$E$310))&amp;" – "&amp;IF(LEN(INDEX('Documents'!$A$4:$A$503,_calc!$E$310))=0,"",INDEX('Documents'!$A$4:$A$503,_calc!$E$310)))</f>
        <v/>
      </c>
      <c r="B308" s="43">
        <f>IF(_calc!$E$310="","",IF(ISNUMBER(INDEX('Documents'!$F$4:$F$503,_calc!$E$310)),TEXT(INDEX('Documents'!$F$4:$F$503,_calc!$E$310),"yyyy-mm-dd"),""))</f>
        <v/>
      </c>
      <c r="C308" s="43">
        <f>IF(_calc!$E$310="","","Contractor document")</f>
        <v/>
      </c>
      <c r="D308" s="43">
        <f>IF(_calc!$E$310="","",IF(ISNUMBER(INDEX('Documents'!$E$4:$E$503,_calc!$E$310)),TEXT(INDEX('Documents'!$E$4:$E$503,_calc!$E$310),"yyyy-mm-dd"),""))</f>
        <v/>
      </c>
      <c r="E308" s="43">
        <f>IF(_calc!$E$310="","",IF(LEN(INDEX('Documents'!$N$4:$N$503,_calc!$E$310))=0,"",INDEX('Documents'!$N$4:$N$503,_calc!$E$310)))</f>
        <v/>
      </c>
      <c r="F308" s="43">
        <f>IF(_calc!$E$310="","",TRIM(IF(LEN(IF(LEN(INDEX('Documents'!$B$4:$B$503,_calc!$E$310))=0,"",INDEX('Documents'!$B$4:$B$503,_calc!$E$310)))=0,"","Trade: "&amp;IF(LEN(INDEX('Documents'!$B$4:$B$503,_calc!$E$310))=0,"",INDEX('Documents'!$B$4:$B$503,_calc!$E$310))&amp;". ")&amp;IF(LEN(IF(LEN(INDEX('Documents'!$D$4:$D$503,_calc!$E$310))=0,"",INDEX('Documents'!$D$4:$D$503,_calc!$E$310)))=0,"","Ref: "&amp;IF(LEN(INDEX('Documents'!$D$4:$D$503,_calc!$E$310))=0,"",INDEX('Documents'!$D$4:$D$503,_calc!$E$310))&amp;". ")&amp;IF(LEN(IF(LEN(INDEX('Documents'!$K$4:$K$503,_calc!$E$310))=0,"",INDEX('Documents'!$K$4:$K$503,_calc!$E$310)))=0,"","On file: "&amp;IF(LEN(INDEX('Documents'!$K$4:$K$503,_calc!$E$310))=0,"",INDEX('Documents'!$K$4:$K$503,_calc!$E$310))&amp;". ")&amp;IF(LEN(IF(LEN(INDEX('Documents'!$L$4:$L$503,_calc!$E$310))=0,"",INDEX('Documents'!$L$4:$L$503,_calc!$E$310)))=0,"","Contractor email: "&amp;IF(LEN(INDEX('Documents'!$L$4:$L$503,_calc!$E$310))=0,"",INDEX('Documents'!$L$4:$L$503,_calc!$E$310))&amp;". ")&amp;IF(LEN(IF(LEN(INDEX('Documents'!$P$4:$P$503,_calc!$E$310))=0,"",INDEX('Documents'!$P$4:$P$503,_calc!$E$310)))=0,"",IF(LEN(INDEX('Documents'!$P$4:$P$503,_calc!$E$310))=0,"",INDEX('Documents'!$P$4:$P$503,_calc!$E$310)))))</f>
        <v/>
      </c>
      <c r="G308" s="43">
        <f>IF(_calc!$E$310="","",IF(LEN(INDEX('Documents'!$O$4:$O$503,_calc!$E$310))=0,"",INDEX('Documents'!$O$4:$O$503,_calc!$E$310)))</f>
        <v/>
      </c>
      <c r="K308" s="43">
        <f>IF(_calc!$E$310="","",IF(LEN(INDEX('Documents'!$M$4:$M$503,_calc!$E$310))=0,"",INDEX('Documents'!$M$4:$M$503,_calc!$E$310)))</f>
        <v/>
      </c>
    </row>
    <row r="309">
      <c r="A309" s="43">
        <f>IF(_calc!$E$311="","",IF(LEN(INDEX('Documents'!$C$4:$C$503,_calc!$E$311))=0,"",INDEX('Documents'!$C$4:$C$503,_calc!$E$311))&amp;" – "&amp;IF(LEN(INDEX('Documents'!$A$4:$A$503,_calc!$E$311))=0,"",INDEX('Documents'!$A$4:$A$503,_calc!$E$311)))</f>
        <v/>
      </c>
      <c r="B309" s="43">
        <f>IF(_calc!$E$311="","",IF(ISNUMBER(INDEX('Documents'!$F$4:$F$503,_calc!$E$311)),TEXT(INDEX('Documents'!$F$4:$F$503,_calc!$E$311),"yyyy-mm-dd"),""))</f>
        <v/>
      </c>
      <c r="C309" s="43">
        <f>IF(_calc!$E$311="","","Contractor document")</f>
        <v/>
      </c>
      <c r="D309" s="43">
        <f>IF(_calc!$E$311="","",IF(ISNUMBER(INDEX('Documents'!$E$4:$E$503,_calc!$E$311)),TEXT(INDEX('Documents'!$E$4:$E$503,_calc!$E$311),"yyyy-mm-dd"),""))</f>
        <v/>
      </c>
      <c r="E309" s="43">
        <f>IF(_calc!$E$311="","",IF(LEN(INDEX('Documents'!$N$4:$N$503,_calc!$E$311))=0,"",INDEX('Documents'!$N$4:$N$503,_calc!$E$311)))</f>
        <v/>
      </c>
      <c r="F309" s="43">
        <f>IF(_calc!$E$311="","",TRIM(IF(LEN(IF(LEN(INDEX('Documents'!$B$4:$B$503,_calc!$E$311))=0,"",INDEX('Documents'!$B$4:$B$503,_calc!$E$311)))=0,"","Trade: "&amp;IF(LEN(INDEX('Documents'!$B$4:$B$503,_calc!$E$311))=0,"",INDEX('Documents'!$B$4:$B$503,_calc!$E$311))&amp;". ")&amp;IF(LEN(IF(LEN(INDEX('Documents'!$D$4:$D$503,_calc!$E$311))=0,"",INDEX('Documents'!$D$4:$D$503,_calc!$E$311)))=0,"","Ref: "&amp;IF(LEN(INDEX('Documents'!$D$4:$D$503,_calc!$E$311))=0,"",INDEX('Documents'!$D$4:$D$503,_calc!$E$311))&amp;". ")&amp;IF(LEN(IF(LEN(INDEX('Documents'!$K$4:$K$503,_calc!$E$311))=0,"",INDEX('Documents'!$K$4:$K$503,_calc!$E$311)))=0,"","On file: "&amp;IF(LEN(INDEX('Documents'!$K$4:$K$503,_calc!$E$311))=0,"",INDEX('Documents'!$K$4:$K$503,_calc!$E$311))&amp;". ")&amp;IF(LEN(IF(LEN(INDEX('Documents'!$L$4:$L$503,_calc!$E$311))=0,"",INDEX('Documents'!$L$4:$L$503,_calc!$E$311)))=0,"","Contractor email: "&amp;IF(LEN(INDEX('Documents'!$L$4:$L$503,_calc!$E$311))=0,"",INDEX('Documents'!$L$4:$L$503,_calc!$E$311))&amp;". ")&amp;IF(LEN(IF(LEN(INDEX('Documents'!$P$4:$P$503,_calc!$E$311))=0,"",INDEX('Documents'!$P$4:$P$503,_calc!$E$311)))=0,"",IF(LEN(INDEX('Documents'!$P$4:$P$503,_calc!$E$311))=0,"",INDEX('Documents'!$P$4:$P$503,_calc!$E$311)))))</f>
        <v/>
      </c>
      <c r="G309" s="43">
        <f>IF(_calc!$E$311="","",IF(LEN(INDEX('Documents'!$O$4:$O$503,_calc!$E$311))=0,"",INDEX('Documents'!$O$4:$O$503,_calc!$E$311)))</f>
        <v/>
      </c>
      <c r="K309" s="43">
        <f>IF(_calc!$E$311="","",IF(LEN(INDEX('Documents'!$M$4:$M$503,_calc!$E$311))=0,"",INDEX('Documents'!$M$4:$M$503,_calc!$E$311)))</f>
        <v/>
      </c>
    </row>
    <row r="310">
      <c r="A310" s="43">
        <f>IF(_calc!$E$312="","",IF(LEN(INDEX('Documents'!$C$4:$C$503,_calc!$E$312))=0,"",INDEX('Documents'!$C$4:$C$503,_calc!$E$312))&amp;" – "&amp;IF(LEN(INDEX('Documents'!$A$4:$A$503,_calc!$E$312))=0,"",INDEX('Documents'!$A$4:$A$503,_calc!$E$312)))</f>
        <v/>
      </c>
      <c r="B310" s="43">
        <f>IF(_calc!$E$312="","",IF(ISNUMBER(INDEX('Documents'!$F$4:$F$503,_calc!$E$312)),TEXT(INDEX('Documents'!$F$4:$F$503,_calc!$E$312),"yyyy-mm-dd"),""))</f>
        <v/>
      </c>
      <c r="C310" s="43">
        <f>IF(_calc!$E$312="","","Contractor document")</f>
        <v/>
      </c>
      <c r="D310" s="43">
        <f>IF(_calc!$E$312="","",IF(ISNUMBER(INDEX('Documents'!$E$4:$E$503,_calc!$E$312)),TEXT(INDEX('Documents'!$E$4:$E$503,_calc!$E$312),"yyyy-mm-dd"),""))</f>
        <v/>
      </c>
      <c r="E310" s="43">
        <f>IF(_calc!$E$312="","",IF(LEN(INDEX('Documents'!$N$4:$N$503,_calc!$E$312))=0,"",INDEX('Documents'!$N$4:$N$503,_calc!$E$312)))</f>
        <v/>
      </c>
      <c r="F310" s="43">
        <f>IF(_calc!$E$312="","",TRIM(IF(LEN(IF(LEN(INDEX('Documents'!$B$4:$B$503,_calc!$E$312))=0,"",INDEX('Documents'!$B$4:$B$503,_calc!$E$312)))=0,"","Trade: "&amp;IF(LEN(INDEX('Documents'!$B$4:$B$503,_calc!$E$312))=0,"",INDEX('Documents'!$B$4:$B$503,_calc!$E$312))&amp;". ")&amp;IF(LEN(IF(LEN(INDEX('Documents'!$D$4:$D$503,_calc!$E$312))=0,"",INDEX('Documents'!$D$4:$D$503,_calc!$E$312)))=0,"","Ref: "&amp;IF(LEN(INDEX('Documents'!$D$4:$D$503,_calc!$E$312))=0,"",INDEX('Documents'!$D$4:$D$503,_calc!$E$312))&amp;". ")&amp;IF(LEN(IF(LEN(INDEX('Documents'!$K$4:$K$503,_calc!$E$312))=0,"",INDEX('Documents'!$K$4:$K$503,_calc!$E$312)))=0,"","On file: "&amp;IF(LEN(INDEX('Documents'!$K$4:$K$503,_calc!$E$312))=0,"",INDEX('Documents'!$K$4:$K$503,_calc!$E$312))&amp;". ")&amp;IF(LEN(IF(LEN(INDEX('Documents'!$L$4:$L$503,_calc!$E$312))=0,"",INDEX('Documents'!$L$4:$L$503,_calc!$E$312)))=0,"","Contractor email: "&amp;IF(LEN(INDEX('Documents'!$L$4:$L$503,_calc!$E$312))=0,"",INDEX('Documents'!$L$4:$L$503,_calc!$E$312))&amp;". ")&amp;IF(LEN(IF(LEN(INDEX('Documents'!$P$4:$P$503,_calc!$E$312))=0,"",INDEX('Documents'!$P$4:$P$503,_calc!$E$312)))=0,"",IF(LEN(INDEX('Documents'!$P$4:$P$503,_calc!$E$312))=0,"",INDEX('Documents'!$P$4:$P$503,_calc!$E$312)))))</f>
        <v/>
      </c>
      <c r="G310" s="43">
        <f>IF(_calc!$E$312="","",IF(LEN(INDEX('Documents'!$O$4:$O$503,_calc!$E$312))=0,"",INDEX('Documents'!$O$4:$O$503,_calc!$E$312)))</f>
        <v/>
      </c>
      <c r="K310" s="43">
        <f>IF(_calc!$E$312="","",IF(LEN(INDEX('Documents'!$M$4:$M$503,_calc!$E$312))=0,"",INDEX('Documents'!$M$4:$M$503,_calc!$E$312)))</f>
        <v/>
      </c>
    </row>
    <row r="311">
      <c r="A311" s="43">
        <f>IF(_calc!$E$313="","",IF(LEN(INDEX('Documents'!$C$4:$C$503,_calc!$E$313))=0,"",INDEX('Documents'!$C$4:$C$503,_calc!$E$313))&amp;" – "&amp;IF(LEN(INDEX('Documents'!$A$4:$A$503,_calc!$E$313))=0,"",INDEX('Documents'!$A$4:$A$503,_calc!$E$313)))</f>
        <v/>
      </c>
      <c r="B311" s="43">
        <f>IF(_calc!$E$313="","",IF(ISNUMBER(INDEX('Documents'!$F$4:$F$503,_calc!$E$313)),TEXT(INDEX('Documents'!$F$4:$F$503,_calc!$E$313),"yyyy-mm-dd"),""))</f>
        <v/>
      </c>
      <c r="C311" s="43">
        <f>IF(_calc!$E$313="","","Contractor document")</f>
        <v/>
      </c>
      <c r="D311" s="43">
        <f>IF(_calc!$E$313="","",IF(ISNUMBER(INDEX('Documents'!$E$4:$E$503,_calc!$E$313)),TEXT(INDEX('Documents'!$E$4:$E$503,_calc!$E$313),"yyyy-mm-dd"),""))</f>
        <v/>
      </c>
      <c r="E311" s="43">
        <f>IF(_calc!$E$313="","",IF(LEN(INDEX('Documents'!$N$4:$N$503,_calc!$E$313))=0,"",INDEX('Documents'!$N$4:$N$503,_calc!$E$313)))</f>
        <v/>
      </c>
      <c r="F311" s="43">
        <f>IF(_calc!$E$313="","",TRIM(IF(LEN(IF(LEN(INDEX('Documents'!$B$4:$B$503,_calc!$E$313))=0,"",INDEX('Documents'!$B$4:$B$503,_calc!$E$313)))=0,"","Trade: "&amp;IF(LEN(INDEX('Documents'!$B$4:$B$503,_calc!$E$313))=0,"",INDEX('Documents'!$B$4:$B$503,_calc!$E$313))&amp;". ")&amp;IF(LEN(IF(LEN(INDEX('Documents'!$D$4:$D$503,_calc!$E$313))=0,"",INDEX('Documents'!$D$4:$D$503,_calc!$E$313)))=0,"","Ref: "&amp;IF(LEN(INDEX('Documents'!$D$4:$D$503,_calc!$E$313))=0,"",INDEX('Documents'!$D$4:$D$503,_calc!$E$313))&amp;". ")&amp;IF(LEN(IF(LEN(INDEX('Documents'!$K$4:$K$503,_calc!$E$313))=0,"",INDEX('Documents'!$K$4:$K$503,_calc!$E$313)))=0,"","On file: "&amp;IF(LEN(INDEX('Documents'!$K$4:$K$503,_calc!$E$313))=0,"",INDEX('Documents'!$K$4:$K$503,_calc!$E$313))&amp;". ")&amp;IF(LEN(IF(LEN(INDEX('Documents'!$L$4:$L$503,_calc!$E$313))=0,"",INDEX('Documents'!$L$4:$L$503,_calc!$E$313)))=0,"","Contractor email: "&amp;IF(LEN(INDEX('Documents'!$L$4:$L$503,_calc!$E$313))=0,"",INDEX('Documents'!$L$4:$L$503,_calc!$E$313))&amp;". ")&amp;IF(LEN(IF(LEN(INDEX('Documents'!$P$4:$P$503,_calc!$E$313))=0,"",INDEX('Documents'!$P$4:$P$503,_calc!$E$313)))=0,"",IF(LEN(INDEX('Documents'!$P$4:$P$503,_calc!$E$313))=0,"",INDEX('Documents'!$P$4:$P$503,_calc!$E$313)))))</f>
        <v/>
      </c>
      <c r="G311" s="43">
        <f>IF(_calc!$E$313="","",IF(LEN(INDEX('Documents'!$O$4:$O$503,_calc!$E$313))=0,"",INDEX('Documents'!$O$4:$O$503,_calc!$E$313)))</f>
        <v/>
      </c>
      <c r="K311" s="43">
        <f>IF(_calc!$E$313="","",IF(LEN(INDEX('Documents'!$M$4:$M$503,_calc!$E$313))=0,"",INDEX('Documents'!$M$4:$M$503,_calc!$E$313)))</f>
        <v/>
      </c>
    </row>
    <row r="312">
      <c r="A312" s="43">
        <f>IF(_calc!$E$314="","",IF(LEN(INDEX('Documents'!$C$4:$C$503,_calc!$E$314))=0,"",INDEX('Documents'!$C$4:$C$503,_calc!$E$314))&amp;" – "&amp;IF(LEN(INDEX('Documents'!$A$4:$A$503,_calc!$E$314))=0,"",INDEX('Documents'!$A$4:$A$503,_calc!$E$314)))</f>
        <v/>
      </c>
      <c r="B312" s="43">
        <f>IF(_calc!$E$314="","",IF(ISNUMBER(INDEX('Documents'!$F$4:$F$503,_calc!$E$314)),TEXT(INDEX('Documents'!$F$4:$F$503,_calc!$E$314),"yyyy-mm-dd"),""))</f>
        <v/>
      </c>
      <c r="C312" s="43">
        <f>IF(_calc!$E$314="","","Contractor document")</f>
        <v/>
      </c>
      <c r="D312" s="43">
        <f>IF(_calc!$E$314="","",IF(ISNUMBER(INDEX('Documents'!$E$4:$E$503,_calc!$E$314)),TEXT(INDEX('Documents'!$E$4:$E$503,_calc!$E$314),"yyyy-mm-dd"),""))</f>
        <v/>
      </c>
      <c r="E312" s="43">
        <f>IF(_calc!$E$314="","",IF(LEN(INDEX('Documents'!$N$4:$N$503,_calc!$E$314))=0,"",INDEX('Documents'!$N$4:$N$503,_calc!$E$314)))</f>
        <v/>
      </c>
      <c r="F312" s="43">
        <f>IF(_calc!$E$314="","",TRIM(IF(LEN(IF(LEN(INDEX('Documents'!$B$4:$B$503,_calc!$E$314))=0,"",INDEX('Documents'!$B$4:$B$503,_calc!$E$314)))=0,"","Trade: "&amp;IF(LEN(INDEX('Documents'!$B$4:$B$503,_calc!$E$314))=0,"",INDEX('Documents'!$B$4:$B$503,_calc!$E$314))&amp;". ")&amp;IF(LEN(IF(LEN(INDEX('Documents'!$D$4:$D$503,_calc!$E$314))=0,"",INDEX('Documents'!$D$4:$D$503,_calc!$E$314)))=0,"","Ref: "&amp;IF(LEN(INDEX('Documents'!$D$4:$D$503,_calc!$E$314))=0,"",INDEX('Documents'!$D$4:$D$503,_calc!$E$314))&amp;". ")&amp;IF(LEN(IF(LEN(INDEX('Documents'!$K$4:$K$503,_calc!$E$314))=0,"",INDEX('Documents'!$K$4:$K$503,_calc!$E$314)))=0,"","On file: "&amp;IF(LEN(INDEX('Documents'!$K$4:$K$503,_calc!$E$314))=0,"",INDEX('Documents'!$K$4:$K$503,_calc!$E$314))&amp;". ")&amp;IF(LEN(IF(LEN(INDEX('Documents'!$L$4:$L$503,_calc!$E$314))=0,"",INDEX('Documents'!$L$4:$L$503,_calc!$E$314)))=0,"","Contractor email: "&amp;IF(LEN(INDEX('Documents'!$L$4:$L$503,_calc!$E$314))=0,"",INDEX('Documents'!$L$4:$L$503,_calc!$E$314))&amp;". ")&amp;IF(LEN(IF(LEN(INDEX('Documents'!$P$4:$P$503,_calc!$E$314))=0,"",INDEX('Documents'!$P$4:$P$503,_calc!$E$314)))=0,"",IF(LEN(INDEX('Documents'!$P$4:$P$503,_calc!$E$314))=0,"",INDEX('Documents'!$P$4:$P$503,_calc!$E$314)))))</f>
        <v/>
      </c>
      <c r="G312" s="43">
        <f>IF(_calc!$E$314="","",IF(LEN(INDEX('Documents'!$O$4:$O$503,_calc!$E$314))=0,"",INDEX('Documents'!$O$4:$O$503,_calc!$E$314)))</f>
        <v/>
      </c>
      <c r="K312" s="43">
        <f>IF(_calc!$E$314="","",IF(LEN(INDEX('Documents'!$M$4:$M$503,_calc!$E$314))=0,"",INDEX('Documents'!$M$4:$M$503,_calc!$E$314)))</f>
        <v/>
      </c>
    </row>
    <row r="313">
      <c r="A313" s="43">
        <f>IF(_calc!$E$315="","",IF(LEN(INDEX('Documents'!$C$4:$C$503,_calc!$E$315))=0,"",INDEX('Documents'!$C$4:$C$503,_calc!$E$315))&amp;" – "&amp;IF(LEN(INDEX('Documents'!$A$4:$A$503,_calc!$E$315))=0,"",INDEX('Documents'!$A$4:$A$503,_calc!$E$315)))</f>
        <v/>
      </c>
      <c r="B313" s="43">
        <f>IF(_calc!$E$315="","",IF(ISNUMBER(INDEX('Documents'!$F$4:$F$503,_calc!$E$315)),TEXT(INDEX('Documents'!$F$4:$F$503,_calc!$E$315),"yyyy-mm-dd"),""))</f>
        <v/>
      </c>
      <c r="C313" s="43">
        <f>IF(_calc!$E$315="","","Contractor document")</f>
        <v/>
      </c>
      <c r="D313" s="43">
        <f>IF(_calc!$E$315="","",IF(ISNUMBER(INDEX('Documents'!$E$4:$E$503,_calc!$E$315)),TEXT(INDEX('Documents'!$E$4:$E$503,_calc!$E$315),"yyyy-mm-dd"),""))</f>
        <v/>
      </c>
      <c r="E313" s="43">
        <f>IF(_calc!$E$315="","",IF(LEN(INDEX('Documents'!$N$4:$N$503,_calc!$E$315))=0,"",INDEX('Documents'!$N$4:$N$503,_calc!$E$315)))</f>
        <v/>
      </c>
      <c r="F313" s="43">
        <f>IF(_calc!$E$315="","",TRIM(IF(LEN(IF(LEN(INDEX('Documents'!$B$4:$B$503,_calc!$E$315))=0,"",INDEX('Documents'!$B$4:$B$503,_calc!$E$315)))=0,"","Trade: "&amp;IF(LEN(INDEX('Documents'!$B$4:$B$503,_calc!$E$315))=0,"",INDEX('Documents'!$B$4:$B$503,_calc!$E$315))&amp;". ")&amp;IF(LEN(IF(LEN(INDEX('Documents'!$D$4:$D$503,_calc!$E$315))=0,"",INDEX('Documents'!$D$4:$D$503,_calc!$E$315)))=0,"","Ref: "&amp;IF(LEN(INDEX('Documents'!$D$4:$D$503,_calc!$E$315))=0,"",INDEX('Documents'!$D$4:$D$503,_calc!$E$315))&amp;". ")&amp;IF(LEN(IF(LEN(INDEX('Documents'!$K$4:$K$503,_calc!$E$315))=0,"",INDEX('Documents'!$K$4:$K$503,_calc!$E$315)))=0,"","On file: "&amp;IF(LEN(INDEX('Documents'!$K$4:$K$503,_calc!$E$315))=0,"",INDEX('Documents'!$K$4:$K$503,_calc!$E$315))&amp;". ")&amp;IF(LEN(IF(LEN(INDEX('Documents'!$L$4:$L$503,_calc!$E$315))=0,"",INDEX('Documents'!$L$4:$L$503,_calc!$E$315)))=0,"","Contractor email: "&amp;IF(LEN(INDEX('Documents'!$L$4:$L$503,_calc!$E$315))=0,"",INDEX('Documents'!$L$4:$L$503,_calc!$E$315))&amp;". ")&amp;IF(LEN(IF(LEN(INDEX('Documents'!$P$4:$P$503,_calc!$E$315))=0,"",INDEX('Documents'!$P$4:$P$503,_calc!$E$315)))=0,"",IF(LEN(INDEX('Documents'!$P$4:$P$503,_calc!$E$315))=0,"",INDEX('Documents'!$P$4:$P$503,_calc!$E$315)))))</f>
        <v/>
      </c>
      <c r="G313" s="43">
        <f>IF(_calc!$E$315="","",IF(LEN(INDEX('Documents'!$O$4:$O$503,_calc!$E$315))=0,"",INDEX('Documents'!$O$4:$O$503,_calc!$E$315)))</f>
        <v/>
      </c>
      <c r="K313" s="43">
        <f>IF(_calc!$E$315="","",IF(LEN(INDEX('Documents'!$M$4:$M$503,_calc!$E$315))=0,"",INDEX('Documents'!$M$4:$M$503,_calc!$E$315)))</f>
        <v/>
      </c>
    </row>
    <row r="314">
      <c r="A314" s="43">
        <f>IF(_calc!$E$316="","",IF(LEN(INDEX('Documents'!$C$4:$C$503,_calc!$E$316))=0,"",INDEX('Documents'!$C$4:$C$503,_calc!$E$316))&amp;" – "&amp;IF(LEN(INDEX('Documents'!$A$4:$A$503,_calc!$E$316))=0,"",INDEX('Documents'!$A$4:$A$503,_calc!$E$316)))</f>
        <v/>
      </c>
      <c r="B314" s="43">
        <f>IF(_calc!$E$316="","",IF(ISNUMBER(INDEX('Documents'!$F$4:$F$503,_calc!$E$316)),TEXT(INDEX('Documents'!$F$4:$F$503,_calc!$E$316),"yyyy-mm-dd"),""))</f>
        <v/>
      </c>
      <c r="C314" s="43">
        <f>IF(_calc!$E$316="","","Contractor document")</f>
        <v/>
      </c>
      <c r="D314" s="43">
        <f>IF(_calc!$E$316="","",IF(ISNUMBER(INDEX('Documents'!$E$4:$E$503,_calc!$E$316)),TEXT(INDEX('Documents'!$E$4:$E$503,_calc!$E$316),"yyyy-mm-dd"),""))</f>
        <v/>
      </c>
      <c r="E314" s="43">
        <f>IF(_calc!$E$316="","",IF(LEN(INDEX('Documents'!$N$4:$N$503,_calc!$E$316))=0,"",INDEX('Documents'!$N$4:$N$503,_calc!$E$316)))</f>
        <v/>
      </c>
      <c r="F314" s="43">
        <f>IF(_calc!$E$316="","",TRIM(IF(LEN(IF(LEN(INDEX('Documents'!$B$4:$B$503,_calc!$E$316))=0,"",INDEX('Documents'!$B$4:$B$503,_calc!$E$316)))=0,"","Trade: "&amp;IF(LEN(INDEX('Documents'!$B$4:$B$503,_calc!$E$316))=0,"",INDEX('Documents'!$B$4:$B$503,_calc!$E$316))&amp;". ")&amp;IF(LEN(IF(LEN(INDEX('Documents'!$D$4:$D$503,_calc!$E$316))=0,"",INDEX('Documents'!$D$4:$D$503,_calc!$E$316)))=0,"","Ref: "&amp;IF(LEN(INDEX('Documents'!$D$4:$D$503,_calc!$E$316))=0,"",INDEX('Documents'!$D$4:$D$503,_calc!$E$316))&amp;". ")&amp;IF(LEN(IF(LEN(INDEX('Documents'!$K$4:$K$503,_calc!$E$316))=0,"",INDEX('Documents'!$K$4:$K$503,_calc!$E$316)))=0,"","On file: "&amp;IF(LEN(INDEX('Documents'!$K$4:$K$503,_calc!$E$316))=0,"",INDEX('Documents'!$K$4:$K$503,_calc!$E$316))&amp;". ")&amp;IF(LEN(IF(LEN(INDEX('Documents'!$L$4:$L$503,_calc!$E$316))=0,"",INDEX('Documents'!$L$4:$L$503,_calc!$E$316)))=0,"","Contractor email: "&amp;IF(LEN(INDEX('Documents'!$L$4:$L$503,_calc!$E$316))=0,"",INDEX('Documents'!$L$4:$L$503,_calc!$E$316))&amp;". ")&amp;IF(LEN(IF(LEN(INDEX('Documents'!$P$4:$P$503,_calc!$E$316))=0,"",INDEX('Documents'!$P$4:$P$503,_calc!$E$316)))=0,"",IF(LEN(INDEX('Documents'!$P$4:$P$503,_calc!$E$316))=0,"",INDEX('Documents'!$P$4:$P$503,_calc!$E$316)))))</f>
        <v/>
      </c>
      <c r="G314" s="43">
        <f>IF(_calc!$E$316="","",IF(LEN(INDEX('Documents'!$O$4:$O$503,_calc!$E$316))=0,"",INDEX('Documents'!$O$4:$O$503,_calc!$E$316)))</f>
        <v/>
      </c>
      <c r="K314" s="43">
        <f>IF(_calc!$E$316="","",IF(LEN(INDEX('Documents'!$M$4:$M$503,_calc!$E$316))=0,"",INDEX('Documents'!$M$4:$M$503,_calc!$E$316)))</f>
        <v/>
      </c>
    </row>
    <row r="315">
      <c r="A315" s="43">
        <f>IF(_calc!$E$317="","",IF(LEN(INDEX('Documents'!$C$4:$C$503,_calc!$E$317))=0,"",INDEX('Documents'!$C$4:$C$503,_calc!$E$317))&amp;" – "&amp;IF(LEN(INDEX('Documents'!$A$4:$A$503,_calc!$E$317))=0,"",INDEX('Documents'!$A$4:$A$503,_calc!$E$317)))</f>
        <v/>
      </c>
      <c r="B315" s="43">
        <f>IF(_calc!$E$317="","",IF(ISNUMBER(INDEX('Documents'!$F$4:$F$503,_calc!$E$317)),TEXT(INDEX('Documents'!$F$4:$F$503,_calc!$E$317),"yyyy-mm-dd"),""))</f>
        <v/>
      </c>
      <c r="C315" s="43">
        <f>IF(_calc!$E$317="","","Contractor document")</f>
        <v/>
      </c>
      <c r="D315" s="43">
        <f>IF(_calc!$E$317="","",IF(ISNUMBER(INDEX('Documents'!$E$4:$E$503,_calc!$E$317)),TEXT(INDEX('Documents'!$E$4:$E$503,_calc!$E$317),"yyyy-mm-dd"),""))</f>
        <v/>
      </c>
      <c r="E315" s="43">
        <f>IF(_calc!$E$317="","",IF(LEN(INDEX('Documents'!$N$4:$N$503,_calc!$E$317))=0,"",INDEX('Documents'!$N$4:$N$503,_calc!$E$317)))</f>
        <v/>
      </c>
      <c r="F315" s="43">
        <f>IF(_calc!$E$317="","",TRIM(IF(LEN(IF(LEN(INDEX('Documents'!$B$4:$B$503,_calc!$E$317))=0,"",INDEX('Documents'!$B$4:$B$503,_calc!$E$317)))=0,"","Trade: "&amp;IF(LEN(INDEX('Documents'!$B$4:$B$503,_calc!$E$317))=0,"",INDEX('Documents'!$B$4:$B$503,_calc!$E$317))&amp;". ")&amp;IF(LEN(IF(LEN(INDEX('Documents'!$D$4:$D$503,_calc!$E$317))=0,"",INDEX('Documents'!$D$4:$D$503,_calc!$E$317)))=0,"","Ref: "&amp;IF(LEN(INDEX('Documents'!$D$4:$D$503,_calc!$E$317))=0,"",INDEX('Documents'!$D$4:$D$503,_calc!$E$317))&amp;". ")&amp;IF(LEN(IF(LEN(INDEX('Documents'!$K$4:$K$503,_calc!$E$317))=0,"",INDEX('Documents'!$K$4:$K$503,_calc!$E$317)))=0,"","On file: "&amp;IF(LEN(INDEX('Documents'!$K$4:$K$503,_calc!$E$317))=0,"",INDEX('Documents'!$K$4:$K$503,_calc!$E$317))&amp;". ")&amp;IF(LEN(IF(LEN(INDEX('Documents'!$L$4:$L$503,_calc!$E$317))=0,"",INDEX('Documents'!$L$4:$L$503,_calc!$E$317)))=0,"","Contractor email: "&amp;IF(LEN(INDEX('Documents'!$L$4:$L$503,_calc!$E$317))=0,"",INDEX('Documents'!$L$4:$L$503,_calc!$E$317))&amp;". ")&amp;IF(LEN(IF(LEN(INDEX('Documents'!$P$4:$P$503,_calc!$E$317))=0,"",INDEX('Documents'!$P$4:$P$503,_calc!$E$317)))=0,"",IF(LEN(INDEX('Documents'!$P$4:$P$503,_calc!$E$317))=0,"",INDEX('Documents'!$P$4:$P$503,_calc!$E$317)))))</f>
        <v/>
      </c>
      <c r="G315" s="43">
        <f>IF(_calc!$E$317="","",IF(LEN(INDEX('Documents'!$O$4:$O$503,_calc!$E$317))=0,"",INDEX('Documents'!$O$4:$O$503,_calc!$E$317)))</f>
        <v/>
      </c>
      <c r="K315" s="43">
        <f>IF(_calc!$E$317="","",IF(LEN(INDEX('Documents'!$M$4:$M$503,_calc!$E$317))=0,"",INDEX('Documents'!$M$4:$M$503,_calc!$E$317)))</f>
        <v/>
      </c>
    </row>
    <row r="316">
      <c r="A316" s="43">
        <f>IF(_calc!$E$318="","",IF(LEN(INDEX('Documents'!$C$4:$C$503,_calc!$E$318))=0,"",INDEX('Documents'!$C$4:$C$503,_calc!$E$318))&amp;" – "&amp;IF(LEN(INDEX('Documents'!$A$4:$A$503,_calc!$E$318))=0,"",INDEX('Documents'!$A$4:$A$503,_calc!$E$318)))</f>
        <v/>
      </c>
      <c r="B316" s="43">
        <f>IF(_calc!$E$318="","",IF(ISNUMBER(INDEX('Documents'!$F$4:$F$503,_calc!$E$318)),TEXT(INDEX('Documents'!$F$4:$F$503,_calc!$E$318),"yyyy-mm-dd"),""))</f>
        <v/>
      </c>
      <c r="C316" s="43">
        <f>IF(_calc!$E$318="","","Contractor document")</f>
        <v/>
      </c>
      <c r="D316" s="43">
        <f>IF(_calc!$E$318="","",IF(ISNUMBER(INDEX('Documents'!$E$4:$E$503,_calc!$E$318)),TEXT(INDEX('Documents'!$E$4:$E$503,_calc!$E$318),"yyyy-mm-dd"),""))</f>
        <v/>
      </c>
      <c r="E316" s="43">
        <f>IF(_calc!$E$318="","",IF(LEN(INDEX('Documents'!$N$4:$N$503,_calc!$E$318))=0,"",INDEX('Documents'!$N$4:$N$503,_calc!$E$318)))</f>
        <v/>
      </c>
      <c r="F316" s="43">
        <f>IF(_calc!$E$318="","",TRIM(IF(LEN(IF(LEN(INDEX('Documents'!$B$4:$B$503,_calc!$E$318))=0,"",INDEX('Documents'!$B$4:$B$503,_calc!$E$318)))=0,"","Trade: "&amp;IF(LEN(INDEX('Documents'!$B$4:$B$503,_calc!$E$318))=0,"",INDEX('Documents'!$B$4:$B$503,_calc!$E$318))&amp;". ")&amp;IF(LEN(IF(LEN(INDEX('Documents'!$D$4:$D$503,_calc!$E$318))=0,"",INDEX('Documents'!$D$4:$D$503,_calc!$E$318)))=0,"","Ref: "&amp;IF(LEN(INDEX('Documents'!$D$4:$D$503,_calc!$E$318))=0,"",INDEX('Documents'!$D$4:$D$503,_calc!$E$318))&amp;". ")&amp;IF(LEN(IF(LEN(INDEX('Documents'!$K$4:$K$503,_calc!$E$318))=0,"",INDEX('Documents'!$K$4:$K$503,_calc!$E$318)))=0,"","On file: "&amp;IF(LEN(INDEX('Documents'!$K$4:$K$503,_calc!$E$318))=0,"",INDEX('Documents'!$K$4:$K$503,_calc!$E$318))&amp;". ")&amp;IF(LEN(IF(LEN(INDEX('Documents'!$L$4:$L$503,_calc!$E$318))=0,"",INDEX('Documents'!$L$4:$L$503,_calc!$E$318)))=0,"","Contractor email: "&amp;IF(LEN(INDEX('Documents'!$L$4:$L$503,_calc!$E$318))=0,"",INDEX('Documents'!$L$4:$L$503,_calc!$E$318))&amp;". ")&amp;IF(LEN(IF(LEN(INDEX('Documents'!$P$4:$P$503,_calc!$E$318))=0,"",INDEX('Documents'!$P$4:$P$503,_calc!$E$318)))=0,"",IF(LEN(INDEX('Documents'!$P$4:$P$503,_calc!$E$318))=0,"",INDEX('Documents'!$P$4:$P$503,_calc!$E$318)))))</f>
        <v/>
      </c>
      <c r="G316" s="43">
        <f>IF(_calc!$E$318="","",IF(LEN(INDEX('Documents'!$O$4:$O$503,_calc!$E$318))=0,"",INDEX('Documents'!$O$4:$O$503,_calc!$E$318)))</f>
        <v/>
      </c>
      <c r="K316" s="43">
        <f>IF(_calc!$E$318="","",IF(LEN(INDEX('Documents'!$M$4:$M$503,_calc!$E$318))=0,"",INDEX('Documents'!$M$4:$M$503,_calc!$E$318)))</f>
        <v/>
      </c>
    </row>
    <row r="317">
      <c r="A317" s="43">
        <f>IF(_calc!$E$319="","",IF(LEN(INDEX('Documents'!$C$4:$C$503,_calc!$E$319))=0,"",INDEX('Documents'!$C$4:$C$503,_calc!$E$319))&amp;" – "&amp;IF(LEN(INDEX('Documents'!$A$4:$A$503,_calc!$E$319))=0,"",INDEX('Documents'!$A$4:$A$503,_calc!$E$319)))</f>
        <v/>
      </c>
      <c r="B317" s="43">
        <f>IF(_calc!$E$319="","",IF(ISNUMBER(INDEX('Documents'!$F$4:$F$503,_calc!$E$319)),TEXT(INDEX('Documents'!$F$4:$F$503,_calc!$E$319),"yyyy-mm-dd"),""))</f>
        <v/>
      </c>
      <c r="C317" s="43">
        <f>IF(_calc!$E$319="","","Contractor document")</f>
        <v/>
      </c>
      <c r="D317" s="43">
        <f>IF(_calc!$E$319="","",IF(ISNUMBER(INDEX('Documents'!$E$4:$E$503,_calc!$E$319)),TEXT(INDEX('Documents'!$E$4:$E$503,_calc!$E$319),"yyyy-mm-dd"),""))</f>
        <v/>
      </c>
      <c r="E317" s="43">
        <f>IF(_calc!$E$319="","",IF(LEN(INDEX('Documents'!$N$4:$N$503,_calc!$E$319))=0,"",INDEX('Documents'!$N$4:$N$503,_calc!$E$319)))</f>
        <v/>
      </c>
      <c r="F317" s="43">
        <f>IF(_calc!$E$319="","",TRIM(IF(LEN(IF(LEN(INDEX('Documents'!$B$4:$B$503,_calc!$E$319))=0,"",INDEX('Documents'!$B$4:$B$503,_calc!$E$319)))=0,"","Trade: "&amp;IF(LEN(INDEX('Documents'!$B$4:$B$503,_calc!$E$319))=0,"",INDEX('Documents'!$B$4:$B$503,_calc!$E$319))&amp;". ")&amp;IF(LEN(IF(LEN(INDEX('Documents'!$D$4:$D$503,_calc!$E$319))=0,"",INDEX('Documents'!$D$4:$D$503,_calc!$E$319)))=0,"","Ref: "&amp;IF(LEN(INDEX('Documents'!$D$4:$D$503,_calc!$E$319))=0,"",INDEX('Documents'!$D$4:$D$503,_calc!$E$319))&amp;". ")&amp;IF(LEN(IF(LEN(INDEX('Documents'!$K$4:$K$503,_calc!$E$319))=0,"",INDEX('Documents'!$K$4:$K$503,_calc!$E$319)))=0,"","On file: "&amp;IF(LEN(INDEX('Documents'!$K$4:$K$503,_calc!$E$319))=0,"",INDEX('Documents'!$K$4:$K$503,_calc!$E$319))&amp;". ")&amp;IF(LEN(IF(LEN(INDEX('Documents'!$L$4:$L$503,_calc!$E$319))=0,"",INDEX('Documents'!$L$4:$L$503,_calc!$E$319)))=0,"","Contractor email: "&amp;IF(LEN(INDEX('Documents'!$L$4:$L$503,_calc!$E$319))=0,"",INDEX('Documents'!$L$4:$L$503,_calc!$E$319))&amp;". ")&amp;IF(LEN(IF(LEN(INDEX('Documents'!$P$4:$P$503,_calc!$E$319))=0,"",INDEX('Documents'!$P$4:$P$503,_calc!$E$319)))=0,"",IF(LEN(INDEX('Documents'!$P$4:$P$503,_calc!$E$319))=0,"",INDEX('Documents'!$P$4:$P$503,_calc!$E$319)))))</f>
        <v/>
      </c>
      <c r="G317" s="43">
        <f>IF(_calc!$E$319="","",IF(LEN(INDEX('Documents'!$O$4:$O$503,_calc!$E$319))=0,"",INDEX('Documents'!$O$4:$O$503,_calc!$E$319)))</f>
        <v/>
      </c>
      <c r="K317" s="43">
        <f>IF(_calc!$E$319="","",IF(LEN(INDEX('Documents'!$M$4:$M$503,_calc!$E$319))=0,"",INDEX('Documents'!$M$4:$M$503,_calc!$E$319)))</f>
        <v/>
      </c>
    </row>
    <row r="318">
      <c r="A318" s="43">
        <f>IF(_calc!$E$320="","",IF(LEN(INDEX('Documents'!$C$4:$C$503,_calc!$E$320))=0,"",INDEX('Documents'!$C$4:$C$503,_calc!$E$320))&amp;" – "&amp;IF(LEN(INDEX('Documents'!$A$4:$A$503,_calc!$E$320))=0,"",INDEX('Documents'!$A$4:$A$503,_calc!$E$320)))</f>
        <v/>
      </c>
      <c r="B318" s="43">
        <f>IF(_calc!$E$320="","",IF(ISNUMBER(INDEX('Documents'!$F$4:$F$503,_calc!$E$320)),TEXT(INDEX('Documents'!$F$4:$F$503,_calc!$E$320),"yyyy-mm-dd"),""))</f>
        <v/>
      </c>
      <c r="C318" s="43">
        <f>IF(_calc!$E$320="","","Contractor document")</f>
        <v/>
      </c>
      <c r="D318" s="43">
        <f>IF(_calc!$E$320="","",IF(ISNUMBER(INDEX('Documents'!$E$4:$E$503,_calc!$E$320)),TEXT(INDEX('Documents'!$E$4:$E$503,_calc!$E$320),"yyyy-mm-dd"),""))</f>
        <v/>
      </c>
      <c r="E318" s="43">
        <f>IF(_calc!$E$320="","",IF(LEN(INDEX('Documents'!$N$4:$N$503,_calc!$E$320))=0,"",INDEX('Documents'!$N$4:$N$503,_calc!$E$320)))</f>
        <v/>
      </c>
      <c r="F318" s="43">
        <f>IF(_calc!$E$320="","",TRIM(IF(LEN(IF(LEN(INDEX('Documents'!$B$4:$B$503,_calc!$E$320))=0,"",INDEX('Documents'!$B$4:$B$503,_calc!$E$320)))=0,"","Trade: "&amp;IF(LEN(INDEX('Documents'!$B$4:$B$503,_calc!$E$320))=0,"",INDEX('Documents'!$B$4:$B$503,_calc!$E$320))&amp;". ")&amp;IF(LEN(IF(LEN(INDEX('Documents'!$D$4:$D$503,_calc!$E$320))=0,"",INDEX('Documents'!$D$4:$D$503,_calc!$E$320)))=0,"","Ref: "&amp;IF(LEN(INDEX('Documents'!$D$4:$D$503,_calc!$E$320))=0,"",INDEX('Documents'!$D$4:$D$503,_calc!$E$320))&amp;". ")&amp;IF(LEN(IF(LEN(INDEX('Documents'!$K$4:$K$503,_calc!$E$320))=0,"",INDEX('Documents'!$K$4:$K$503,_calc!$E$320)))=0,"","On file: "&amp;IF(LEN(INDEX('Documents'!$K$4:$K$503,_calc!$E$320))=0,"",INDEX('Documents'!$K$4:$K$503,_calc!$E$320))&amp;". ")&amp;IF(LEN(IF(LEN(INDEX('Documents'!$L$4:$L$503,_calc!$E$320))=0,"",INDEX('Documents'!$L$4:$L$503,_calc!$E$320)))=0,"","Contractor email: "&amp;IF(LEN(INDEX('Documents'!$L$4:$L$503,_calc!$E$320))=0,"",INDEX('Documents'!$L$4:$L$503,_calc!$E$320))&amp;". ")&amp;IF(LEN(IF(LEN(INDEX('Documents'!$P$4:$P$503,_calc!$E$320))=0,"",INDEX('Documents'!$P$4:$P$503,_calc!$E$320)))=0,"",IF(LEN(INDEX('Documents'!$P$4:$P$503,_calc!$E$320))=0,"",INDEX('Documents'!$P$4:$P$503,_calc!$E$320)))))</f>
        <v/>
      </c>
      <c r="G318" s="43">
        <f>IF(_calc!$E$320="","",IF(LEN(INDEX('Documents'!$O$4:$O$503,_calc!$E$320))=0,"",INDEX('Documents'!$O$4:$O$503,_calc!$E$320)))</f>
        <v/>
      </c>
      <c r="K318" s="43">
        <f>IF(_calc!$E$320="","",IF(LEN(INDEX('Documents'!$M$4:$M$503,_calc!$E$320))=0,"",INDEX('Documents'!$M$4:$M$503,_calc!$E$320)))</f>
        <v/>
      </c>
    </row>
    <row r="319">
      <c r="A319" s="43">
        <f>IF(_calc!$E$321="","",IF(LEN(INDEX('Documents'!$C$4:$C$503,_calc!$E$321))=0,"",INDEX('Documents'!$C$4:$C$503,_calc!$E$321))&amp;" – "&amp;IF(LEN(INDEX('Documents'!$A$4:$A$503,_calc!$E$321))=0,"",INDEX('Documents'!$A$4:$A$503,_calc!$E$321)))</f>
        <v/>
      </c>
      <c r="B319" s="43">
        <f>IF(_calc!$E$321="","",IF(ISNUMBER(INDEX('Documents'!$F$4:$F$503,_calc!$E$321)),TEXT(INDEX('Documents'!$F$4:$F$503,_calc!$E$321),"yyyy-mm-dd"),""))</f>
        <v/>
      </c>
      <c r="C319" s="43">
        <f>IF(_calc!$E$321="","","Contractor document")</f>
        <v/>
      </c>
      <c r="D319" s="43">
        <f>IF(_calc!$E$321="","",IF(ISNUMBER(INDEX('Documents'!$E$4:$E$503,_calc!$E$321)),TEXT(INDEX('Documents'!$E$4:$E$503,_calc!$E$321),"yyyy-mm-dd"),""))</f>
        <v/>
      </c>
      <c r="E319" s="43">
        <f>IF(_calc!$E$321="","",IF(LEN(INDEX('Documents'!$N$4:$N$503,_calc!$E$321))=0,"",INDEX('Documents'!$N$4:$N$503,_calc!$E$321)))</f>
        <v/>
      </c>
      <c r="F319" s="43">
        <f>IF(_calc!$E$321="","",TRIM(IF(LEN(IF(LEN(INDEX('Documents'!$B$4:$B$503,_calc!$E$321))=0,"",INDEX('Documents'!$B$4:$B$503,_calc!$E$321)))=0,"","Trade: "&amp;IF(LEN(INDEX('Documents'!$B$4:$B$503,_calc!$E$321))=0,"",INDEX('Documents'!$B$4:$B$503,_calc!$E$321))&amp;". ")&amp;IF(LEN(IF(LEN(INDEX('Documents'!$D$4:$D$503,_calc!$E$321))=0,"",INDEX('Documents'!$D$4:$D$503,_calc!$E$321)))=0,"","Ref: "&amp;IF(LEN(INDEX('Documents'!$D$4:$D$503,_calc!$E$321))=0,"",INDEX('Documents'!$D$4:$D$503,_calc!$E$321))&amp;". ")&amp;IF(LEN(IF(LEN(INDEX('Documents'!$K$4:$K$503,_calc!$E$321))=0,"",INDEX('Documents'!$K$4:$K$503,_calc!$E$321)))=0,"","On file: "&amp;IF(LEN(INDEX('Documents'!$K$4:$K$503,_calc!$E$321))=0,"",INDEX('Documents'!$K$4:$K$503,_calc!$E$321))&amp;". ")&amp;IF(LEN(IF(LEN(INDEX('Documents'!$L$4:$L$503,_calc!$E$321))=0,"",INDEX('Documents'!$L$4:$L$503,_calc!$E$321)))=0,"","Contractor email: "&amp;IF(LEN(INDEX('Documents'!$L$4:$L$503,_calc!$E$321))=0,"",INDEX('Documents'!$L$4:$L$503,_calc!$E$321))&amp;". ")&amp;IF(LEN(IF(LEN(INDEX('Documents'!$P$4:$P$503,_calc!$E$321))=0,"",INDEX('Documents'!$P$4:$P$503,_calc!$E$321)))=0,"",IF(LEN(INDEX('Documents'!$P$4:$P$503,_calc!$E$321))=0,"",INDEX('Documents'!$P$4:$P$503,_calc!$E$321)))))</f>
        <v/>
      </c>
      <c r="G319" s="43">
        <f>IF(_calc!$E$321="","",IF(LEN(INDEX('Documents'!$O$4:$O$503,_calc!$E$321))=0,"",INDEX('Documents'!$O$4:$O$503,_calc!$E$321)))</f>
        <v/>
      </c>
      <c r="K319" s="43">
        <f>IF(_calc!$E$321="","",IF(LEN(INDEX('Documents'!$M$4:$M$503,_calc!$E$321))=0,"",INDEX('Documents'!$M$4:$M$503,_calc!$E$321)))</f>
        <v/>
      </c>
    </row>
    <row r="320">
      <c r="A320" s="43">
        <f>IF(_calc!$E$322="","",IF(LEN(INDEX('Documents'!$C$4:$C$503,_calc!$E$322))=0,"",INDEX('Documents'!$C$4:$C$503,_calc!$E$322))&amp;" – "&amp;IF(LEN(INDEX('Documents'!$A$4:$A$503,_calc!$E$322))=0,"",INDEX('Documents'!$A$4:$A$503,_calc!$E$322)))</f>
        <v/>
      </c>
      <c r="B320" s="43">
        <f>IF(_calc!$E$322="","",IF(ISNUMBER(INDEX('Documents'!$F$4:$F$503,_calc!$E$322)),TEXT(INDEX('Documents'!$F$4:$F$503,_calc!$E$322),"yyyy-mm-dd"),""))</f>
        <v/>
      </c>
      <c r="C320" s="43">
        <f>IF(_calc!$E$322="","","Contractor document")</f>
        <v/>
      </c>
      <c r="D320" s="43">
        <f>IF(_calc!$E$322="","",IF(ISNUMBER(INDEX('Documents'!$E$4:$E$503,_calc!$E$322)),TEXT(INDEX('Documents'!$E$4:$E$503,_calc!$E$322),"yyyy-mm-dd"),""))</f>
        <v/>
      </c>
      <c r="E320" s="43">
        <f>IF(_calc!$E$322="","",IF(LEN(INDEX('Documents'!$N$4:$N$503,_calc!$E$322))=0,"",INDEX('Documents'!$N$4:$N$503,_calc!$E$322)))</f>
        <v/>
      </c>
      <c r="F320" s="43">
        <f>IF(_calc!$E$322="","",TRIM(IF(LEN(IF(LEN(INDEX('Documents'!$B$4:$B$503,_calc!$E$322))=0,"",INDEX('Documents'!$B$4:$B$503,_calc!$E$322)))=0,"","Trade: "&amp;IF(LEN(INDEX('Documents'!$B$4:$B$503,_calc!$E$322))=0,"",INDEX('Documents'!$B$4:$B$503,_calc!$E$322))&amp;". ")&amp;IF(LEN(IF(LEN(INDEX('Documents'!$D$4:$D$503,_calc!$E$322))=0,"",INDEX('Documents'!$D$4:$D$503,_calc!$E$322)))=0,"","Ref: "&amp;IF(LEN(INDEX('Documents'!$D$4:$D$503,_calc!$E$322))=0,"",INDEX('Documents'!$D$4:$D$503,_calc!$E$322))&amp;". ")&amp;IF(LEN(IF(LEN(INDEX('Documents'!$K$4:$K$503,_calc!$E$322))=0,"",INDEX('Documents'!$K$4:$K$503,_calc!$E$322)))=0,"","On file: "&amp;IF(LEN(INDEX('Documents'!$K$4:$K$503,_calc!$E$322))=0,"",INDEX('Documents'!$K$4:$K$503,_calc!$E$322))&amp;". ")&amp;IF(LEN(IF(LEN(INDEX('Documents'!$L$4:$L$503,_calc!$E$322))=0,"",INDEX('Documents'!$L$4:$L$503,_calc!$E$322)))=0,"","Contractor email: "&amp;IF(LEN(INDEX('Documents'!$L$4:$L$503,_calc!$E$322))=0,"",INDEX('Documents'!$L$4:$L$503,_calc!$E$322))&amp;". ")&amp;IF(LEN(IF(LEN(INDEX('Documents'!$P$4:$P$503,_calc!$E$322))=0,"",INDEX('Documents'!$P$4:$P$503,_calc!$E$322)))=0,"",IF(LEN(INDEX('Documents'!$P$4:$P$503,_calc!$E$322))=0,"",INDEX('Documents'!$P$4:$P$503,_calc!$E$322)))))</f>
        <v/>
      </c>
      <c r="G320" s="43">
        <f>IF(_calc!$E$322="","",IF(LEN(INDEX('Documents'!$O$4:$O$503,_calc!$E$322))=0,"",INDEX('Documents'!$O$4:$O$503,_calc!$E$322)))</f>
        <v/>
      </c>
      <c r="K320" s="43">
        <f>IF(_calc!$E$322="","",IF(LEN(INDEX('Documents'!$M$4:$M$503,_calc!$E$322))=0,"",INDEX('Documents'!$M$4:$M$503,_calc!$E$322)))</f>
        <v/>
      </c>
    </row>
    <row r="321">
      <c r="A321" s="43">
        <f>IF(_calc!$E$323="","",IF(LEN(INDEX('Documents'!$C$4:$C$503,_calc!$E$323))=0,"",INDEX('Documents'!$C$4:$C$503,_calc!$E$323))&amp;" – "&amp;IF(LEN(INDEX('Documents'!$A$4:$A$503,_calc!$E$323))=0,"",INDEX('Documents'!$A$4:$A$503,_calc!$E$323)))</f>
        <v/>
      </c>
      <c r="B321" s="43">
        <f>IF(_calc!$E$323="","",IF(ISNUMBER(INDEX('Documents'!$F$4:$F$503,_calc!$E$323)),TEXT(INDEX('Documents'!$F$4:$F$503,_calc!$E$323),"yyyy-mm-dd"),""))</f>
        <v/>
      </c>
      <c r="C321" s="43">
        <f>IF(_calc!$E$323="","","Contractor document")</f>
        <v/>
      </c>
      <c r="D321" s="43">
        <f>IF(_calc!$E$323="","",IF(ISNUMBER(INDEX('Documents'!$E$4:$E$503,_calc!$E$323)),TEXT(INDEX('Documents'!$E$4:$E$503,_calc!$E$323),"yyyy-mm-dd"),""))</f>
        <v/>
      </c>
      <c r="E321" s="43">
        <f>IF(_calc!$E$323="","",IF(LEN(INDEX('Documents'!$N$4:$N$503,_calc!$E$323))=0,"",INDEX('Documents'!$N$4:$N$503,_calc!$E$323)))</f>
        <v/>
      </c>
      <c r="F321" s="43">
        <f>IF(_calc!$E$323="","",TRIM(IF(LEN(IF(LEN(INDEX('Documents'!$B$4:$B$503,_calc!$E$323))=0,"",INDEX('Documents'!$B$4:$B$503,_calc!$E$323)))=0,"","Trade: "&amp;IF(LEN(INDEX('Documents'!$B$4:$B$503,_calc!$E$323))=0,"",INDEX('Documents'!$B$4:$B$503,_calc!$E$323))&amp;". ")&amp;IF(LEN(IF(LEN(INDEX('Documents'!$D$4:$D$503,_calc!$E$323))=0,"",INDEX('Documents'!$D$4:$D$503,_calc!$E$323)))=0,"","Ref: "&amp;IF(LEN(INDEX('Documents'!$D$4:$D$503,_calc!$E$323))=0,"",INDEX('Documents'!$D$4:$D$503,_calc!$E$323))&amp;". ")&amp;IF(LEN(IF(LEN(INDEX('Documents'!$K$4:$K$503,_calc!$E$323))=0,"",INDEX('Documents'!$K$4:$K$503,_calc!$E$323)))=0,"","On file: "&amp;IF(LEN(INDEX('Documents'!$K$4:$K$503,_calc!$E$323))=0,"",INDEX('Documents'!$K$4:$K$503,_calc!$E$323))&amp;". ")&amp;IF(LEN(IF(LEN(INDEX('Documents'!$L$4:$L$503,_calc!$E$323))=0,"",INDEX('Documents'!$L$4:$L$503,_calc!$E$323)))=0,"","Contractor email: "&amp;IF(LEN(INDEX('Documents'!$L$4:$L$503,_calc!$E$323))=0,"",INDEX('Documents'!$L$4:$L$503,_calc!$E$323))&amp;". ")&amp;IF(LEN(IF(LEN(INDEX('Documents'!$P$4:$P$503,_calc!$E$323))=0,"",INDEX('Documents'!$P$4:$P$503,_calc!$E$323)))=0,"",IF(LEN(INDEX('Documents'!$P$4:$P$503,_calc!$E$323))=0,"",INDEX('Documents'!$P$4:$P$503,_calc!$E$323)))))</f>
        <v/>
      </c>
      <c r="G321" s="43">
        <f>IF(_calc!$E$323="","",IF(LEN(INDEX('Documents'!$O$4:$O$503,_calc!$E$323))=0,"",INDEX('Documents'!$O$4:$O$503,_calc!$E$323)))</f>
        <v/>
      </c>
      <c r="K321" s="43">
        <f>IF(_calc!$E$323="","",IF(LEN(INDEX('Documents'!$M$4:$M$503,_calc!$E$323))=0,"",INDEX('Documents'!$M$4:$M$503,_calc!$E$323)))</f>
        <v/>
      </c>
    </row>
    <row r="322">
      <c r="A322" s="43">
        <f>IF(_calc!$E$324="","",IF(LEN(INDEX('Documents'!$C$4:$C$503,_calc!$E$324))=0,"",INDEX('Documents'!$C$4:$C$503,_calc!$E$324))&amp;" – "&amp;IF(LEN(INDEX('Documents'!$A$4:$A$503,_calc!$E$324))=0,"",INDEX('Documents'!$A$4:$A$503,_calc!$E$324)))</f>
        <v/>
      </c>
      <c r="B322" s="43">
        <f>IF(_calc!$E$324="","",IF(ISNUMBER(INDEX('Documents'!$F$4:$F$503,_calc!$E$324)),TEXT(INDEX('Documents'!$F$4:$F$503,_calc!$E$324),"yyyy-mm-dd"),""))</f>
        <v/>
      </c>
      <c r="C322" s="43">
        <f>IF(_calc!$E$324="","","Contractor document")</f>
        <v/>
      </c>
      <c r="D322" s="43">
        <f>IF(_calc!$E$324="","",IF(ISNUMBER(INDEX('Documents'!$E$4:$E$503,_calc!$E$324)),TEXT(INDEX('Documents'!$E$4:$E$503,_calc!$E$324),"yyyy-mm-dd"),""))</f>
        <v/>
      </c>
      <c r="E322" s="43">
        <f>IF(_calc!$E$324="","",IF(LEN(INDEX('Documents'!$N$4:$N$503,_calc!$E$324))=0,"",INDEX('Documents'!$N$4:$N$503,_calc!$E$324)))</f>
        <v/>
      </c>
      <c r="F322" s="43">
        <f>IF(_calc!$E$324="","",TRIM(IF(LEN(IF(LEN(INDEX('Documents'!$B$4:$B$503,_calc!$E$324))=0,"",INDEX('Documents'!$B$4:$B$503,_calc!$E$324)))=0,"","Trade: "&amp;IF(LEN(INDEX('Documents'!$B$4:$B$503,_calc!$E$324))=0,"",INDEX('Documents'!$B$4:$B$503,_calc!$E$324))&amp;". ")&amp;IF(LEN(IF(LEN(INDEX('Documents'!$D$4:$D$503,_calc!$E$324))=0,"",INDEX('Documents'!$D$4:$D$503,_calc!$E$324)))=0,"","Ref: "&amp;IF(LEN(INDEX('Documents'!$D$4:$D$503,_calc!$E$324))=0,"",INDEX('Documents'!$D$4:$D$503,_calc!$E$324))&amp;". ")&amp;IF(LEN(IF(LEN(INDEX('Documents'!$K$4:$K$503,_calc!$E$324))=0,"",INDEX('Documents'!$K$4:$K$503,_calc!$E$324)))=0,"","On file: "&amp;IF(LEN(INDEX('Documents'!$K$4:$K$503,_calc!$E$324))=0,"",INDEX('Documents'!$K$4:$K$503,_calc!$E$324))&amp;". ")&amp;IF(LEN(IF(LEN(INDEX('Documents'!$L$4:$L$503,_calc!$E$324))=0,"",INDEX('Documents'!$L$4:$L$503,_calc!$E$324)))=0,"","Contractor email: "&amp;IF(LEN(INDEX('Documents'!$L$4:$L$503,_calc!$E$324))=0,"",INDEX('Documents'!$L$4:$L$503,_calc!$E$324))&amp;". ")&amp;IF(LEN(IF(LEN(INDEX('Documents'!$P$4:$P$503,_calc!$E$324))=0,"",INDEX('Documents'!$P$4:$P$503,_calc!$E$324)))=0,"",IF(LEN(INDEX('Documents'!$P$4:$P$503,_calc!$E$324))=0,"",INDEX('Documents'!$P$4:$P$503,_calc!$E$324)))))</f>
        <v/>
      </c>
      <c r="G322" s="43">
        <f>IF(_calc!$E$324="","",IF(LEN(INDEX('Documents'!$O$4:$O$503,_calc!$E$324))=0,"",INDEX('Documents'!$O$4:$O$503,_calc!$E$324)))</f>
        <v/>
      </c>
      <c r="K322" s="43">
        <f>IF(_calc!$E$324="","",IF(LEN(INDEX('Documents'!$M$4:$M$503,_calc!$E$324))=0,"",INDEX('Documents'!$M$4:$M$503,_calc!$E$324)))</f>
        <v/>
      </c>
    </row>
    <row r="323">
      <c r="A323" s="43">
        <f>IF(_calc!$E$325="","",IF(LEN(INDEX('Documents'!$C$4:$C$503,_calc!$E$325))=0,"",INDEX('Documents'!$C$4:$C$503,_calc!$E$325))&amp;" – "&amp;IF(LEN(INDEX('Documents'!$A$4:$A$503,_calc!$E$325))=0,"",INDEX('Documents'!$A$4:$A$503,_calc!$E$325)))</f>
        <v/>
      </c>
      <c r="B323" s="43">
        <f>IF(_calc!$E$325="","",IF(ISNUMBER(INDEX('Documents'!$F$4:$F$503,_calc!$E$325)),TEXT(INDEX('Documents'!$F$4:$F$503,_calc!$E$325),"yyyy-mm-dd"),""))</f>
        <v/>
      </c>
      <c r="C323" s="43">
        <f>IF(_calc!$E$325="","","Contractor document")</f>
        <v/>
      </c>
      <c r="D323" s="43">
        <f>IF(_calc!$E$325="","",IF(ISNUMBER(INDEX('Documents'!$E$4:$E$503,_calc!$E$325)),TEXT(INDEX('Documents'!$E$4:$E$503,_calc!$E$325),"yyyy-mm-dd"),""))</f>
        <v/>
      </c>
      <c r="E323" s="43">
        <f>IF(_calc!$E$325="","",IF(LEN(INDEX('Documents'!$N$4:$N$503,_calc!$E$325))=0,"",INDEX('Documents'!$N$4:$N$503,_calc!$E$325)))</f>
        <v/>
      </c>
      <c r="F323" s="43">
        <f>IF(_calc!$E$325="","",TRIM(IF(LEN(IF(LEN(INDEX('Documents'!$B$4:$B$503,_calc!$E$325))=0,"",INDEX('Documents'!$B$4:$B$503,_calc!$E$325)))=0,"","Trade: "&amp;IF(LEN(INDEX('Documents'!$B$4:$B$503,_calc!$E$325))=0,"",INDEX('Documents'!$B$4:$B$503,_calc!$E$325))&amp;". ")&amp;IF(LEN(IF(LEN(INDEX('Documents'!$D$4:$D$503,_calc!$E$325))=0,"",INDEX('Documents'!$D$4:$D$503,_calc!$E$325)))=0,"","Ref: "&amp;IF(LEN(INDEX('Documents'!$D$4:$D$503,_calc!$E$325))=0,"",INDEX('Documents'!$D$4:$D$503,_calc!$E$325))&amp;". ")&amp;IF(LEN(IF(LEN(INDEX('Documents'!$K$4:$K$503,_calc!$E$325))=0,"",INDEX('Documents'!$K$4:$K$503,_calc!$E$325)))=0,"","On file: "&amp;IF(LEN(INDEX('Documents'!$K$4:$K$503,_calc!$E$325))=0,"",INDEX('Documents'!$K$4:$K$503,_calc!$E$325))&amp;". ")&amp;IF(LEN(IF(LEN(INDEX('Documents'!$L$4:$L$503,_calc!$E$325))=0,"",INDEX('Documents'!$L$4:$L$503,_calc!$E$325)))=0,"","Contractor email: "&amp;IF(LEN(INDEX('Documents'!$L$4:$L$503,_calc!$E$325))=0,"",INDEX('Documents'!$L$4:$L$503,_calc!$E$325))&amp;". ")&amp;IF(LEN(IF(LEN(INDEX('Documents'!$P$4:$P$503,_calc!$E$325))=0,"",INDEX('Documents'!$P$4:$P$503,_calc!$E$325)))=0,"",IF(LEN(INDEX('Documents'!$P$4:$P$503,_calc!$E$325))=0,"",INDEX('Documents'!$P$4:$P$503,_calc!$E$325)))))</f>
        <v/>
      </c>
      <c r="G323" s="43">
        <f>IF(_calc!$E$325="","",IF(LEN(INDEX('Documents'!$O$4:$O$503,_calc!$E$325))=0,"",INDEX('Documents'!$O$4:$O$503,_calc!$E$325)))</f>
        <v/>
      </c>
      <c r="K323" s="43">
        <f>IF(_calc!$E$325="","",IF(LEN(INDEX('Documents'!$M$4:$M$503,_calc!$E$325))=0,"",INDEX('Documents'!$M$4:$M$503,_calc!$E$325)))</f>
        <v/>
      </c>
    </row>
    <row r="324">
      <c r="A324" s="43">
        <f>IF(_calc!$E$326="","",IF(LEN(INDEX('Documents'!$C$4:$C$503,_calc!$E$326))=0,"",INDEX('Documents'!$C$4:$C$503,_calc!$E$326))&amp;" – "&amp;IF(LEN(INDEX('Documents'!$A$4:$A$503,_calc!$E$326))=0,"",INDEX('Documents'!$A$4:$A$503,_calc!$E$326)))</f>
        <v/>
      </c>
      <c r="B324" s="43">
        <f>IF(_calc!$E$326="","",IF(ISNUMBER(INDEX('Documents'!$F$4:$F$503,_calc!$E$326)),TEXT(INDEX('Documents'!$F$4:$F$503,_calc!$E$326),"yyyy-mm-dd"),""))</f>
        <v/>
      </c>
      <c r="C324" s="43">
        <f>IF(_calc!$E$326="","","Contractor document")</f>
        <v/>
      </c>
      <c r="D324" s="43">
        <f>IF(_calc!$E$326="","",IF(ISNUMBER(INDEX('Documents'!$E$4:$E$503,_calc!$E$326)),TEXT(INDEX('Documents'!$E$4:$E$503,_calc!$E$326),"yyyy-mm-dd"),""))</f>
        <v/>
      </c>
      <c r="E324" s="43">
        <f>IF(_calc!$E$326="","",IF(LEN(INDEX('Documents'!$N$4:$N$503,_calc!$E$326))=0,"",INDEX('Documents'!$N$4:$N$503,_calc!$E$326)))</f>
        <v/>
      </c>
      <c r="F324" s="43">
        <f>IF(_calc!$E$326="","",TRIM(IF(LEN(IF(LEN(INDEX('Documents'!$B$4:$B$503,_calc!$E$326))=0,"",INDEX('Documents'!$B$4:$B$503,_calc!$E$326)))=0,"","Trade: "&amp;IF(LEN(INDEX('Documents'!$B$4:$B$503,_calc!$E$326))=0,"",INDEX('Documents'!$B$4:$B$503,_calc!$E$326))&amp;". ")&amp;IF(LEN(IF(LEN(INDEX('Documents'!$D$4:$D$503,_calc!$E$326))=0,"",INDEX('Documents'!$D$4:$D$503,_calc!$E$326)))=0,"","Ref: "&amp;IF(LEN(INDEX('Documents'!$D$4:$D$503,_calc!$E$326))=0,"",INDEX('Documents'!$D$4:$D$503,_calc!$E$326))&amp;". ")&amp;IF(LEN(IF(LEN(INDEX('Documents'!$K$4:$K$503,_calc!$E$326))=0,"",INDEX('Documents'!$K$4:$K$503,_calc!$E$326)))=0,"","On file: "&amp;IF(LEN(INDEX('Documents'!$K$4:$K$503,_calc!$E$326))=0,"",INDEX('Documents'!$K$4:$K$503,_calc!$E$326))&amp;". ")&amp;IF(LEN(IF(LEN(INDEX('Documents'!$L$4:$L$503,_calc!$E$326))=0,"",INDEX('Documents'!$L$4:$L$503,_calc!$E$326)))=0,"","Contractor email: "&amp;IF(LEN(INDEX('Documents'!$L$4:$L$503,_calc!$E$326))=0,"",INDEX('Documents'!$L$4:$L$503,_calc!$E$326))&amp;". ")&amp;IF(LEN(IF(LEN(INDEX('Documents'!$P$4:$P$503,_calc!$E$326))=0,"",INDEX('Documents'!$P$4:$P$503,_calc!$E$326)))=0,"",IF(LEN(INDEX('Documents'!$P$4:$P$503,_calc!$E$326))=0,"",INDEX('Documents'!$P$4:$P$503,_calc!$E$326)))))</f>
        <v/>
      </c>
      <c r="G324" s="43">
        <f>IF(_calc!$E$326="","",IF(LEN(INDEX('Documents'!$O$4:$O$503,_calc!$E$326))=0,"",INDEX('Documents'!$O$4:$O$503,_calc!$E$326)))</f>
        <v/>
      </c>
      <c r="K324" s="43">
        <f>IF(_calc!$E$326="","",IF(LEN(INDEX('Documents'!$M$4:$M$503,_calc!$E$326))=0,"",INDEX('Documents'!$M$4:$M$503,_calc!$E$326)))</f>
        <v/>
      </c>
    </row>
    <row r="325">
      <c r="A325" s="43">
        <f>IF(_calc!$E$327="","",IF(LEN(INDEX('Documents'!$C$4:$C$503,_calc!$E$327))=0,"",INDEX('Documents'!$C$4:$C$503,_calc!$E$327))&amp;" – "&amp;IF(LEN(INDEX('Documents'!$A$4:$A$503,_calc!$E$327))=0,"",INDEX('Documents'!$A$4:$A$503,_calc!$E$327)))</f>
        <v/>
      </c>
      <c r="B325" s="43">
        <f>IF(_calc!$E$327="","",IF(ISNUMBER(INDEX('Documents'!$F$4:$F$503,_calc!$E$327)),TEXT(INDEX('Documents'!$F$4:$F$503,_calc!$E$327),"yyyy-mm-dd"),""))</f>
        <v/>
      </c>
      <c r="C325" s="43">
        <f>IF(_calc!$E$327="","","Contractor document")</f>
        <v/>
      </c>
      <c r="D325" s="43">
        <f>IF(_calc!$E$327="","",IF(ISNUMBER(INDEX('Documents'!$E$4:$E$503,_calc!$E$327)),TEXT(INDEX('Documents'!$E$4:$E$503,_calc!$E$327),"yyyy-mm-dd"),""))</f>
        <v/>
      </c>
      <c r="E325" s="43">
        <f>IF(_calc!$E$327="","",IF(LEN(INDEX('Documents'!$N$4:$N$503,_calc!$E$327))=0,"",INDEX('Documents'!$N$4:$N$503,_calc!$E$327)))</f>
        <v/>
      </c>
      <c r="F325" s="43">
        <f>IF(_calc!$E$327="","",TRIM(IF(LEN(IF(LEN(INDEX('Documents'!$B$4:$B$503,_calc!$E$327))=0,"",INDEX('Documents'!$B$4:$B$503,_calc!$E$327)))=0,"","Trade: "&amp;IF(LEN(INDEX('Documents'!$B$4:$B$503,_calc!$E$327))=0,"",INDEX('Documents'!$B$4:$B$503,_calc!$E$327))&amp;". ")&amp;IF(LEN(IF(LEN(INDEX('Documents'!$D$4:$D$503,_calc!$E$327))=0,"",INDEX('Documents'!$D$4:$D$503,_calc!$E$327)))=0,"","Ref: "&amp;IF(LEN(INDEX('Documents'!$D$4:$D$503,_calc!$E$327))=0,"",INDEX('Documents'!$D$4:$D$503,_calc!$E$327))&amp;". ")&amp;IF(LEN(IF(LEN(INDEX('Documents'!$K$4:$K$503,_calc!$E$327))=0,"",INDEX('Documents'!$K$4:$K$503,_calc!$E$327)))=0,"","On file: "&amp;IF(LEN(INDEX('Documents'!$K$4:$K$503,_calc!$E$327))=0,"",INDEX('Documents'!$K$4:$K$503,_calc!$E$327))&amp;". ")&amp;IF(LEN(IF(LEN(INDEX('Documents'!$L$4:$L$503,_calc!$E$327))=0,"",INDEX('Documents'!$L$4:$L$503,_calc!$E$327)))=0,"","Contractor email: "&amp;IF(LEN(INDEX('Documents'!$L$4:$L$503,_calc!$E$327))=0,"",INDEX('Documents'!$L$4:$L$503,_calc!$E$327))&amp;". ")&amp;IF(LEN(IF(LEN(INDEX('Documents'!$P$4:$P$503,_calc!$E$327))=0,"",INDEX('Documents'!$P$4:$P$503,_calc!$E$327)))=0,"",IF(LEN(INDEX('Documents'!$P$4:$P$503,_calc!$E$327))=0,"",INDEX('Documents'!$P$4:$P$503,_calc!$E$327)))))</f>
        <v/>
      </c>
      <c r="G325" s="43">
        <f>IF(_calc!$E$327="","",IF(LEN(INDEX('Documents'!$O$4:$O$503,_calc!$E$327))=0,"",INDEX('Documents'!$O$4:$O$503,_calc!$E$327)))</f>
        <v/>
      </c>
      <c r="K325" s="43">
        <f>IF(_calc!$E$327="","",IF(LEN(INDEX('Documents'!$M$4:$M$503,_calc!$E$327))=0,"",INDEX('Documents'!$M$4:$M$503,_calc!$E$327)))</f>
        <v/>
      </c>
    </row>
    <row r="326">
      <c r="A326" s="43">
        <f>IF(_calc!$E$328="","",IF(LEN(INDEX('Documents'!$C$4:$C$503,_calc!$E$328))=0,"",INDEX('Documents'!$C$4:$C$503,_calc!$E$328))&amp;" – "&amp;IF(LEN(INDEX('Documents'!$A$4:$A$503,_calc!$E$328))=0,"",INDEX('Documents'!$A$4:$A$503,_calc!$E$328)))</f>
        <v/>
      </c>
      <c r="B326" s="43">
        <f>IF(_calc!$E$328="","",IF(ISNUMBER(INDEX('Documents'!$F$4:$F$503,_calc!$E$328)),TEXT(INDEX('Documents'!$F$4:$F$503,_calc!$E$328),"yyyy-mm-dd"),""))</f>
        <v/>
      </c>
      <c r="C326" s="43">
        <f>IF(_calc!$E$328="","","Contractor document")</f>
        <v/>
      </c>
      <c r="D326" s="43">
        <f>IF(_calc!$E$328="","",IF(ISNUMBER(INDEX('Documents'!$E$4:$E$503,_calc!$E$328)),TEXT(INDEX('Documents'!$E$4:$E$503,_calc!$E$328),"yyyy-mm-dd"),""))</f>
        <v/>
      </c>
      <c r="E326" s="43">
        <f>IF(_calc!$E$328="","",IF(LEN(INDEX('Documents'!$N$4:$N$503,_calc!$E$328))=0,"",INDEX('Documents'!$N$4:$N$503,_calc!$E$328)))</f>
        <v/>
      </c>
      <c r="F326" s="43">
        <f>IF(_calc!$E$328="","",TRIM(IF(LEN(IF(LEN(INDEX('Documents'!$B$4:$B$503,_calc!$E$328))=0,"",INDEX('Documents'!$B$4:$B$503,_calc!$E$328)))=0,"","Trade: "&amp;IF(LEN(INDEX('Documents'!$B$4:$B$503,_calc!$E$328))=0,"",INDEX('Documents'!$B$4:$B$503,_calc!$E$328))&amp;". ")&amp;IF(LEN(IF(LEN(INDEX('Documents'!$D$4:$D$503,_calc!$E$328))=0,"",INDEX('Documents'!$D$4:$D$503,_calc!$E$328)))=0,"","Ref: "&amp;IF(LEN(INDEX('Documents'!$D$4:$D$503,_calc!$E$328))=0,"",INDEX('Documents'!$D$4:$D$503,_calc!$E$328))&amp;". ")&amp;IF(LEN(IF(LEN(INDEX('Documents'!$K$4:$K$503,_calc!$E$328))=0,"",INDEX('Documents'!$K$4:$K$503,_calc!$E$328)))=0,"","On file: "&amp;IF(LEN(INDEX('Documents'!$K$4:$K$503,_calc!$E$328))=0,"",INDEX('Documents'!$K$4:$K$503,_calc!$E$328))&amp;". ")&amp;IF(LEN(IF(LEN(INDEX('Documents'!$L$4:$L$503,_calc!$E$328))=0,"",INDEX('Documents'!$L$4:$L$503,_calc!$E$328)))=0,"","Contractor email: "&amp;IF(LEN(INDEX('Documents'!$L$4:$L$503,_calc!$E$328))=0,"",INDEX('Documents'!$L$4:$L$503,_calc!$E$328))&amp;". ")&amp;IF(LEN(IF(LEN(INDEX('Documents'!$P$4:$P$503,_calc!$E$328))=0,"",INDEX('Documents'!$P$4:$P$503,_calc!$E$328)))=0,"",IF(LEN(INDEX('Documents'!$P$4:$P$503,_calc!$E$328))=0,"",INDEX('Documents'!$P$4:$P$503,_calc!$E$328)))))</f>
        <v/>
      </c>
      <c r="G326" s="43">
        <f>IF(_calc!$E$328="","",IF(LEN(INDEX('Documents'!$O$4:$O$503,_calc!$E$328))=0,"",INDEX('Documents'!$O$4:$O$503,_calc!$E$328)))</f>
        <v/>
      </c>
      <c r="K326" s="43">
        <f>IF(_calc!$E$328="","",IF(LEN(INDEX('Documents'!$M$4:$M$503,_calc!$E$328))=0,"",INDEX('Documents'!$M$4:$M$503,_calc!$E$328)))</f>
        <v/>
      </c>
    </row>
    <row r="327">
      <c r="A327" s="43">
        <f>IF(_calc!$E$329="","",IF(LEN(INDEX('Documents'!$C$4:$C$503,_calc!$E$329))=0,"",INDEX('Documents'!$C$4:$C$503,_calc!$E$329))&amp;" – "&amp;IF(LEN(INDEX('Documents'!$A$4:$A$503,_calc!$E$329))=0,"",INDEX('Documents'!$A$4:$A$503,_calc!$E$329)))</f>
        <v/>
      </c>
      <c r="B327" s="43">
        <f>IF(_calc!$E$329="","",IF(ISNUMBER(INDEX('Documents'!$F$4:$F$503,_calc!$E$329)),TEXT(INDEX('Documents'!$F$4:$F$503,_calc!$E$329),"yyyy-mm-dd"),""))</f>
        <v/>
      </c>
      <c r="C327" s="43">
        <f>IF(_calc!$E$329="","","Contractor document")</f>
        <v/>
      </c>
      <c r="D327" s="43">
        <f>IF(_calc!$E$329="","",IF(ISNUMBER(INDEX('Documents'!$E$4:$E$503,_calc!$E$329)),TEXT(INDEX('Documents'!$E$4:$E$503,_calc!$E$329),"yyyy-mm-dd"),""))</f>
        <v/>
      </c>
      <c r="E327" s="43">
        <f>IF(_calc!$E$329="","",IF(LEN(INDEX('Documents'!$N$4:$N$503,_calc!$E$329))=0,"",INDEX('Documents'!$N$4:$N$503,_calc!$E$329)))</f>
        <v/>
      </c>
      <c r="F327" s="43">
        <f>IF(_calc!$E$329="","",TRIM(IF(LEN(IF(LEN(INDEX('Documents'!$B$4:$B$503,_calc!$E$329))=0,"",INDEX('Documents'!$B$4:$B$503,_calc!$E$329)))=0,"","Trade: "&amp;IF(LEN(INDEX('Documents'!$B$4:$B$503,_calc!$E$329))=0,"",INDEX('Documents'!$B$4:$B$503,_calc!$E$329))&amp;". ")&amp;IF(LEN(IF(LEN(INDEX('Documents'!$D$4:$D$503,_calc!$E$329))=0,"",INDEX('Documents'!$D$4:$D$503,_calc!$E$329)))=0,"","Ref: "&amp;IF(LEN(INDEX('Documents'!$D$4:$D$503,_calc!$E$329))=0,"",INDEX('Documents'!$D$4:$D$503,_calc!$E$329))&amp;". ")&amp;IF(LEN(IF(LEN(INDEX('Documents'!$K$4:$K$503,_calc!$E$329))=0,"",INDEX('Documents'!$K$4:$K$503,_calc!$E$329)))=0,"","On file: "&amp;IF(LEN(INDEX('Documents'!$K$4:$K$503,_calc!$E$329))=0,"",INDEX('Documents'!$K$4:$K$503,_calc!$E$329))&amp;". ")&amp;IF(LEN(IF(LEN(INDEX('Documents'!$L$4:$L$503,_calc!$E$329))=0,"",INDEX('Documents'!$L$4:$L$503,_calc!$E$329)))=0,"","Contractor email: "&amp;IF(LEN(INDEX('Documents'!$L$4:$L$503,_calc!$E$329))=0,"",INDEX('Documents'!$L$4:$L$503,_calc!$E$329))&amp;". ")&amp;IF(LEN(IF(LEN(INDEX('Documents'!$P$4:$P$503,_calc!$E$329))=0,"",INDEX('Documents'!$P$4:$P$503,_calc!$E$329)))=0,"",IF(LEN(INDEX('Documents'!$P$4:$P$503,_calc!$E$329))=0,"",INDEX('Documents'!$P$4:$P$503,_calc!$E$329)))))</f>
        <v/>
      </c>
      <c r="G327" s="43">
        <f>IF(_calc!$E$329="","",IF(LEN(INDEX('Documents'!$O$4:$O$503,_calc!$E$329))=0,"",INDEX('Documents'!$O$4:$O$503,_calc!$E$329)))</f>
        <v/>
      </c>
      <c r="K327" s="43">
        <f>IF(_calc!$E$329="","",IF(LEN(INDEX('Documents'!$M$4:$M$503,_calc!$E$329))=0,"",INDEX('Documents'!$M$4:$M$503,_calc!$E$329)))</f>
        <v/>
      </c>
    </row>
    <row r="328">
      <c r="A328" s="43">
        <f>IF(_calc!$E$330="","",IF(LEN(INDEX('Documents'!$C$4:$C$503,_calc!$E$330))=0,"",INDEX('Documents'!$C$4:$C$503,_calc!$E$330))&amp;" – "&amp;IF(LEN(INDEX('Documents'!$A$4:$A$503,_calc!$E$330))=0,"",INDEX('Documents'!$A$4:$A$503,_calc!$E$330)))</f>
        <v/>
      </c>
      <c r="B328" s="43">
        <f>IF(_calc!$E$330="","",IF(ISNUMBER(INDEX('Documents'!$F$4:$F$503,_calc!$E$330)),TEXT(INDEX('Documents'!$F$4:$F$503,_calc!$E$330),"yyyy-mm-dd"),""))</f>
        <v/>
      </c>
      <c r="C328" s="43">
        <f>IF(_calc!$E$330="","","Contractor document")</f>
        <v/>
      </c>
      <c r="D328" s="43">
        <f>IF(_calc!$E$330="","",IF(ISNUMBER(INDEX('Documents'!$E$4:$E$503,_calc!$E$330)),TEXT(INDEX('Documents'!$E$4:$E$503,_calc!$E$330),"yyyy-mm-dd"),""))</f>
        <v/>
      </c>
      <c r="E328" s="43">
        <f>IF(_calc!$E$330="","",IF(LEN(INDEX('Documents'!$N$4:$N$503,_calc!$E$330))=0,"",INDEX('Documents'!$N$4:$N$503,_calc!$E$330)))</f>
        <v/>
      </c>
      <c r="F328" s="43">
        <f>IF(_calc!$E$330="","",TRIM(IF(LEN(IF(LEN(INDEX('Documents'!$B$4:$B$503,_calc!$E$330))=0,"",INDEX('Documents'!$B$4:$B$503,_calc!$E$330)))=0,"","Trade: "&amp;IF(LEN(INDEX('Documents'!$B$4:$B$503,_calc!$E$330))=0,"",INDEX('Documents'!$B$4:$B$503,_calc!$E$330))&amp;". ")&amp;IF(LEN(IF(LEN(INDEX('Documents'!$D$4:$D$503,_calc!$E$330))=0,"",INDEX('Documents'!$D$4:$D$503,_calc!$E$330)))=0,"","Ref: "&amp;IF(LEN(INDEX('Documents'!$D$4:$D$503,_calc!$E$330))=0,"",INDEX('Documents'!$D$4:$D$503,_calc!$E$330))&amp;". ")&amp;IF(LEN(IF(LEN(INDEX('Documents'!$K$4:$K$503,_calc!$E$330))=0,"",INDEX('Documents'!$K$4:$K$503,_calc!$E$330)))=0,"","On file: "&amp;IF(LEN(INDEX('Documents'!$K$4:$K$503,_calc!$E$330))=0,"",INDEX('Documents'!$K$4:$K$503,_calc!$E$330))&amp;". ")&amp;IF(LEN(IF(LEN(INDEX('Documents'!$L$4:$L$503,_calc!$E$330))=0,"",INDEX('Documents'!$L$4:$L$503,_calc!$E$330)))=0,"","Contractor email: "&amp;IF(LEN(INDEX('Documents'!$L$4:$L$503,_calc!$E$330))=0,"",INDEX('Documents'!$L$4:$L$503,_calc!$E$330))&amp;". ")&amp;IF(LEN(IF(LEN(INDEX('Documents'!$P$4:$P$503,_calc!$E$330))=0,"",INDEX('Documents'!$P$4:$P$503,_calc!$E$330)))=0,"",IF(LEN(INDEX('Documents'!$P$4:$P$503,_calc!$E$330))=0,"",INDEX('Documents'!$P$4:$P$503,_calc!$E$330)))))</f>
        <v/>
      </c>
      <c r="G328" s="43">
        <f>IF(_calc!$E$330="","",IF(LEN(INDEX('Documents'!$O$4:$O$503,_calc!$E$330))=0,"",INDEX('Documents'!$O$4:$O$503,_calc!$E$330)))</f>
        <v/>
      </c>
      <c r="K328" s="43">
        <f>IF(_calc!$E$330="","",IF(LEN(INDEX('Documents'!$M$4:$M$503,_calc!$E$330))=0,"",INDEX('Documents'!$M$4:$M$503,_calc!$E$330)))</f>
        <v/>
      </c>
    </row>
    <row r="329">
      <c r="A329" s="43">
        <f>IF(_calc!$E$331="","",IF(LEN(INDEX('Documents'!$C$4:$C$503,_calc!$E$331))=0,"",INDEX('Documents'!$C$4:$C$503,_calc!$E$331))&amp;" – "&amp;IF(LEN(INDEX('Documents'!$A$4:$A$503,_calc!$E$331))=0,"",INDEX('Documents'!$A$4:$A$503,_calc!$E$331)))</f>
        <v/>
      </c>
      <c r="B329" s="43">
        <f>IF(_calc!$E$331="","",IF(ISNUMBER(INDEX('Documents'!$F$4:$F$503,_calc!$E$331)),TEXT(INDEX('Documents'!$F$4:$F$503,_calc!$E$331),"yyyy-mm-dd"),""))</f>
        <v/>
      </c>
      <c r="C329" s="43">
        <f>IF(_calc!$E$331="","","Contractor document")</f>
        <v/>
      </c>
      <c r="D329" s="43">
        <f>IF(_calc!$E$331="","",IF(ISNUMBER(INDEX('Documents'!$E$4:$E$503,_calc!$E$331)),TEXT(INDEX('Documents'!$E$4:$E$503,_calc!$E$331),"yyyy-mm-dd"),""))</f>
        <v/>
      </c>
      <c r="E329" s="43">
        <f>IF(_calc!$E$331="","",IF(LEN(INDEX('Documents'!$N$4:$N$503,_calc!$E$331))=0,"",INDEX('Documents'!$N$4:$N$503,_calc!$E$331)))</f>
        <v/>
      </c>
      <c r="F329" s="43">
        <f>IF(_calc!$E$331="","",TRIM(IF(LEN(IF(LEN(INDEX('Documents'!$B$4:$B$503,_calc!$E$331))=0,"",INDEX('Documents'!$B$4:$B$503,_calc!$E$331)))=0,"","Trade: "&amp;IF(LEN(INDEX('Documents'!$B$4:$B$503,_calc!$E$331))=0,"",INDEX('Documents'!$B$4:$B$503,_calc!$E$331))&amp;". ")&amp;IF(LEN(IF(LEN(INDEX('Documents'!$D$4:$D$503,_calc!$E$331))=0,"",INDEX('Documents'!$D$4:$D$503,_calc!$E$331)))=0,"","Ref: "&amp;IF(LEN(INDEX('Documents'!$D$4:$D$503,_calc!$E$331))=0,"",INDEX('Documents'!$D$4:$D$503,_calc!$E$331))&amp;". ")&amp;IF(LEN(IF(LEN(INDEX('Documents'!$K$4:$K$503,_calc!$E$331))=0,"",INDEX('Documents'!$K$4:$K$503,_calc!$E$331)))=0,"","On file: "&amp;IF(LEN(INDEX('Documents'!$K$4:$K$503,_calc!$E$331))=0,"",INDEX('Documents'!$K$4:$K$503,_calc!$E$331))&amp;". ")&amp;IF(LEN(IF(LEN(INDEX('Documents'!$L$4:$L$503,_calc!$E$331))=0,"",INDEX('Documents'!$L$4:$L$503,_calc!$E$331)))=0,"","Contractor email: "&amp;IF(LEN(INDEX('Documents'!$L$4:$L$503,_calc!$E$331))=0,"",INDEX('Documents'!$L$4:$L$503,_calc!$E$331))&amp;". ")&amp;IF(LEN(IF(LEN(INDEX('Documents'!$P$4:$P$503,_calc!$E$331))=0,"",INDEX('Documents'!$P$4:$P$503,_calc!$E$331)))=0,"",IF(LEN(INDEX('Documents'!$P$4:$P$503,_calc!$E$331))=0,"",INDEX('Documents'!$P$4:$P$503,_calc!$E$331)))))</f>
        <v/>
      </c>
      <c r="G329" s="43">
        <f>IF(_calc!$E$331="","",IF(LEN(INDEX('Documents'!$O$4:$O$503,_calc!$E$331))=0,"",INDEX('Documents'!$O$4:$O$503,_calc!$E$331)))</f>
        <v/>
      </c>
      <c r="K329" s="43">
        <f>IF(_calc!$E$331="","",IF(LEN(INDEX('Documents'!$M$4:$M$503,_calc!$E$331))=0,"",INDEX('Documents'!$M$4:$M$503,_calc!$E$331)))</f>
        <v/>
      </c>
    </row>
    <row r="330">
      <c r="A330" s="43">
        <f>IF(_calc!$E$332="","",IF(LEN(INDEX('Documents'!$C$4:$C$503,_calc!$E$332))=0,"",INDEX('Documents'!$C$4:$C$503,_calc!$E$332))&amp;" – "&amp;IF(LEN(INDEX('Documents'!$A$4:$A$503,_calc!$E$332))=0,"",INDEX('Documents'!$A$4:$A$503,_calc!$E$332)))</f>
        <v/>
      </c>
      <c r="B330" s="43">
        <f>IF(_calc!$E$332="","",IF(ISNUMBER(INDEX('Documents'!$F$4:$F$503,_calc!$E$332)),TEXT(INDEX('Documents'!$F$4:$F$503,_calc!$E$332),"yyyy-mm-dd"),""))</f>
        <v/>
      </c>
      <c r="C330" s="43">
        <f>IF(_calc!$E$332="","","Contractor document")</f>
        <v/>
      </c>
      <c r="D330" s="43">
        <f>IF(_calc!$E$332="","",IF(ISNUMBER(INDEX('Documents'!$E$4:$E$503,_calc!$E$332)),TEXT(INDEX('Documents'!$E$4:$E$503,_calc!$E$332),"yyyy-mm-dd"),""))</f>
        <v/>
      </c>
      <c r="E330" s="43">
        <f>IF(_calc!$E$332="","",IF(LEN(INDEX('Documents'!$N$4:$N$503,_calc!$E$332))=0,"",INDEX('Documents'!$N$4:$N$503,_calc!$E$332)))</f>
        <v/>
      </c>
      <c r="F330" s="43">
        <f>IF(_calc!$E$332="","",TRIM(IF(LEN(IF(LEN(INDEX('Documents'!$B$4:$B$503,_calc!$E$332))=0,"",INDEX('Documents'!$B$4:$B$503,_calc!$E$332)))=0,"","Trade: "&amp;IF(LEN(INDEX('Documents'!$B$4:$B$503,_calc!$E$332))=0,"",INDEX('Documents'!$B$4:$B$503,_calc!$E$332))&amp;". ")&amp;IF(LEN(IF(LEN(INDEX('Documents'!$D$4:$D$503,_calc!$E$332))=0,"",INDEX('Documents'!$D$4:$D$503,_calc!$E$332)))=0,"","Ref: "&amp;IF(LEN(INDEX('Documents'!$D$4:$D$503,_calc!$E$332))=0,"",INDEX('Documents'!$D$4:$D$503,_calc!$E$332))&amp;". ")&amp;IF(LEN(IF(LEN(INDEX('Documents'!$K$4:$K$503,_calc!$E$332))=0,"",INDEX('Documents'!$K$4:$K$503,_calc!$E$332)))=0,"","On file: "&amp;IF(LEN(INDEX('Documents'!$K$4:$K$503,_calc!$E$332))=0,"",INDEX('Documents'!$K$4:$K$503,_calc!$E$332))&amp;". ")&amp;IF(LEN(IF(LEN(INDEX('Documents'!$L$4:$L$503,_calc!$E$332))=0,"",INDEX('Documents'!$L$4:$L$503,_calc!$E$332)))=0,"","Contractor email: "&amp;IF(LEN(INDEX('Documents'!$L$4:$L$503,_calc!$E$332))=0,"",INDEX('Documents'!$L$4:$L$503,_calc!$E$332))&amp;". ")&amp;IF(LEN(IF(LEN(INDEX('Documents'!$P$4:$P$503,_calc!$E$332))=0,"",INDEX('Documents'!$P$4:$P$503,_calc!$E$332)))=0,"",IF(LEN(INDEX('Documents'!$P$4:$P$503,_calc!$E$332))=0,"",INDEX('Documents'!$P$4:$P$503,_calc!$E$332)))))</f>
        <v/>
      </c>
      <c r="G330" s="43">
        <f>IF(_calc!$E$332="","",IF(LEN(INDEX('Documents'!$O$4:$O$503,_calc!$E$332))=0,"",INDEX('Documents'!$O$4:$O$503,_calc!$E$332)))</f>
        <v/>
      </c>
      <c r="K330" s="43">
        <f>IF(_calc!$E$332="","",IF(LEN(INDEX('Documents'!$M$4:$M$503,_calc!$E$332))=0,"",INDEX('Documents'!$M$4:$M$503,_calc!$E$332)))</f>
        <v/>
      </c>
    </row>
    <row r="331">
      <c r="A331" s="43">
        <f>IF(_calc!$E$333="","",IF(LEN(INDEX('Documents'!$C$4:$C$503,_calc!$E$333))=0,"",INDEX('Documents'!$C$4:$C$503,_calc!$E$333))&amp;" – "&amp;IF(LEN(INDEX('Documents'!$A$4:$A$503,_calc!$E$333))=0,"",INDEX('Documents'!$A$4:$A$503,_calc!$E$333)))</f>
        <v/>
      </c>
      <c r="B331" s="43">
        <f>IF(_calc!$E$333="","",IF(ISNUMBER(INDEX('Documents'!$F$4:$F$503,_calc!$E$333)),TEXT(INDEX('Documents'!$F$4:$F$503,_calc!$E$333),"yyyy-mm-dd"),""))</f>
        <v/>
      </c>
      <c r="C331" s="43">
        <f>IF(_calc!$E$333="","","Contractor document")</f>
        <v/>
      </c>
      <c r="D331" s="43">
        <f>IF(_calc!$E$333="","",IF(ISNUMBER(INDEX('Documents'!$E$4:$E$503,_calc!$E$333)),TEXT(INDEX('Documents'!$E$4:$E$503,_calc!$E$333),"yyyy-mm-dd"),""))</f>
        <v/>
      </c>
      <c r="E331" s="43">
        <f>IF(_calc!$E$333="","",IF(LEN(INDEX('Documents'!$N$4:$N$503,_calc!$E$333))=0,"",INDEX('Documents'!$N$4:$N$503,_calc!$E$333)))</f>
        <v/>
      </c>
      <c r="F331" s="43">
        <f>IF(_calc!$E$333="","",TRIM(IF(LEN(IF(LEN(INDEX('Documents'!$B$4:$B$503,_calc!$E$333))=0,"",INDEX('Documents'!$B$4:$B$503,_calc!$E$333)))=0,"","Trade: "&amp;IF(LEN(INDEX('Documents'!$B$4:$B$503,_calc!$E$333))=0,"",INDEX('Documents'!$B$4:$B$503,_calc!$E$333))&amp;". ")&amp;IF(LEN(IF(LEN(INDEX('Documents'!$D$4:$D$503,_calc!$E$333))=0,"",INDEX('Documents'!$D$4:$D$503,_calc!$E$333)))=0,"","Ref: "&amp;IF(LEN(INDEX('Documents'!$D$4:$D$503,_calc!$E$333))=0,"",INDEX('Documents'!$D$4:$D$503,_calc!$E$333))&amp;". ")&amp;IF(LEN(IF(LEN(INDEX('Documents'!$K$4:$K$503,_calc!$E$333))=0,"",INDEX('Documents'!$K$4:$K$503,_calc!$E$333)))=0,"","On file: "&amp;IF(LEN(INDEX('Documents'!$K$4:$K$503,_calc!$E$333))=0,"",INDEX('Documents'!$K$4:$K$503,_calc!$E$333))&amp;". ")&amp;IF(LEN(IF(LEN(INDEX('Documents'!$L$4:$L$503,_calc!$E$333))=0,"",INDEX('Documents'!$L$4:$L$503,_calc!$E$333)))=0,"","Contractor email: "&amp;IF(LEN(INDEX('Documents'!$L$4:$L$503,_calc!$E$333))=0,"",INDEX('Documents'!$L$4:$L$503,_calc!$E$333))&amp;". ")&amp;IF(LEN(IF(LEN(INDEX('Documents'!$P$4:$P$503,_calc!$E$333))=0,"",INDEX('Documents'!$P$4:$P$503,_calc!$E$333)))=0,"",IF(LEN(INDEX('Documents'!$P$4:$P$503,_calc!$E$333))=0,"",INDEX('Documents'!$P$4:$P$503,_calc!$E$333)))))</f>
        <v/>
      </c>
      <c r="G331" s="43">
        <f>IF(_calc!$E$333="","",IF(LEN(INDEX('Documents'!$O$4:$O$503,_calc!$E$333))=0,"",INDEX('Documents'!$O$4:$O$503,_calc!$E$333)))</f>
        <v/>
      </c>
      <c r="K331" s="43">
        <f>IF(_calc!$E$333="","",IF(LEN(INDEX('Documents'!$M$4:$M$503,_calc!$E$333))=0,"",INDEX('Documents'!$M$4:$M$503,_calc!$E$333)))</f>
        <v/>
      </c>
    </row>
    <row r="332">
      <c r="A332" s="43">
        <f>IF(_calc!$E$334="","",IF(LEN(INDEX('Documents'!$C$4:$C$503,_calc!$E$334))=0,"",INDEX('Documents'!$C$4:$C$503,_calc!$E$334))&amp;" – "&amp;IF(LEN(INDEX('Documents'!$A$4:$A$503,_calc!$E$334))=0,"",INDEX('Documents'!$A$4:$A$503,_calc!$E$334)))</f>
        <v/>
      </c>
      <c r="B332" s="43">
        <f>IF(_calc!$E$334="","",IF(ISNUMBER(INDEX('Documents'!$F$4:$F$503,_calc!$E$334)),TEXT(INDEX('Documents'!$F$4:$F$503,_calc!$E$334),"yyyy-mm-dd"),""))</f>
        <v/>
      </c>
      <c r="C332" s="43">
        <f>IF(_calc!$E$334="","","Contractor document")</f>
        <v/>
      </c>
      <c r="D332" s="43">
        <f>IF(_calc!$E$334="","",IF(ISNUMBER(INDEX('Documents'!$E$4:$E$503,_calc!$E$334)),TEXT(INDEX('Documents'!$E$4:$E$503,_calc!$E$334),"yyyy-mm-dd"),""))</f>
        <v/>
      </c>
      <c r="E332" s="43">
        <f>IF(_calc!$E$334="","",IF(LEN(INDEX('Documents'!$N$4:$N$503,_calc!$E$334))=0,"",INDEX('Documents'!$N$4:$N$503,_calc!$E$334)))</f>
        <v/>
      </c>
      <c r="F332" s="43">
        <f>IF(_calc!$E$334="","",TRIM(IF(LEN(IF(LEN(INDEX('Documents'!$B$4:$B$503,_calc!$E$334))=0,"",INDEX('Documents'!$B$4:$B$503,_calc!$E$334)))=0,"","Trade: "&amp;IF(LEN(INDEX('Documents'!$B$4:$B$503,_calc!$E$334))=0,"",INDEX('Documents'!$B$4:$B$503,_calc!$E$334))&amp;". ")&amp;IF(LEN(IF(LEN(INDEX('Documents'!$D$4:$D$503,_calc!$E$334))=0,"",INDEX('Documents'!$D$4:$D$503,_calc!$E$334)))=0,"","Ref: "&amp;IF(LEN(INDEX('Documents'!$D$4:$D$503,_calc!$E$334))=0,"",INDEX('Documents'!$D$4:$D$503,_calc!$E$334))&amp;". ")&amp;IF(LEN(IF(LEN(INDEX('Documents'!$K$4:$K$503,_calc!$E$334))=0,"",INDEX('Documents'!$K$4:$K$503,_calc!$E$334)))=0,"","On file: "&amp;IF(LEN(INDEX('Documents'!$K$4:$K$503,_calc!$E$334))=0,"",INDEX('Documents'!$K$4:$K$503,_calc!$E$334))&amp;". ")&amp;IF(LEN(IF(LEN(INDEX('Documents'!$L$4:$L$503,_calc!$E$334))=0,"",INDEX('Documents'!$L$4:$L$503,_calc!$E$334)))=0,"","Contractor email: "&amp;IF(LEN(INDEX('Documents'!$L$4:$L$503,_calc!$E$334))=0,"",INDEX('Documents'!$L$4:$L$503,_calc!$E$334))&amp;". ")&amp;IF(LEN(IF(LEN(INDEX('Documents'!$P$4:$P$503,_calc!$E$334))=0,"",INDEX('Documents'!$P$4:$P$503,_calc!$E$334)))=0,"",IF(LEN(INDEX('Documents'!$P$4:$P$503,_calc!$E$334))=0,"",INDEX('Documents'!$P$4:$P$503,_calc!$E$334)))))</f>
        <v/>
      </c>
      <c r="G332" s="43">
        <f>IF(_calc!$E$334="","",IF(LEN(INDEX('Documents'!$O$4:$O$503,_calc!$E$334))=0,"",INDEX('Documents'!$O$4:$O$503,_calc!$E$334)))</f>
        <v/>
      </c>
      <c r="K332" s="43">
        <f>IF(_calc!$E$334="","",IF(LEN(INDEX('Documents'!$M$4:$M$503,_calc!$E$334))=0,"",INDEX('Documents'!$M$4:$M$503,_calc!$E$334)))</f>
        <v/>
      </c>
    </row>
    <row r="333">
      <c r="A333" s="43">
        <f>IF(_calc!$E$335="","",IF(LEN(INDEX('Documents'!$C$4:$C$503,_calc!$E$335))=0,"",INDEX('Documents'!$C$4:$C$503,_calc!$E$335))&amp;" – "&amp;IF(LEN(INDEX('Documents'!$A$4:$A$503,_calc!$E$335))=0,"",INDEX('Documents'!$A$4:$A$503,_calc!$E$335)))</f>
        <v/>
      </c>
      <c r="B333" s="43">
        <f>IF(_calc!$E$335="","",IF(ISNUMBER(INDEX('Documents'!$F$4:$F$503,_calc!$E$335)),TEXT(INDEX('Documents'!$F$4:$F$503,_calc!$E$335),"yyyy-mm-dd"),""))</f>
        <v/>
      </c>
      <c r="C333" s="43">
        <f>IF(_calc!$E$335="","","Contractor document")</f>
        <v/>
      </c>
      <c r="D333" s="43">
        <f>IF(_calc!$E$335="","",IF(ISNUMBER(INDEX('Documents'!$E$4:$E$503,_calc!$E$335)),TEXT(INDEX('Documents'!$E$4:$E$503,_calc!$E$335),"yyyy-mm-dd"),""))</f>
        <v/>
      </c>
      <c r="E333" s="43">
        <f>IF(_calc!$E$335="","",IF(LEN(INDEX('Documents'!$N$4:$N$503,_calc!$E$335))=0,"",INDEX('Documents'!$N$4:$N$503,_calc!$E$335)))</f>
        <v/>
      </c>
      <c r="F333" s="43">
        <f>IF(_calc!$E$335="","",TRIM(IF(LEN(IF(LEN(INDEX('Documents'!$B$4:$B$503,_calc!$E$335))=0,"",INDEX('Documents'!$B$4:$B$503,_calc!$E$335)))=0,"","Trade: "&amp;IF(LEN(INDEX('Documents'!$B$4:$B$503,_calc!$E$335))=0,"",INDEX('Documents'!$B$4:$B$503,_calc!$E$335))&amp;". ")&amp;IF(LEN(IF(LEN(INDEX('Documents'!$D$4:$D$503,_calc!$E$335))=0,"",INDEX('Documents'!$D$4:$D$503,_calc!$E$335)))=0,"","Ref: "&amp;IF(LEN(INDEX('Documents'!$D$4:$D$503,_calc!$E$335))=0,"",INDEX('Documents'!$D$4:$D$503,_calc!$E$335))&amp;". ")&amp;IF(LEN(IF(LEN(INDEX('Documents'!$K$4:$K$503,_calc!$E$335))=0,"",INDEX('Documents'!$K$4:$K$503,_calc!$E$335)))=0,"","On file: "&amp;IF(LEN(INDEX('Documents'!$K$4:$K$503,_calc!$E$335))=0,"",INDEX('Documents'!$K$4:$K$503,_calc!$E$335))&amp;". ")&amp;IF(LEN(IF(LEN(INDEX('Documents'!$L$4:$L$503,_calc!$E$335))=0,"",INDEX('Documents'!$L$4:$L$503,_calc!$E$335)))=0,"","Contractor email: "&amp;IF(LEN(INDEX('Documents'!$L$4:$L$503,_calc!$E$335))=0,"",INDEX('Documents'!$L$4:$L$503,_calc!$E$335))&amp;". ")&amp;IF(LEN(IF(LEN(INDEX('Documents'!$P$4:$P$503,_calc!$E$335))=0,"",INDEX('Documents'!$P$4:$P$503,_calc!$E$335)))=0,"",IF(LEN(INDEX('Documents'!$P$4:$P$503,_calc!$E$335))=0,"",INDEX('Documents'!$P$4:$P$503,_calc!$E$335)))))</f>
        <v/>
      </c>
      <c r="G333" s="43">
        <f>IF(_calc!$E$335="","",IF(LEN(INDEX('Documents'!$O$4:$O$503,_calc!$E$335))=0,"",INDEX('Documents'!$O$4:$O$503,_calc!$E$335)))</f>
        <v/>
      </c>
      <c r="K333" s="43">
        <f>IF(_calc!$E$335="","",IF(LEN(INDEX('Documents'!$M$4:$M$503,_calc!$E$335))=0,"",INDEX('Documents'!$M$4:$M$503,_calc!$E$335)))</f>
        <v/>
      </c>
    </row>
    <row r="334">
      <c r="A334" s="43">
        <f>IF(_calc!$E$336="","",IF(LEN(INDEX('Documents'!$C$4:$C$503,_calc!$E$336))=0,"",INDEX('Documents'!$C$4:$C$503,_calc!$E$336))&amp;" – "&amp;IF(LEN(INDEX('Documents'!$A$4:$A$503,_calc!$E$336))=0,"",INDEX('Documents'!$A$4:$A$503,_calc!$E$336)))</f>
        <v/>
      </c>
      <c r="B334" s="43">
        <f>IF(_calc!$E$336="","",IF(ISNUMBER(INDEX('Documents'!$F$4:$F$503,_calc!$E$336)),TEXT(INDEX('Documents'!$F$4:$F$503,_calc!$E$336),"yyyy-mm-dd"),""))</f>
        <v/>
      </c>
      <c r="C334" s="43">
        <f>IF(_calc!$E$336="","","Contractor document")</f>
        <v/>
      </c>
      <c r="D334" s="43">
        <f>IF(_calc!$E$336="","",IF(ISNUMBER(INDEX('Documents'!$E$4:$E$503,_calc!$E$336)),TEXT(INDEX('Documents'!$E$4:$E$503,_calc!$E$336),"yyyy-mm-dd"),""))</f>
        <v/>
      </c>
      <c r="E334" s="43">
        <f>IF(_calc!$E$336="","",IF(LEN(INDEX('Documents'!$N$4:$N$503,_calc!$E$336))=0,"",INDEX('Documents'!$N$4:$N$503,_calc!$E$336)))</f>
        <v/>
      </c>
      <c r="F334" s="43">
        <f>IF(_calc!$E$336="","",TRIM(IF(LEN(IF(LEN(INDEX('Documents'!$B$4:$B$503,_calc!$E$336))=0,"",INDEX('Documents'!$B$4:$B$503,_calc!$E$336)))=0,"","Trade: "&amp;IF(LEN(INDEX('Documents'!$B$4:$B$503,_calc!$E$336))=0,"",INDEX('Documents'!$B$4:$B$503,_calc!$E$336))&amp;". ")&amp;IF(LEN(IF(LEN(INDEX('Documents'!$D$4:$D$503,_calc!$E$336))=0,"",INDEX('Documents'!$D$4:$D$503,_calc!$E$336)))=0,"","Ref: "&amp;IF(LEN(INDEX('Documents'!$D$4:$D$503,_calc!$E$336))=0,"",INDEX('Documents'!$D$4:$D$503,_calc!$E$336))&amp;". ")&amp;IF(LEN(IF(LEN(INDEX('Documents'!$K$4:$K$503,_calc!$E$336))=0,"",INDEX('Documents'!$K$4:$K$503,_calc!$E$336)))=0,"","On file: "&amp;IF(LEN(INDEX('Documents'!$K$4:$K$503,_calc!$E$336))=0,"",INDEX('Documents'!$K$4:$K$503,_calc!$E$336))&amp;". ")&amp;IF(LEN(IF(LEN(INDEX('Documents'!$L$4:$L$503,_calc!$E$336))=0,"",INDEX('Documents'!$L$4:$L$503,_calc!$E$336)))=0,"","Contractor email: "&amp;IF(LEN(INDEX('Documents'!$L$4:$L$503,_calc!$E$336))=0,"",INDEX('Documents'!$L$4:$L$503,_calc!$E$336))&amp;". ")&amp;IF(LEN(IF(LEN(INDEX('Documents'!$P$4:$P$503,_calc!$E$336))=0,"",INDEX('Documents'!$P$4:$P$503,_calc!$E$336)))=0,"",IF(LEN(INDEX('Documents'!$P$4:$P$503,_calc!$E$336))=0,"",INDEX('Documents'!$P$4:$P$503,_calc!$E$336)))))</f>
        <v/>
      </c>
      <c r="G334" s="43">
        <f>IF(_calc!$E$336="","",IF(LEN(INDEX('Documents'!$O$4:$O$503,_calc!$E$336))=0,"",INDEX('Documents'!$O$4:$O$503,_calc!$E$336)))</f>
        <v/>
      </c>
      <c r="K334" s="43">
        <f>IF(_calc!$E$336="","",IF(LEN(INDEX('Documents'!$M$4:$M$503,_calc!$E$336))=0,"",INDEX('Documents'!$M$4:$M$503,_calc!$E$336)))</f>
        <v/>
      </c>
    </row>
    <row r="335">
      <c r="A335" s="43">
        <f>IF(_calc!$E$337="","",IF(LEN(INDEX('Documents'!$C$4:$C$503,_calc!$E$337))=0,"",INDEX('Documents'!$C$4:$C$503,_calc!$E$337))&amp;" – "&amp;IF(LEN(INDEX('Documents'!$A$4:$A$503,_calc!$E$337))=0,"",INDEX('Documents'!$A$4:$A$503,_calc!$E$337)))</f>
        <v/>
      </c>
      <c r="B335" s="43">
        <f>IF(_calc!$E$337="","",IF(ISNUMBER(INDEX('Documents'!$F$4:$F$503,_calc!$E$337)),TEXT(INDEX('Documents'!$F$4:$F$503,_calc!$E$337),"yyyy-mm-dd"),""))</f>
        <v/>
      </c>
      <c r="C335" s="43">
        <f>IF(_calc!$E$337="","","Contractor document")</f>
        <v/>
      </c>
      <c r="D335" s="43">
        <f>IF(_calc!$E$337="","",IF(ISNUMBER(INDEX('Documents'!$E$4:$E$503,_calc!$E$337)),TEXT(INDEX('Documents'!$E$4:$E$503,_calc!$E$337),"yyyy-mm-dd"),""))</f>
        <v/>
      </c>
      <c r="E335" s="43">
        <f>IF(_calc!$E$337="","",IF(LEN(INDEX('Documents'!$N$4:$N$503,_calc!$E$337))=0,"",INDEX('Documents'!$N$4:$N$503,_calc!$E$337)))</f>
        <v/>
      </c>
      <c r="F335" s="43">
        <f>IF(_calc!$E$337="","",TRIM(IF(LEN(IF(LEN(INDEX('Documents'!$B$4:$B$503,_calc!$E$337))=0,"",INDEX('Documents'!$B$4:$B$503,_calc!$E$337)))=0,"","Trade: "&amp;IF(LEN(INDEX('Documents'!$B$4:$B$503,_calc!$E$337))=0,"",INDEX('Documents'!$B$4:$B$503,_calc!$E$337))&amp;". ")&amp;IF(LEN(IF(LEN(INDEX('Documents'!$D$4:$D$503,_calc!$E$337))=0,"",INDEX('Documents'!$D$4:$D$503,_calc!$E$337)))=0,"","Ref: "&amp;IF(LEN(INDEX('Documents'!$D$4:$D$503,_calc!$E$337))=0,"",INDEX('Documents'!$D$4:$D$503,_calc!$E$337))&amp;". ")&amp;IF(LEN(IF(LEN(INDEX('Documents'!$K$4:$K$503,_calc!$E$337))=0,"",INDEX('Documents'!$K$4:$K$503,_calc!$E$337)))=0,"","On file: "&amp;IF(LEN(INDEX('Documents'!$K$4:$K$503,_calc!$E$337))=0,"",INDEX('Documents'!$K$4:$K$503,_calc!$E$337))&amp;". ")&amp;IF(LEN(IF(LEN(INDEX('Documents'!$L$4:$L$503,_calc!$E$337))=0,"",INDEX('Documents'!$L$4:$L$503,_calc!$E$337)))=0,"","Contractor email: "&amp;IF(LEN(INDEX('Documents'!$L$4:$L$503,_calc!$E$337))=0,"",INDEX('Documents'!$L$4:$L$503,_calc!$E$337))&amp;". ")&amp;IF(LEN(IF(LEN(INDEX('Documents'!$P$4:$P$503,_calc!$E$337))=0,"",INDEX('Documents'!$P$4:$P$503,_calc!$E$337)))=0,"",IF(LEN(INDEX('Documents'!$P$4:$P$503,_calc!$E$337))=0,"",INDEX('Documents'!$P$4:$P$503,_calc!$E$337)))))</f>
        <v/>
      </c>
      <c r="G335" s="43">
        <f>IF(_calc!$E$337="","",IF(LEN(INDEX('Documents'!$O$4:$O$503,_calc!$E$337))=0,"",INDEX('Documents'!$O$4:$O$503,_calc!$E$337)))</f>
        <v/>
      </c>
      <c r="K335" s="43">
        <f>IF(_calc!$E$337="","",IF(LEN(INDEX('Documents'!$M$4:$M$503,_calc!$E$337))=0,"",INDEX('Documents'!$M$4:$M$503,_calc!$E$337)))</f>
        <v/>
      </c>
    </row>
    <row r="336">
      <c r="A336" s="43">
        <f>IF(_calc!$E$338="","",IF(LEN(INDEX('Documents'!$C$4:$C$503,_calc!$E$338))=0,"",INDEX('Documents'!$C$4:$C$503,_calc!$E$338))&amp;" – "&amp;IF(LEN(INDEX('Documents'!$A$4:$A$503,_calc!$E$338))=0,"",INDEX('Documents'!$A$4:$A$503,_calc!$E$338)))</f>
        <v/>
      </c>
      <c r="B336" s="43">
        <f>IF(_calc!$E$338="","",IF(ISNUMBER(INDEX('Documents'!$F$4:$F$503,_calc!$E$338)),TEXT(INDEX('Documents'!$F$4:$F$503,_calc!$E$338),"yyyy-mm-dd"),""))</f>
        <v/>
      </c>
      <c r="C336" s="43">
        <f>IF(_calc!$E$338="","","Contractor document")</f>
        <v/>
      </c>
      <c r="D336" s="43">
        <f>IF(_calc!$E$338="","",IF(ISNUMBER(INDEX('Documents'!$E$4:$E$503,_calc!$E$338)),TEXT(INDEX('Documents'!$E$4:$E$503,_calc!$E$338),"yyyy-mm-dd"),""))</f>
        <v/>
      </c>
      <c r="E336" s="43">
        <f>IF(_calc!$E$338="","",IF(LEN(INDEX('Documents'!$N$4:$N$503,_calc!$E$338))=0,"",INDEX('Documents'!$N$4:$N$503,_calc!$E$338)))</f>
        <v/>
      </c>
      <c r="F336" s="43">
        <f>IF(_calc!$E$338="","",TRIM(IF(LEN(IF(LEN(INDEX('Documents'!$B$4:$B$503,_calc!$E$338))=0,"",INDEX('Documents'!$B$4:$B$503,_calc!$E$338)))=0,"","Trade: "&amp;IF(LEN(INDEX('Documents'!$B$4:$B$503,_calc!$E$338))=0,"",INDEX('Documents'!$B$4:$B$503,_calc!$E$338))&amp;". ")&amp;IF(LEN(IF(LEN(INDEX('Documents'!$D$4:$D$503,_calc!$E$338))=0,"",INDEX('Documents'!$D$4:$D$503,_calc!$E$338)))=0,"","Ref: "&amp;IF(LEN(INDEX('Documents'!$D$4:$D$503,_calc!$E$338))=0,"",INDEX('Documents'!$D$4:$D$503,_calc!$E$338))&amp;". ")&amp;IF(LEN(IF(LEN(INDEX('Documents'!$K$4:$K$503,_calc!$E$338))=0,"",INDEX('Documents'!$K$4:$K$503,_calc!$E$338)))=0,"","On file: "&amp;IF(LEN(INDEX('Documents'!$K$4:$K$503,_calc!$E$338))=0,"",INDEX('Documents'!$K$4:$K$503,_calc!$E$338))&amp;". ")&amp;IF(LEN(IF(LEN(INDEX('Documents'!$L$4:$L$503,_calc!$E$338))=0,"",INDEX('Documents'!$L$4:$L$503,_calc!$E$338)))=0,"","Contractor email: "&amp;IF(LEN(INDEX('Documents'!$L$4:$L$503,_calc!$E$338))=0,"",INDEX('Documents'!$L$4:$L$503,_calc!$E$338))&amp;". ")&amp;IF(LEN(IF(LEN(INDEX('Documents'!$P$4:$P$503,_calc!$E$338))=0,"",INDEX('Documents'!$P$4:$P$503,_calc!$E$338)))=0,"",IF(LEN(INDEX('Documents'!$P$4:$P$503,_calc!$E$338))=0,"",INDEX('Documents'!$P$4:$P$503,_calc!$E$338)))))</f>
        <v/>
      </c>
      <c r="G336" s="43">
        <f>IF(_calc!$E$338="","",IF(LEN(INDEX('Documents'!$O$4:$O$503,_calc!$E$338))=0,"",INDEX('Documents'!$O$4:$O$503,_calc!$E$338)))</f>
        <v/>
      </c>
      <c r="K336" s="43">
        <f>IF(_calc!$E$338="","",IF(LEN(INDEX('Documents'!$M$4:$M$503,_calc!$E$338))=0,"",INDEX('Documents'!$M$4:$M$503,_calc!$E$338)))</f>
        <v/>
      </c>
    </row>
    <row r="337">
      <c r="A337" s="43">
        <f>IF(_calc!$E$339="","",IF(LEN(INDEX('Documents'!$C$4:$C$503,_calc!$E$339))=0,"",INDEX('Documents'!$C$4:$C$503,_calc!$E$339))&amp;" – "&amp;IF(LEN(INDEX('Documents'!$A$4:$A$503,_calc!$E$339))=0,"",INDEX('Documents'!$A$4:$A$503,_calc!$E$339)))</f>
        <v/>
      </c>
      <c r="B337" s="43">
        <f>IF(_calc!$E$339="","",IF(ISNUMBER(INDEX('Documents'!$F$4:$F$503,_calc!$E$339)),TEXT(INDEX('Documents'!$F$4:$F$503,_calc!$E$339),"yyyy-mm-dd"),""))</f>
        <v/>
      </c>
      <c r="C337" s="43">
        <f>IF(_calc!$E$339="","","Contractor document")</f>
        <v/>
      </c>
      <c r="D337" s="43">
        <f>IF(_calc!$E$339="","",IF(ISNUMBER(INDEX('Documents'!$E$4:$E$503,_calc!$E$339)),TEXT(INDEX('Documents'!$E$4:$E$503,_calc!$E$339),"yyyy-mm-dd"),""))</f>
        <v/>
      </c>
      <c r="E337" s="43">
        <f>IF(_calc!$E$339="","",IF(LEN(INDEX('Documents'!$N$4:$N$503,_calc!$E$339))=0,"",INDEX('Documents'!$N$4:$N$503,_calc!$E$339)))</f>
        <v/>
      </c>
      <c r="F337" s="43">
        <f>IF(_calc!$E$339="","",TRIM(IF(LEN(IF(LEN(INDEX('Documents'!$B$4:$B$503,_calc!$E$339))=0,"",INDEX('Documents'!$B$4:$B$503,_calc!$E$339)))=0,"","Trade: "&amp;IF(LEN(INDEX('Documents'!$B$4:$B$503,_calc!$E$339))=0,"",INDEX('Documents'!$B$4:$B$503,_calc!$E$339))&amp;". ")&amp;IF(LEN(IF(LEN(INDEX('Documents'!$D$4:$D$503,_calc!$E$339))=0,"",INDEX('Documents'!$D$4:$D$503,_calc!$E$339)))=0,"","Ref: "&amp;IF(LEN(INDEX('Documents'!$D$4:$D$503,_calc!$E$339))=0,"",INDEX('Documents'!$D$4:$D$503,_calc!$E$339))&amp;". ")&amp;IF(LEN(IF(LEN(INDEX('Documents'!$K$4:$K$503,_calc!$E$339))=0,"",INDEX('Documents'!$K$4:$K$503,_calc!$E$339)))=0,"","On file: "&amp;IF(LEN(INDEX('Documents'!$K$4:$K$503,_calc!$E$339))=0,"",INDEX('Documents'!$K$4:$K$503,_calc!$E$339))&amp;". ")&amp;IF(LEN(IF(LEN(INDEX('Documents'!$L$4:$L$503,_calc!$E$339))=0,"",INDEX('Documents'!$L$4:$L$503,_calc!$E$339)))=0,"","Contractor email: "&amp;IF(LEN(INDEX('Documents'!$L$4:$L$503,_calc!$E$339))=0,"",INDEX('Documents'!$L$4:$L$503,_calc!$E$339))&amp;". ")&amp;IF(LEN(IF(LEN(INDEX('Documents'!$P$4:$P$503,_calc!$E$339))=0,"",INDEX('Documents'!$P$4:$P$503,_calc!$E$339)))=0,"",IF(LEN(INDEX('Documents'!$P$4:$P$503,_calc!$E$339))=0,"",INDEX('Documents'!$P$4:$P$503,_calc!$E$339)))))</f>
        <v/>
      </c>
      <c r="G337" s="43">
        <f>IF(_calc!$E$339="","",IF(LEN(INDEX('Documents'!$O$4:$O$503,_calc!$E$339))=0,"",INDEX('Documents'!$O$4:$O$503,_calc!$E$339)))</f>
        <v/>
      </c>
      <c r="K337" s="43">
        <f>IF(_calc!$E$339="","",IF(LEN(INDEX('Documents'!$M$4:$M$503,_calc!$E$339))=0,"",INDEX('Documents'!$M$4:$M$503,_calc!$E$339)))</f>
        <v/>
      </c>
    </row>
    <row r="338">
      <c r="A338" s="43">
        <f>IF(_calc!$E$340="","",IF(LEN(INDEX('Documents'!$C$4:$C$503,_calc!$E$340))=0,"",INDEX('Documents'!$C$4:$C$503,_calc!$E$340))&amp;" – "&amp;IF(LEN(INDEX('Documents'!$A$4:$A$503,_calc!$E$340))=0,"",INDEX('Documents'!$A$4:$A$503,_calc!$E$340)))</f>
        <v/>
      </c>
      <c r="B338" s="43">
        <f>IF(_calc!$E$340="","",IF(ISNUMBER(INDEX('Documents'!$F$4:$F$503,_calc!$E$340)),TEXT(INDEX('Documents'!$F$4:$F$503,_calc!$E$340),"yyyy-mm-dd"),""))</f>
        <v/>
      </c>
      <c r="C338" s="43">
        <f>IF(_calc!$E$340="","","Contractor document")</f>
        <v/>
      </c>
      <c r="D338" s="43">
        <f>IF(_calc!$E$340="","",IF(ISNUMBER(INDEX('Documents'!$E$4:$E$503,_calc!$E$340)),TEXT(INDEX('Documents'!$E$4:$E$503,_calc!$E$340),"yyyy-mm-dd"),""))</f>
        <v/>
      </c>
      <c r="E338" s="43">
        <f>IF(_calc!$E$340="","",IF(LEN(INDEX('Documents'!$N$4:$N$503,_calc!$E$340))=0,"",INDEX('Documents'!$N$4:$N$503,_calc!$E$340)))</f>
        <v/>
      </c>
      <c r="F338" s="43">
        <f>IF(_calc!$E$340="","",TRIM(IF(LEN(IF(LEN(INDEX('Documents'!$B$4:$B$503,_calc!$E$340))=0,"",INDEX('Documents'!$B$4:$B$503,_calc!$E$340)))=0,"","Trade: "&amp;IF(LEN(INDEX('Documents'!$B$4:$B$503,_calc!$E$340))=0,"",INDEX('Documents'!$B$4:$B$503,_calc!$E$340))&amp;". ")&amp;IF(LEN(IF(LEN(INDEX('Documents'!$D$4:$D$503,_calc!$E$340))=0,"",INDEX('Documents'!$D$4:$D$503,_calc!$E$340)))=0,"","Ref: "&amp;IF(LEN(INDEX('Documents'!$D$4:$D$503,_calc!$E$340))=0,"",INDEX('Documents'!$D$4:$D$503,_calc!$E$340))&amp;". ")&amp;IF(LEN(IF(LEN(INDEX('Documents'!$K$4:$K$503,_calc!$E$340))=0,"",INDEX('Documents'!$K$4:$K$503,_calc!$E$340)))=0,"","On file: "&amp;IF(LEN(INDEX('Documents'!$K$4:$K$503,_calc!$E$340))=0,"",INDEX('Documents'!$K$4:$K$503,_calc!$E$340))&amp;". ")&amp;IF(LEN(IF(LEN(INDEX('Documents'!$L$4:$L$503,_calc!$E$340))=0,"",INDEX('Documents'!$L$4:$L$503,_calc!$E$340)))=0,"","Contractor email: "&amp;IF(LEN(INDEX('Documents'!$L$4:$L$503,_calc!$E$340))=0,"",INDEX('Documents'!$L$4:$L$503,_calc!$E$340))&amp;". ")&amp;IF(LEN(IF(LEN(INDEX('Documents'!$P$4:$P$503,_calc!$E$340))=0,"",INDEX('Documents'!$P$4:$P$503,_calc!$E$340)))=0,"",IF(LEN(INDEX('Documents'!$P$4:$P$503,_calc!$E$340))=0,"",INDEX('Documents'!$P$4:$P$503,_calc!$E$340)))))</f>
        <v/>
      </c>
      <c r="G338" s="43">
        <f>IF(_calc!$E$340="","",IF(LEN(INDEX('Documents'!$O$4:$O$503,_calc!$E$340))=0,"",INDEX('Documents'!$O$4:$O$503,_calc!$E$340)))</f>
        <v/>
      </c>
      <c r="K338" s="43">
        <f>IF(_calc!$E$340="","",IF(LEN(INDEX('Documents'!$M$4:$M$503,_calc!$E$340))=0,"",INDEX('Documents'!$M$4:$M$503,_calc!$E$340)))</f>
        <v/>
      </c>
    </row>
    <row r="339">
      <c r="A339" s="43">
        <f>IF(_calc!$E$341="","",IF(LEN(INDEX('Documents'!$C$4:$C$503,_calc!$E$341))=0,"",INDEX('Documents'!$C$4:$C$503,_calc!$E$341))&amp;" – "&amp;IF(LEN(INDEX('Documents'!$A$4:$A$503,_calc!$E$341))=0,"",INDEX('Documents'!$A$4:$A$503,_calc!$E$341)))</f>
        <v/>
      </c>
      <c r="B339" s="43">
        <f>IF(_calc!$E$341="","",IF(ISNUMBER(INDEX('Documents'!$F$4:$F$503,_calc!$E$341)),TEXT(INDEX('Documents'!$F$4:$F$503,_calc!$E$341),"yyyy-mm-dd"),""))</f>
        <v/>
      </c>
      <c r="C339" s="43">
        <f>IF(_calc!$E$341="","","Contractor document")</f>
        <v/>
      </c>
      <c r="D339" s="43">
        <f>IF(_calc!$E$341="","",IF(ISNUMBER(INDEX('Documents'!$E$4:$E$503,_calc!$E$341)),TEXT(INDEX('Documents'!$E$4:$E$503,_calc!$E$341),"yyyy-mm-dd"),""))</f>
        <v/>
      </c>
      <c r="E339" s="43">
        <f>IF(_calc!$E$341="","",IF(LEN(INDEX('Documents'!$N$4:$N$503,_calc!$E$341))=0,"",INDEX('Documents'!$N$4:$N$503,_calc!$E$341)))</f>
        <v/>
      </c>
      <c r="F339" s="43">
        <f>IF(_calc!$E$341="","",TRIM(IF(LEN(IF(LEN(INDEX('Documents'!$B$4:$B$503,_calc!$E$341))=0,"",INDEX('Documents'!$B$4:$B$503,_calc!$E$341)))=0,"","Trade: "&amp;IF(LEN(INDEX('Documents'!$B$4:$B$503,_calc!$E$341))=0,"",INDEX('Documents'!$B$4:$B$503,_calc!$E$341))&amp;". ")&amp;IF(LEN(IF(LEN(INDEX('Documents'!$D$4:$D$503,_calc!$E$341))=0,"",INDEX('Documents'!$D$4:$D$503,_calc!$E$341)))=0,"","Ref: "&amp;IF(LEN(INDEX('Documents'!$D$4:$D$503,_calc!$E$341))=0,"",INDEX('Documents'!$D$4:$D$503,_calc!$E$341))&amp;". ")&amp;IF(LEN(IF(LEN(INDEX('Documents'!$K$4:$K$503,_calc!$E$341))=0,"",INDEX('Documents'!$K$4:$K$503,_calc!$E$341)))=0,"","On file: "&amp;IF(LEN(INDEX('Documents'!$K$4:$K$503,_calc!$E$341))=0,"",INDEX('Documents'!$K$4:$K$503,_calc!$E$341))&amp;". ")&amp;IF(LEN(IF(LEN(INDEX('Documents'!$L$4:$L$503,_calc!$E$341))=0,"",INDEX('Documents'!$L$4:$L$503,_calc!$E$341)))=0,"","Contractor email: "&amp;IF(LEN(INDEX('Documents'!$L$4:$L$503,_calc!$E$341))=0,"",INDEX('Documents'!$L$4:$L$503,_calc!$E$341))&amp;". ")&amp;IF(LEN(IF(LEN(INDEX('Documents'!$P$4:$P$503,_calc!$E$341))=0,"",INDEX('Documents'!$P$4:$P$503,_calc!$E$341)))=0,"",IF(LEN(INDEX('Documents'!$P$4:$P$503,_calc!$E$341))=0,"",INDEX('Documents'!$P$4:$P$503,_calc!$E$341)))))</f>
        <v/>
      </c>
      <c r="G339" s="43">
        <f>IF(_calc!$E$341="","",IF(LEN(INDEX('Documents'!$O$4:$O$503,_calc!$E$341))=0,"",INDEX('Documents'!$O$4:$O$503,_calc!$E$341)))</f>
        <v/>
      </c>
      <c r="K339" s="43">
        <f>IF(_calc!$E$341="","",IF(LEN(INDEX('Documents'!$M$4:$M$503,_calc!$E$341))=0,"",INDEX('Documents'!$M$4:$M$503,_calc!$E$341)))</f>
        <v/>
      </c>
    </row>
    <row r="340">
      <c r="A340" s="43">
        <f>IF(_calc!$E$342="","",IF(LEN(INDEX('Documents'!$C$4:$C$503,_calc!$E$342))=0,"",INDEX('Documents'!$C$4:$C$503,_calc!$E$342))&amp;" – "&amp;IF(LEN(INDEX('Documents'!$A$4:$A$503,_calc!$E$342))=0,"",INDEX('Documents'!$A$4:$A$503,_calc!$E$342)))</f>
        <v/>
      </c>
      <c r="B340" s="43">
        <f>IF(_calc!$E$342="","",IF(ISNUMBER(INDEX('Documents'!$F$4:$F$503,_calc!$E$342)),TEXT(INDEX('Documents'!$F$4:$F$503,_calc!$E$342),"yyyy-mm-dd"),""))</f>
        <v/>
      </c>
      <c r="C340" s="43">
        <f>IF(_calc!$E$342="","","Contractor document")</f>
        <v/>
      </c>
      <c r="D340" s="43">
        <f>IF(_calc!$E$342="","",IF(ISNUMBER(INDEX('Documents'!$E$4:$E$503,_calc!$E$342)),TEXT(INDEX('Documents'!$E$4:$E$503,_calc!$E$342),"yyyy-mm-dd"),""))</f>
        <v/>
      </c>
      <c r="E340" s="43">
        <f>IF(_calc!$E$342="","",IF(LEN(INDEX('Documents'!$N$4:$N$503,_calc!$E$342))=0,"",INDEX('Documents'!$N$4:$N$503,_calc!$E$342)))</f>
        <v/>
      </c>
      <c r="F340" s="43">
        <f>IF(_calc!$E$342="","",TRIM(IF(LEN(IF(LEN(INDEX('Documents'!$B$4:$B$503,_calc!$E$342))=0,"",INDEX('Documents'!$B$4:$B$503,_calc!$E$342)))=0,"","Trade: "&amp;IF(LEN(INDEX('Documents'!$B$4:$B$503,_calc!$E$342))=0,"",INDEX('Documents'!$B$4:$B$503,_calc!$E$342))&amp;". ")&amp;IF(LEN(IF(LEN(INDEX('Documents'!$D$4:$D$503,_calc!$E$342))=0,"",INDEX('Documents'!$D$4:$D$503,_calc!$E$342)))=0,"","Ref: "&amp;IF(LEN(INDEX('Documents'!$D$4:$D$503,_calc!$E$342))=0,"",INDEX('Documents'!$D$4:$D$503,_calc!$E$342))&amp;". ")&amp;IF(LEN(IF(LEN(INDEX('Documents'!$K$4:$K$503,_calc!$E$342))=0,"",INDEX('Documents'!$K$4:$K$503,_calc!$E$342)))=0,"","On file: "&amp;IF(LEN(INDEX('Documents'!$K$4:$K$503,_calc!$E$342))=0,"",INDEX('Documents'!$K$4:$K$503,_calc!$E$342))&amp;". ")&amp;IF(LEN(IF(LEN(INDEX('Documents'!$L$4:$L$503,_calc!$E$342))=0,"",INDEX('Documents'!$L$4:$L$503,_calc!$E$342)))=0,"","Contractor email: "&amp;IF(LEN(INDEX('Documents'!$L$4:$L$503,_calc!$E$342))=0,"",INDEX('Documents'!$L$4:$L$503,_calc!$E$342))&amp;". ")&amp;IF(LEN(IF(LEN(INDEX('Documents'!$P$4:$P$503,_calc!$E$342))=0,"",INDEX('Documents'!$P$4:$P$503,_calc!$E$342)))=0,"",IF(LEN(INDEX('Documents'!$P$4:$P$503,_calc!$E$342))=0,"",INDEX('Documents'!$P$4:$P$503,_calc!$E$342)))))</f>
        <v/>
      </c>
      <c r="G340" s="43">
        <f>IF(_calc!$E$342="","",IF(LEN(INDEX('Documents'!$O$4:$O$503,_calc!$E$342))=0,"",INDEX('Documents'!$O$4:$O$503,_calc!$E$342)))</f>
        <v/>
      </c>
      <c r="K340" s="43">
        <f>IF(_calc!$E$342="","",IF(LEN(INDEX('Documents'!$M$4:$M$503,_calc!$E$342))=0,"",INDEX('Documents'!$M$4:$M$503,_calc!$E$342)))</f>
        <v/>
      </c>
    </row>
    <row r="341">
      <c r="A341" s="43">
        <f>IF(_calc!$E$343="","",IF(LEN(INDEX('Documents'!$C$4:$C$503,_calc!$E$343))=0,"",INDEX('Documents'!$C$4:$C$503,_calc!$E$343))&amp;" – "&amp;IF(LEN(INDEX('Documents'!$A$4:$A$503,_calc!$E$343))=0,"",INDEX('Documents'!$A$4:$A$503,_calc!$E$343)))</f>
        <v/>
      </c>
      <c r="B341" s="43">
        <f>IF(_calc!$E$343="","",IF(ISNUMBER(INDEX('Documents'!$F$4:$F$503,_calc!$E$343)),TEXT(INDEX('Documents'!$F$4:$F$503,_calc!$E$343),"yyyy-mm-dd"),""))</f>
        <v/>
      </c>
      <c r="C341" s="43">
        <f>IF(_calc!$E$343="","","Contractor document")</f>
        <v/>
      </c>
      <c r="D341" s="43">
        <f>IF(_calc!$E$343="","",IF(ISNUMBER(INDEX('Documents'!$E$4:$E$503,_calc!$E$343)),TEXT(INDEX('Documents'!$E$4:$E$503,_calc!$E$343),"yyyy-mm-dd"),""))</f>
        <v/>
      </c>
      <c r="E341" s="43">
        <f>IF(_calc!$E$343="","",IF(LEN(INDEX('Documents'!$N$4:$N$503,_calc!$E$343))=0,"",INDEX('Documents'!$N$4:$N$503,_calc!$E$343)))</f>
        <v/>
      </c>
      <c r="F341" s="43">
        <f>IF(_calc!$E$343="","",TRIM(IF(LEN(IF(LEN(INDEX('Documents'!$B$4:$B$503,_calc!$E$343))=0,"",INDEX('Documents'!$B$4:$B$503,_calc!$E$343)))=0,"","Trade: "&amp;IF(LEN(INDEX('Documents'!$B$4:$B$503,_calc!$E$343))=0,"",INDEX('Documents'!$B$4:$B$503,_calc!$E$343))&amp;". ")&amp;IF(LEN(IF(LEN(INDEX('Documents'!$D$4:$D$503,_calc!$E$343))=0,"",INDEX('Documents'!$D$4:$D$503,_calc!$E$343)))=0,"","Ref: "&amp;IF(LEN(INDEX('Documents'!$D$4:$D$503,_calc!$E$343))=0,"",INDEX('Documents'!$D$4:$D$503,_calc!$E$343))&amp;". ")&amp;IF(LEN(IF(LEN(INDEX('Documents'!$K$4:$K$503,_calc!$E$343))=0,"",INDEX('Documents'!$K$4:$K$503,_calc!$E$343)))=0,"","On file: "&amp;IF(LEN(INDEX('Documents'!$K$4:$K$503,_calc!$E$343))=0,"",INDEX('Documents'!$K$4:$K$503,_calc!$E$343))&amp;". ")&amp;IF(LEN(IF(LEN(INDEX('Documents'!$L$4:$L$503,_calc!$E$343))=0,"",INDEX('Documents'!$L$4:$L$503,_calc!$E$343)))=0,"","Contractor email: "&amp;IF(LEN(INDEX('Documents'!$L$4:$L$503,_calc!$E$343))=0,"",INDEX('Documents'!$L$4:$L$503,_calc!$E$343))&amp;". ")&amp;IF(LEN(IF(LEN(INDEX('Documents'!$P$4:$P$503,_calc!$E$343))=0,"",INDEX('Documents'!$P$4:$P$503,_calc!$E$343)))=0,"",IF(LEN(INDEX('Documents'!$P$4:$P$503,_calc!$E$343))=0,"",INDEX('Documents'!$P$4:$P$503,_calc!$E$343)))))</f>
        <v/>
      </c>
      <c r="G341" s="43">
        <f>IF(_calc!$E$343="","",IF(LEN(INDEX('Documents'!$O$4:$O$503,_calc!$E$343))=0,"",INDEX('Documents'!$O$4:$O$503,_calc!$E$343)))</f>
        <v/>
      </c>
      <c r="K341" s="43">
        <f>IF(_calc!$E$343="","",IF(LEN(INDEX('Documents'!$M$4:$M$503,_calc!$E$343))=0,"",INDEX('Documents'!$M$4:$M$503,_calc!$E$343)))</f>
        <v/>
      </c>
    </row>
    <row r="342">
      <c r="A342" s="43">
        <f>IF(_calc!$E$344="","",IF(LEN(INDEX('Documents'!$C$4:$C$503,_calc!$E$344))=0,"",INDEX('Documents'!$C$4:$C$503,_calc!$E$344))&amp;" – "&amp;IF(LEN(INDEX('Documents'!$A$4:$A$503,_calc!$E$344))=0,"",INDEX('Documents'!$A$4:$A$503,_calc!$E$344)))</f>
        <v/>
      </c>
      <c r="B342" s="43">
        <f>IF(_calc!$E$344="","",IF(ISNUMBER(INDEX('Documents'!$F$4:$F$503,_calc!$E$344)),TEXT(INDEX('Documents'!$F$4:$F$503,_calc!$E$344),"yyyy-mm-dd"),""))</f>
        <v/>
      </c>
      <c r="C342" s="43">
        <f>IF(_calc!$E$344="","","Contractor document")</f>
        <v/>
      </c>
      <c r="D342" s="43">
        <f>IF(_calc!$E$344="","",IF(ISNUMBER(INDEX('Documents'!$E$4:$E$503,_calc!$E$344)),TEXT(INDEX('Documents'!$E$4:$E$503,_calc!$E$344),"yyyy-mm-dd"),""))</f>
        <v/>
      </c>
      <c r="E342" s="43">
        <f>IF(_calc!$E$344="","",IF(LEN(INDEX('Documents'!$N$4:$N$503,_calc!$E$344))=0,"",INDEX('Documents'!$N$4:$N$503,_calc!$E$344)))</f>
        <v/>
      </c>
      <c r="F342" s="43">
        <f>IF(_calc!$E$344="","",TRIM(IF(LEN(IF(LEN(INDEX('Documents'!$B$4:$B$503,_calc!$E$344))=0,"",INDEX('Documents'!$B$4:$B$503,_calc!$E$344)))=0,"","Trade: "&amp;IF(LEN(INDEX('Documents'!$B$4:$B$503,_calc!$E$344))=0,"",INDEX('Documents'!$B$4:$B$503,_calc!$E$344))&amp;". ")&amp;IF(LEN(IF(LEN(INDEX('Documents'!$D$4:$D$503,_calc!$E$344))=0,"",INDEX('Documents'!$D$4:$D$503,_calc!$E$344)))=0,"","Ref: "&amp;IF(LEN(INDEX('Documents'!$D$4:$D$503,_calc!$E$344))=0,"",INDEX('Documents'!$D$4:$D$503,_calc!$E$344))&amp;". ")&amp;IF(LEN(IF(LEN(INDEX('Documents'!$K$4:$K$503,_calc!$E$344))=0,"",INDEX('Documents'!$K$4:$K$503,_calc!$E$344)))=0,"","On file: "&amp;IF(LEN(INDEX('Documents'!$K$4:$K$503,_calc!$E$344))=0,"",INDEX('Documents'!$K$4:$K$503,_calc!$E$344))&amp;". ")&amp;IF(LEN(IF(LEN(INDEX('Documents'!$L$4:$L$503,_calc!$E$344))=0,"",INDEX('Documents'!$L$4:$L$503,_calc!$E$344)))=0,"","Contractor email: "&amp;IF(LEN(INDEX('Documents'!$L$4:$L$503,_calc!$E$344))=0,"",INDEX('Documents'!$L$4:$L$503,_calc!$E$344))&amp;". ")&amp;IF(LEN(IF(LEN(INDEX('Documents'!$P$4:$P$503,_calc!$E$344))=0,"",INDEX('Documents'!$P$4:$P$503,_calc!$E$344)))=0,"",IF(LEN(INDEX('Documents'!$P$4:$P$503,_calc!$E$344))=0,"",INDEX('Documents'!$P$4:$P$503,_calc!$E$344)))))</f>
        <v/>
      </c>
      <c r="G342" s="43">
        <f>IF(_calc!$E$344="","",IF(LEN(INDEX('Documents'!$O$4:$O$503,_calc!$E$344))=0,"",INDEX('Documents'!$O$4:$O$503,_calc!$E$344)))</f>
        <v/>
      </c>
      <c r="K342" s="43">
        <f>IF(_calc!$E$344="","",IF(LEN(INDEX('Documents'!$M$4:$M$503,_calc!$E$344))=0,"",INDEX('Documents'!$M$4:$M$503,_calc!$E$344)))</f>
        <v/>
      </c>
    </row>
    <row r="343">
      <c r="A343" s="43">
        <f>IF(_calc!$E$345="","",IF(LEN(INDEX('Documents'!$C$4:$C$503,_calc!$E$345))=0,"",INDEX('Documents'!$C$4:$C$503,_calc!$E$345))&amp;" – "&amp;IF(LEN(INDEX('Documents'!$A$4:$A$503,_calc!$E$345))=0,"",INDEX('Documents'!$A$4:$A$503,_calc!$E$345)))</f>
        <v/>
      </c>
      <c r="B343" s="43">
        <f>IF(_calc!$E$345="","",IF(ISNUMBER(INDEX('Documents'!$F$4:$F$503,_calc!$E$345)),TEXT(INDEX('Documents'!$F$4:$F$503,_calc!$E$345),"yyyy-mm-dd"),""))</f>
        <v/>
      </c>
      <c r="C343" s="43">
        <f>IF(_calc!$E$345="","","Contractor document")</f>
        <v/>
      </c>
      <c r="D343" s="43">
        <f>IF(_calc!$E$345="","",IF(ISNUMBER(INDEX('Documents'!$E$4:$E$503,_calc!$E$345)),TEXT(INDEX('Documents'!$E$4:$E$503,_calc!$E$345),"yyyy-mm-dd"),""))</f>
        <v/>
      </c>
      <c r="E343" s="43">
        <f>IF(_calc!$E$345="","",IF(LEN(INDEX('Documents'!$N$4:$N$503,_calc!$E$345))=0,"",INDEX('Documents'!$N$4:$N$503,_calc!$E$345)))</f>
        <v/>
      </c>
      <c r="F343" s="43">
        <f>IF(_calc!$E$345="","",TRIM(IF(LEN(IF(LEN(INDEX('Documents'!$B$4:$B$503,_calc!$E$345))=0,"",INDEX('Documents'!$B$4:$B$503,_calc!$E$345)))=0,"","Trade: "&amp;IF(LEN(INDEX('Documents'!$B$4:$B$503,_calc!$E$345))=0,"",INDEX('Documents'!$B$4:$B$503,_calc!$E$345))&amp;". ")&amp;IF(LEN(IF(LEN(INDEX('Documents'!$D$4:$D$503,_calc!$E$345))=0,"",INDEX('Documents'!$D$4:$D$503,_calc!$E$345)))=0,"","Ref: "&amp;IF(LEN(INDEX('Documents'!$D$4:$D$503,_calc!$E$345))=0,"",INDEX('Documents'!$D$4:$D$503,_calc!$E$345))&amp;". ")&amp;IF(LEN(IF(LEN(INDEX('Documents'!$K$4:$K$503,_calc!$E$345))=0,"",INDEX('Documents'!$K$4:$K$503,_calc!$E$345)))=0,"","On file: "&amp;IF(LEN(INDEX('Documents'!$K$4:$K$503,_calc!$E$345))=0,"",INDEX('Documents'!$K$4:$K$503,_calc!$E$345))&amp;". ")&amp;IF(LEN(IF(LEN(INDEX('Documents'!$L$4:$L$503,_calc!$E$345))=0,"",INDEX('Documents'!$L$4:$L$503,_calc!$E$345)))=0,"","Contractor email: "&amp;IF(LEN(INDEX('Documents'!$L$4:$L$503,_calc!$E$345))=0,"",INDEX('Documents'!$L$4:$L$503,_calc!$E$345))&amp;". ")&amp;IF(LEN(IF(LEN(INDEX('Documents'!$P$4:$P$503,_calc!$E$345))=0,"",INDEX('Documents'!$P$4:$P$503,_calc!$E$345)))=0,"",IF(LEN(INDEX('Documents'!$P$4:$P$503,_calc!$E$345))=0,"",INDEX('Documents'!$P$4:$P$503,_calc!$E$345)))))</f>
        <v/>
      </c>
      <c r="G343" s="43">
        <f>IF(_calc!$E$345="","",IF(LEN(INDEX('Documents'!$O$4:$O$503,_calc!$E$345))=0,"",INDEX('Documents'!$O$4:$O$503,_calc!$E$345)))</f>
        <v/>
      </c>
      <c r="K343" s="43">
        <f>IF(_calc!$E$345="","",IF(LEN(INDEX('Documents'!$M$4:$M$503,_calc!$E$345))=0,"",INDEX('Documents'!$M$4:$M$503,_calc!$E$345)))</f>
        <v/>
      </c>
    </row>
    <row r="344">
      <c r="A344" s="43">
        <f>IF(_calc!$E$346="","",IF(LEN(INDEX('Documents'!$C$4:$C$503,_calc!$E$346))=0,"",INDEX('Documents'!$C$4:$C$503,_calc!$E$346))&amp;" – "&amp;IF(LEN(INDEX('Documents'!$A$4:$A$503,_calc!$E$346))=0,"",INDEX('Documents'!$A$4:$A$503,_calc!$E$346)))</f>
        <v/>
      </c>
      <c r="B344" s="43">
        <f>IF(_calc!$E$346="","",IF(ISNUMBER(INDEX('Documents'!$F$4:$F$503,_calc!$E$346)),TEXT(INDEX('Documents'!$F$4:$F$503,_calc!$E$346),"yyyy-mm-dd"),""))</f>
        <v/>
      </c>
      <c r="C344" s="43">
        <f>IF(_calc!$E$346="","","Contractor document")</f>
        <v/>
      </c>
      <c r="D344" s="43">
        <f>IF(_calc!$E$346="","",IF(ISNUMBER(INDEX('Documents'!$E$4:$E$503,_calc!$E$346)),TEXT(INDEX('Documents'!$E$4:$E$503,_calc!$E$346),"yyyy-mm-dd"),""))</f>
        <v/>
      </c>
      <c r="E344" s="43">
        <f>IF(_calc!$E$346="","",IF(LEN(INDEX('Documents'!$N$4:$N$503,_calc!$E$346))=0,"",INDEX('Documents'!$N$4:$N$503,_calc!$E$346)))</f>
        <v/>
      </c>
      <c r="F344" s="43">
        <f>IF(_calc!$E$346="","",TRIM(IF(LEN(IF(LEN(INDEX('Documents'!$B$4:$B$503,_calc!$E$346))=0,"",INDEX('Documents'!$B$4:$B$503,_calc!$E$346)))=0,"","Trade: "&amp;IF(LEN(INDEX('Documents'!$B$4:$B$503,_calc!$E$346))=0,"",INDEX('Documents'!$B$4:$B$503,_calc!$E$346))&amp;". ")&amp;IF(LEN(IF(LEN(INDEX('Documents'!$D$4:$D$503,_calc!$E$346))=0,"",INDEX('Documents'!$D$4:$D$503,_calc!$E$346)))=0,"","Ref: "&amp;IF(LEN(INDEX('Documents'!$D$4:$D$503,_calc!$E$346))=0,"",INDEX('Documents'!$D$4:$D$503,_calc!$E$346))&amp;". ")&amp;IF(LEN(IF(LEN(INDEX('Documents'!$K$4:$K$503,_calc!$E$346))=0,"",INDEX('Documents'!$K$4:$K$503,_calc!$E$346)))=0,"","On file: "&amp;IF(LEN(INDEX('Documents'!$K$4:$K$503,_calc!$E$346))=0,"",INDEX('Documents'!$K$4:$K$503,_calc!$E$346))&amp;". ")&amp;IF(LEN(IF(LEN(INDEX('Documents'!$L$4:$L$503,_calc!$E$346))=0,"",INDEX('Documents'!$L$4:$L$503,_calc!$E$346)))=0,"","Contractor email: "&amp;IF(LEN(INDEX('Documents'!$L$4:$L$503,_calc!$E$346))=0,"",INDEX('Documents'!$L$4:$L$503,_calc!$E$346))&amp;". ")&amp;IF(LEN(IF(LEN(INDEX('Documents'!$P$4:$P$503,_calc!$E$346))=0,"",INDEX('Documents'!$P$4:$P$503,_calc!$E$346)))=0,"",IF(LEN(INDEX('Documents'!$P$4:$P$503,_calc!$E$346))=0,"",INDEX('Documents'!$P$4:$P$503,_calc!$E$346)))))</f>
        <v/>
      </c>
      <c r="G344" s="43">
        <f>IF(_calc!$E$346="","",IF(LEN(INDEX('Documents'!$O$4:$O$503,_calc!$E$346))=0,"",INDEX('Documents'!$O$4:$O$503,_calc!$E$346)))</f>
        <v/>
      </c>
      <c r="K344" s="43">
        <f>IF(_calc!$E$346="","",IF(LEN(INDEX('Documents'!$M$4:$M$503,_calc!$E$346))=0,"",INDEX('Documents'!$M$4:$M$503,_calc!$E$346)))</f>
        <v/>
      </c>
    </row>
    <row r="345">
      <c r="A345" s="43">
        <f>IF(_calc!$E$347="","",IF(LEN(INDEX('Documents'!$C$4:$C$503,_calc!$E$347))=0,"",INDEX('Documents'!$C$4:$C$503,_calc!$E$347))&amp;" – "&amp;IF(LEN(INDEX('Documents'!$A$4:$A$503,_calc!$E$347))=0,"",INDEX('Documents'!$A$4:$A$503,_calc!$E$347)))</f>
        <v/>
      </c>
      <c r="B345" s="43">
        <f>IF(_calc!$E$347="","",IF(ISNUMBER(INDEX('Documents'!$F$4:$F$503,_calc!$E$347)),TEXT(INDEX('Documents'!$F$4:$F$503,_calc!$E$347),"yyyy-mm-dd"),""))</f>
        <v/>
      </c>
      <c r="C345" s="43">
        <f>IF(_calc!$E$347="","","Contractor document")</f>
        <v/>
      </c>
      <c r="D345" s="43">
        <f>IF(_calc!$E$347="","",IF(ISNUMBER(INDEX('Documents'!$E$4:$E$503,_calc!$E$347)),TEXT(INDEX('Documents'!$E$4:$E$503,_calc!$E$347),"yyyy-mm-dd"),""))</f>
        <v/>
      </c>
      <c r="E345" s="43">
        <f>IF(_calc!$E$347="","",IF(LEN(INDEX('Documents'!$N$4:$N$503,_calc!$E$347))=0,"",INDEX('Documents'!$N$4:$N$503,_calc!$E$347)))</f>
        <v/>
      </c>
      <c r="F345" s="43">
        <f>IF(_calc!$E$347="","",TRIM(IF(LEN(IF(LEN(INDEX('Documents'!$B$4:$B$503,_calc!$E$347))=0,"",INDEX('Documents'!$B$4:$B$503,_calc!$E$347)))=0,"","Trade: "&amp;IF(LEN(INDEX('Documents'!$B$4:$B$503,_calc!$E$347))=0,"",INDEX('Documents'!$B$4:$B$503,_calc!$E$347))&amp;". ")&amp;IF(LEN(IF(LEN(INDEX('Documents'!$D$4:$D$503,_calc!$E$347))=0,"",INDEX('Documents'!$D$4:$D$503,_calc!$E$347)))=0,"","Ref: "&amp;IF(LEN(INDEX('Documents'!$D$4:$D$503,_calc!$E$347))=0,"",INDEX('Documents'!$D$4:$D$503,_calc!$E$347))&amp;". ")&amp;IF(LEN(IF(LEN(INDEX('Documents'!$K$4:$K$503,_calc!$E$347))=0,"",INDEX('Documents'!$K$4:$K$503,_calc!$E$347)))=0,"","On file: "&amp;IF(LEN(INDEX('Documents'!$K$4:$K$503,_calc!$E$347))=0,"",INDEX('Documents'!$K$4:$K$503,_calc!$E$347))&amp;". ")&amp;IF(LEN(IF(LEN(INDEX('Documents'!$L$4:$L$503,_calc!$E$347))=0,"",INDEX('Documents'!$L$4:$L$503,_calc!$E$347)))=0,"","Contractor email: "&amp;IF(LEN(INDEX('Documents'!$L$4:$L$503,_calc!$E$347))=0,"",INDEX('Documents'!$L$4:$L$503,_calc!$E$347))&amp;". ")&amp;IF(LEN(IF(LEN(INDEX('Documents'!$P$4:$P$503,_calc!$E$347))=0,"",INDEX('Documents'!$P$4:$P$503,_calc!$E$347)))=0,"",IF(LEN(INDEX('Documents'!$P$4:$P$503,_calc!$E$347))=0,"",INDEX('Documents'!$P$4:$P$503,_calc!$E$347)))))</f>
        <v/>
      </c>
      <c r="G345" s="43">
        <f>IF(_calc!$E$347="","",IF(LEN(INDEX('Documents'!$O$4:$O$503,_calc!$E$347))=0,"",INDEX('Documents'!$O$4:$O$503,_calc!$E$347)))</f>
        <v/>
      </c>
      <c r="K345" s="43">
        <f>IF(_calc!$E$347="","",IF(LEN(INDEX('Documents'!$M$4:$M$503,_calc!$E$347))=0,"",INDEX('Documents'!$M$4:$M$503,_calc!$E$347)))</f>
        <v/>
      </c>
    </row>
    <row r="346">
      <c r="A346" s="43">
        <f>IF(_calc!$E$348="","",IF(LEN(INDEX('Documents'!$C$4:$C$503,_calc!$E$348))=0,"",INDEX('Documents'!$C$4:$C$503,_calc!$E$348))&amp;" – "&amp;IF(LEN(INDEX('Documents'!$A$4:$A$503,_calc!$E$348))=0,"",INDEX('Documents'!$A$4:$A$503,_calc!$E$348)))</f>
        <v/>
      </c>
      <c r="B346" s="43">
        <f>IF(_calc!$E$348="","",IF(ISNUMBER(INDEX('Documents'!$F$4:$F$503,_calc!$E$348)),TEXT(INDEX('Documents'!$F$4:$F$503,_calc!$E$348),"yyyy-mm-dd"),""))</f>
        <v/>
      </c>
      <c r="C346" s="43">
        <f>IF(_calc!$E$348="","","Contractor document")</f>
        <v/>
      </c>
      <c r="D346" s="43">
        <f>IF(_calc!$E$348="","",IF(ISNUMBER(INDEX('Documents'!$E$4:$E$503,_calc!$E$348)),TEXT(INDEX('Documents'!$E$4:$E$503,_calc!$E$348),"yyyy-mm-dd"),""))</f>
        <v/>
      </c>
      <c r="E346" s="43">
        <f>IF(_calc!$E$348="","",IF(LEN(INDEX('Documents'!$N$4:$N$503,_calc!$E$348))=0,"",INDEX('Documents'!$N$4:$N$503,_calc!$E$348)))</f>
        <v/>
      </c>
      <c r="F346" s="43">
        <f>IF(_calc!$E$348="","",TRIM(IF(LEN(IF(LEN(INDEX('Documents'!$B$4:$B$503,_calc!$E$348))=0,"",INDEX('Documents'!$B$4:$B$503,_calc!$E$348)))=0,"","Trade: "&amp;IF(LEN(INDEX('Documents'!$B$4:$B$503,_calc!$E$348))=0,"",INDEX('Documents'!$B$4:$B$503,_calc!$E$348))&amp;". ")&amp;IF(LEN(IF(LEN(INDEX('Documents'!$D$4:$D$503,_calc!$E$348))=0,"",INDEX('Documents'!$D$4:$D$503,_calc!$E$348)))=0,"","Ref: "&amp;IF(LEN(INDEX('Documents'!$D$4:$D$503,_calc!$E$348))=0,"",INDEX('Documents'!$D$4:$D$503,_calc!$E$348))&amp;". ")&amp;IF(LEN(IF(LEN(INDEX('Documents'!$K$4:$K$503,_calc!$E$348))=0,"",INDEX('Documents'!$K$4:$K$503,_calc!$E$348)))=0,"","On file: "&amp;IF(LEN(INDEX('Documents'!$K$4:$K$503,_calc!$E$348))=0,"",INDEX('Documents'!$K$4:$K$503,_calc!$E$348))&amp;". ")&amp;IF(LEN(IF(LEN(INDEX('Documents'!$L$4:$L$503,_calc!$E$348))=0,"",INDEX('Documents'!$L$4:$L$503,_calc!$E$348)))=0,"","Contractor email: "&amp;IF(LEN(INDEX('Documents'!$L$4:$L$503,_calc!$E$348))=0,"",INDEX('Documents'!$L$4:$L$503,_calc!$E$348))&amp;". ")&amp;IF(LEN(IF(LEN(INDEX('Documents'!$P$4:$P$503,_calc!$E$348))=0,"",INDEX('Documents'!$P$4:$P$503,_calc!$E$348)))=0,"",IF(LEN(INDEX('Documents'!$P$4:$P$503,_calc!$E$348))=0,"",INDEX('Documents'!$P$4:$P$503,_calc!$E$348)))))</f>
        <v/>
      </c>
      <c r="G346" s="43">
        <f>IF(_calc!$E$348="","",IF(LEN(INDEX('Documents'!$O$4:$O$503,_calc!$E$348))=0,"",INDEX('Documents'!$O$4:$O$503,_calc!$E$348)))</f>
        <v/>
      </c>
      <c r="K346" s="43">
        <f>IF(_calc!$E$348="","",IF(LEN(INDEX('Documents'!$M$4:$M$503,_calc!$E$348))=0,"",INDEX('Documents'!$M$4:$M$503,_calc!$E$348)))</f>
        <v/>
      </c>
    </row>
    <row r="347">
      <c r="A347" s="43">
        <f>IF(_calc!$E$349="","",IF(LEN(INDEX('Documents'!$C$4:$C$503,_calc!$E$349))=0,"",INDEX('Documents'!$C$4:$C$503,_calc!$E$349))&amp;" – "&amp;IF(LEN(INDEX('Documents'!$A$4:$A$503,_calc!$E$349))=0,"",INDEX('Documents'!$A$4:$A$503,_calc!$E$349)))</f>
        <v/>
      </c>
      <c r="B347" s="43">
        <f>IF(_calc!$E$349="","",IF(ISNUMBER(INDEX('Documents'!$F$4:$F$503,_calc!$E$349)),TEXT(INDEX('Documents'!$F$4:$F$503,_calc!$E$349),"yyyy-mm-dd"),""))</f>
        <v/>
      </c>
      <c r="C347" s="43">
        <f>IF(_calc!$E$349="","","Contractor document")</f>
        <v/>
      </c>
      <c r="D347" s="43">
        <f>IF(_calc!$E$349="","",IF(ISNUMBER(INDEX('Documents'!$E$4:$E$503,_calc!$E$349)),TEXT(INDEX('Documents'!$E$4:$E$503,_calc!$E$349),"yyyy-mm-dd"),""))</f>
        <v/>
      </c>
      <c r="E347" s="43">
        <f>IF(_calc!$E$349="","",IF(LEN(INDEX('Documents'!$N$4:$N$503,_calc!$E$349))=0,"",INDEX('Documents'!$N$4:$N$503,_calc!$E$349)))</f>
        <v/>
      </c>
      <c r="F347" s="43">
        <f>IF(_calc!$E$349="","",TRIM(IF(LEN(IF(LEN(INDEX('Documents'!$B$4:$B$503,_calc!$E$349))=0,"",INDEX('Documents'!$B$4:$B$503,_calc!$E$349)))=0,"","Trade: "&amp;IF(LEN(INDEX('Documents'!$B$4:$B$503,_calc!$E$349))=0,"",INDEX('Documents'!$B$4:$B$503,_calc!$E$349))&amp;". ")&amp;IF(LEN(IF(LEN(INDEX('Documents'!$D$4:$D$503,_calc!$E$349))=0,"",INDEX('Documents'!$D$4:$D$503,_calc!$E$349)))=0,"","Ref: "&amp;IF(LEN(INDEX('Documents'!$D$4:$D$503,_calc!$E$349))=0,"",INDEX('Documents'!$D$4:$D$503,_calc!$E$349))&amp;". ")&amp;IF(LEN(IF(LEN(INDEX('Documents'!$K$4:$K$503,_calc!$E$349))=0,"",INDEX('Documents'!$K$4:$K$503,_calc!$E$349)))=0,"","On file: "&amp;IF(LEN(INDEX('Documents'!$K$4:$K$503,_calc!$E$349))=0,"",INDEX('Documents'!$K$4:$K$503,_calc!$E$349))&amp;". ")&amp;IF(LEN(IF(LEN(INDEX('Documents'!$L$4:$L$503,_calc!$E$349))=0,"",INDEX('Documents'!$L$4:$L$503,_calc!$E$349)))=0,"","Contractor email: "&amp;IF(LEN(INDEX('Documents'!$L$4:$L$503,_calc!$E$349))=0,"",INDEX('Documents'!$L$4:$L$503,_calc!$E$349))&amp;". ")&amp;IF(LEN(IF(LEN(INDEX('Documents'!$P$4:$P$503,_calc!$E$349))=0,"",INDEX('Documents'!$P$4:$P$503,_calc!$E$349)))=0,"",IF(LEN(INDEX('Documents'!$P$4:$P$503,_calc!$E$349))=0,"",INDEX('Documents'!$P$4:$P$503,_calc!$E$349)))))</f>
        <v/>
      </c>
      <c r="G347" s="43">
        <f>IF(_calc!$E$349="","",IF(LEN(INDEX('Documents'!$O$4:$O$503,_calc!$E$349))=0,"",INDEX('Documents'!$O$4:$O$503,_calc!$E$349)))</f>
        <v/>
      </c>
      <c r="K347" s="43">
        <f>IF(_calc!$E$349="","",IF(LEN(INDEX('Documents'!$M$4:$M$503,_calc!$E$349))=0,"",INDEX('Documents'!$M$4:$M$503,_calc!$E$349)))</f>
        <v/>
      </c>
    </row>
    <row r="348">
      <c r="A348" s="43">
        <f>IF(_calc!$E$350="","",IF(LEN(INDEX('Documents'!$C$4:$C$503,_calc!$E$350))=0,"",INDEX('Documents'!$C$4:$C$503,_calc!$E$350))&amp;" – "&amp;IF(LEN(INDEX('Documents'!$A$4:$A$503,_calc!$E$350))=0,"",INDEX('Documents'!$A$4:$A$503,_calc!$E$350)))</f>
        <v/>
      </c>
      <c r="B348" s="43">
        <f>IF(_calc!$E$350="","",IF(ISNUMBER(INDEX('Documents'!$F$4:$F$503,_calc!$E$350)),TEXT(INDEX('Documents'!$F$4:$F$503,_calc!$E$350),"yyyy-mm-dd"),""))</f>
        <v/>
      </c>
      <c r="C348" s="43">
        <f>IF(_calc!$E$350="","","Contractor document")</f>
        <v/>
      </c>
      <c r="D348" s="43">
        <f>IF(_calc!$E$350="","",IF(ISNUMBER(INDEX('Documents'!$E$4:$E$503,_calc!$E$350)),TEXT(INDEX('Documents'!$E$4:$E$503,_calc!$E$350),"yyyy-mm-dd"),""))</f>
        <v/>
      </c>
      <c r="E348" s="43">
        <f>IF(_calc!$E$350="","",IF(LEN(INDEX('Documents'!$N$4:$N$503,_calc!$E$350))=0,"",INDEX('Documents'!$N$4:$N$503,_calc!$E$350)))</f>
        <v/>
      </c>
      <c r="F348" s="43">
        <f>IF(_calc!$E$350="","",TRIM(IF(LEN(IF(LEN(INDEX('Documents'!$B$4:$B$503,_calc!$E$350))=0,"",INDEX('Documents'!$B$4:$B$503,_calc!$E$350)))=0,"","Trade: "&amp;IF(LEN(INDEX('Documents'!$B$4:$B$503,_calc!$E$350))=0,"",INDEX('Documents'!$B$4:$B$503,_calc!$E$350))&amp;". ")&amp;IF(LEN(IF(LEN(INDEX('Documents'!$D$4:$D$503,_calc!$E$350))=0,"",INDEX('Documents'!$D$4:$D$503,_calc!$E$350)))=0,"","Ref: "&amp;IF(LEN(INDEX('Documents'!$D$4:$D$503,_calc!$E$350))=0,"",INDEX('Documents'!$D$4:$D$503,_calc!$E$350))&amp;". ")&amp;IF(LEN(IF(LEN(INDEX('Documents'!$K$4:$K$503,_calc!$E$350))=0,"",INDEX('Documents'!$K$4:$K$503,_calc!$E$350)))=0,"","On file: "&amp;IF(LEN(INDEX('Documents'!$K$4:$K$503,_calc!$E$350))=0,"",INDEX('Documents'!$K$4:$K$503,_calc!$E$350))&amp;". ")&amp;IF(LEN(IF(LEN(INDEX('Documents'!$L$4:$L$503,_calc!$E$350))=0,"",INDEX('Documents'!$L$4:$L$503,_calc!$E$350)))=0,"","Contractor email: "&amp;IF(LEN(INDEX('Documents'!$L$4:$L$503,_calc!$E$350))=0,"",INDEX('Documents'!$L$4:$L$503,_calc!$E$350))&amp;". ")&amp;IF(LEN(IF(LEN(INDEX('Documents'!$P$4:$P$503,_calc!$E$350))=0,"",INDEX('Documents'!$P$4:$P$503,_calc!$E$350)))=0,"",IF(LEN(INDEX('Documents'!$P$4:$P$503,_calc!$E$350))=0,"",INDEX('Documents'!$P$4:$P$503,_calc!$E$350)))))</f>
        <v/>
      </c>
      <c r="G348" s="43">
        <f>IF(_calc!$E$350="","",IF(LEN(INDEX('Documents'!$O$4:$O$503,_calc!$E$350))=0,"",INDEX('Documents'!$O$4:$O$503,_calc!$E$350)))</f>
        <v/>
      </c>
      <c r="K348" s="43">
        <f>IF(_calc!$E$350="","",IF(LEN(INDEX('Documents'!$M$4:$M$503,_calc!$E$350))=0,"",INDEX('Documents'!$M$4:$M$503,_calc!$E$350)))</f>
        <v/>
      </c>
    </row>
    <row r="349">
      <c r="A349" s="43">
        <f>IF(_calc!$E$351="","",IF(LEN(INDEX('Documents'!$C$4:$C$503,_calc!$E$351))=0,"",INDEX('Documents'!$C$4:$C$503,_calc!$E$351))&amp;" – "&amp;IF(LEN(INDEX('Documents'!$A$4:$A$503,_calc!$E$351))=0,"",INDEX('Documents'!$A$4:$A$503,_calc!$E$351)))</f>
        <v/>
      </c>
      <c r="B349" s="43">
        <f>IF(_calc!$E$351="","",IF(ISNUMBER(INDEX('Documents'!$F$4:$F$503,_calc!$E$351)),TEXT(INDEX('Documents'!$F$4:$F$503,_calc!$E$351),"yyyy-mm-dd"),""))</f>
        <v/>
      </c>
      <c r="C349" s="43">
        <f>IF(_calc!$E$351="","","Contractor document")</f>
        <v/>
      </c>
      <c r="D349" s="43">
        <f>IF(_calc!$E$351="","",IF(ISNUMBER(INDEX('Documents'!$E$4:$E$503,_calc!$E$351)),TEXT(INDEX('Documents'!$E$4:$E$503,_calc!$E$351),"yyyy-mm-dd"),""))</f>
        <v/>
      </c>
      <c r="E349" s="43">
        <f>IF(_calc!$E$351="","",IF(LEN(INDEX('Documents'!$N$4:$N$503,_calc!$E$351))=0,"",INDEX('Documents'!$N$4:$N$503,_calc!$E$351)))</f>
        <v/>
      </c>
      <c r="F349" s="43">
        <f>IF(_calc!$E$351="","",TRIM(IF(LEN(IF(LEN(INDEX('Documents'!$B$4:$B$503,_calc!$E$351))=0,"",INDEX('Documents'!$B$4:$B$503,_calc!$E$351)))=0,"","Trade: "&amp;IF(LEN(INDEX('Documents'!$B$4:$B$503,_calc!$E$351))=0,"",INDEX('Documents'!$B$4:$B$503,_calc!$E$351))&amp;". ")&amp;IF(LEN(IF(LEN(INDEX('Documents'!$D$4:$D$503,_calc!$E$351))=0,"",INDEX('Documents'!$D$4:$D$503,_calc!$E$351)))=0,"","Ref: "&amp;IF(LEN(INDEX('Documents'!$D$4:$D$503,_calc!$E$351))=0,"",INDEX('Documents'!$D$4:$D$503,_calc!$E$351))&amp;". ")&amp;IF(LEN(IF(LEN(INDEX('Documents'!$K$4:$K$503,_calc!$E$351))=0,"",INDEX('Documents'!$K$4:$K$503,_calc!$E$351)))=0,"","On file: "&amp;IF(LEN(INDEX('Documents'!$K$4:$K$503,_calc!$E$351))=0,"",INDEX('Documents'!$K$4:$K$503,_calc!$E$351))&amp;". ")&amp;IF(LEN(IF(LEN(INDEX('Documents'!$L$4:$L$503,_calc!$E$351))=0,"",INDEX('Documents'!$L$4:$L$503,_calc!$E$351)))=0,"","Contractor email: "&amp;IF(LEN(INDEX('Documents'!$L$4:$L$503,_calc!$E$351))=0,"",INDEX('Documents'!$L$4:$L$503,_calc!$E$351))&amp;". ")&amp;IF(LEN(IF(LEN(INDEX('Documents'!$P$4:$P$503,_calc!$E$351))=0,"",INDEX('Documents'!$P$4:$P$503,_calc!$E$351)))=0,"",IF(LEN(INDEX('Documents'!$P$4:$P$503,_calc!$E$351))=0,"",INDEX('Documents'!$P$4:$P$503,_calc!$E$351)))))</f>
        <v/>
      </c>
      <c r="G349" s="43">
        <f>IF(_calc!$E$351="","",IF(LEN(INDEX('Documents'!$O$4:$O$503,_calc!$E$351))=0,"",INDEX('Documents'!$O$4:$O$503,_calc!$E$351)))</f>
        <v/>
      </c>
      <c r="K349" s="43">
        <f>IF(_calc!$E$351="","",IF(LEN(INDEX('Documents'!$M$4:$M$503,_calc!$E$351))=0,"",INDEX('Documents'!$M$4:$M$503,_calc!$E$351)))</f>
        <v/>
      </c>
    </row>
    <row r="350">
      <c r="A350" s="43">
        <f>IF(_calc!$E$352="","",IF(LEN(INDEX('Documents'!$C$4:$C$503,_calc!$E$352))=0,"",INDEX('Documents'!$C$4:$C$503,_calc!$E$352))&amp;" – "&amp;IF(LEN(INDEX('Documents'!$A$4:$A$503,_calc!$E$352))=0,"",INDEX('Documents'!$A$4:$A$503,_calc!$E$352)))</f>
        <v/>
      </c>
      <c r="B350" s="43">
        <f>IF(_calc!$E$352="","",IF(ISNUMBER(INDEX('Documents'!$F$4:$F$503,_calc!$E$352)),TEXT(INDEX('Documents'!$F$4:$F$503,_calc!$E$352),"yyyy-mm-dd"),""))</f>
        <v/>
      </c>
      <c r="C350" s="43">
        <f>IF(_calc!$E$352="","","Contractor document")</f>
        <v/>
      </c>
      <c r="D350" s="43">
        <f>IF(_calc!$E$352="","",IF(ISNUMBER(INDEX('Documents'!$E$4:$E$503,_calc!$E$352)),TEXT(INDEX('Documents'!$E$4:$E$503,_calc!$E$352),"yyyy-mm-dd"),""))</f>
        <v/>
      </c>
      <c r="E350" s="43">
        <f>IF(_calc!$E$352="","",IF(LEN(INDEX('Documents'!$N$4:$N$503,_calc!$E$352))=0,"",INDEX('Documents'!$N$4:$N$503,_calc!$E$352)))</f>
        <v/>
      </c>
      <c r="F350" s="43">
        <f>IF(_calc!$E$352="","",TRIM(IF(LEN(IF(LEN(INDEX('Documents'!$B$4:$B$503,_calc!$E$352))=0,"",INDEX('Documents'!$B$4:$B$503,_calc!$E$352)))=0,"","Trade: "&amp;IF(LEN(INDEX('Documents'!$B$4:$B$503,_calc!$E$352))=0,"",INDEX('Documents'!$B$4:$B$503,_calc!$E$352))&amp;". ")&amp;IF(LEN(IF(LEN(INDEX('Documents'!$D$4:$D$503,_calc!$E$352))=0,"",INDEX('Documents'!$D$4:$D$503,_calc!$E$352)))=0,"","Ref: "&amp;IF(LEN(INDEX('Documents'!$D$4:$D$503,_calc!$E$352))=0,"",INDEX('Documents'!$D$4:$D$503,_calc!$E$352))&amp;". ")&amp;IF(LEN(IF(LEN(INDEX('Documents'!$K$4:$K$503,_calc!$E$352))=0,"",INDEX('Documents'!$K$4:$K$503,_calc!$E$352)))=0,"","On file: "&amp;IF(LEN(INDEX('Documents'!$K$4:$K$503,_calc!$E$352))=0,"",INDEX('Documents'!$K$4:$K$503,_calc!$E$352))&amp;". ")&amp;IF(LEN(IF(LEN(INDEX('Documents'!$L$4:$L$503,_calc!$E$352))=0,"",INDEX('Documents'!$L$4:$L$503,_calc!$E$352)))=0,"","Contractor email: "&amp;IF(LEN(INDEX('Documents'!$L$4:$L$503,_calc!$E$352))=0,"",INDEX('Documents'!$L$4:$L$503,_calc!$E$352))&amp;". ")&amp;IF(LEN(IF(LEN(INDEX('Documents'!$P$4:$P$503,_calc!$E$352))=0,"",INDEX('Documents'!$P$4:$P$503,_calc!$E$352)))=0,"",IF(LEN(INDEX('Documents'!$P$4:$P$503,_calc!$E$352))=0,"",INDEX('Documents'!$P$4:$P$503,_calc!$E$352)))))</f>
        <v/>
      </c>
      <c r="G350" s="43">
        <f>IF(_calc!$E$352="","",IF(LEN(INDEX('Documents'!$O$4:$O$503,_calc!$E$352))=0,"",INDEX('Documents'!$O$4:$O$503,_calc!$E$352)))</f>
        <v/>
      </c>
      <c r="K350" s="43">
        <f>IF(_calc!$E$352="","",IF(LEN(INDEX('Documents'!$M$4:$M$503,_calc!$E$352))=0,"",INDEX('Documents'!$M$4:$M$503,_calc!$E$352)))</f>
        <v/>
      </c>
    </row>
    <row r="351">
      <c r="A351" s="43">
        <f>IF(_calc!$E$353="","",IF(LEN(INDEX('Documents'!$C$4:$C$503,_calc!$E$353))=0,"",INDEX('Documents'!$C$4:$C$503,_calc!$E$353))&amp;" – "&amp;IF(LEN(INDEX('Documents'!$A$4:$A$503,_calc!$E$353))=0,"",INDEX('Documents'!$A$4:$A$503,_calc!$E$353)))</f>
        <v/>
      </c>
      <c r="B351" s="43">
        <f>IF(_calc!$E$353="","",IF(ISNUMBER(INDEX('Documents'!$F$4:$F$503,_calc!$E$353)),TEXT(INDEX('Documents'!$F$4:$F$503,_calc!$E$353),"yyyy-mm-dd"),""))</f>
        <v/>
      </c>
      <c r="C351" s="43">
        <f>IF(_calc!$E$353="","","Contractor document")</f>
        <v/>
      </c>
      <c r="D351" s="43">
        <f>IF(_calc!$E$353="","",IF(ISNUMBER(INDEX('Documents'!$E$4:$E$503,_calc!$E$353)),TEXT(INDEX('Documents'!$E$4:$E$503,_calc!$E$353),"yyyy-mm-dd"),""))</f>
        <v/>
      </c>
      <c r="E351" s="43">
        <f>IF(_calc!$E$353="","",IF(LEN(INDEX('Documents'!$N$4:$N$503,_calc!$E$353))=0,"",INDEX('Documents'!$N$4:$N$503,_calc!$E$353)))</f>
        <v/>
      </c>
      <c r="F351" s="43">
        <f>IF(_calc!$E$353="","",TRIM(IF(LEN(IF(LEN(INDEX('Documents'!$B$4:$B$503,_calc!$E$353))=0,"",INDEX('Documents'!$B$4:$B$503,_calc!$E$353)))=0,"","Trade: "&amp;IF(LEN(INDEX('Documents'!$B$4:$B$503,_calc!$E$353))=0,"",INDEX('Documents'!$B$4:$B$503,_calc!$E$353))&amp;". ")&amp;IF(LEN(IF(LEN(INDEX('Documents'!$D$4:$D$503,_calc!$E$353))=0,"",INDEX('Documents'!$D$4:$D$503,_calc!$E$353)))=0,"","Ref: "&amp;IF(LEN(INDEX('Documents'!$D$4:$D$503,_calc!$E$353))=0,"",INDEX('Documents'!$D$4:$D$503,_calc!$E$353))&amp;". ")&amp;IF(LEN(IF(LEN(INDEX('Documents'!$K$4:$K$503,_calc!$E$353))=0,"",INDEX('Documents'!$K$4:$K$503,_calc!$E$353)))=0,"","On file: "&amp;IF(LEN(INDEX('Documents'!$K$4:$K$503,_calc!$E$353))=0,"",INDEX('Documents'!$K$4:$K$503,_calc!$E$353))&amp;". ")&amp;IF(LEN(IF(LEN(INDEX('Documents'!$L$4:$L$503,_calc!$E$353))=0,"",INDEX('Documents'!$L$4:$L$503,_calc!$E$353)))=0,"","Contractor email: "&amp;IF(LEN(INDEX('Documents'!$L$4:$L$503,_calc!$E$353))=0,"",INDEX('Documents'!$L$4:$L$503,_calc!$E$353))&amp;". ")&amp;IF(LEN(IF(LEN(INDEX('Documents'!$P$4:$P$503,_calc!$E$353))=0,"",INDEX('Documents'!$P$4:$P$503,_calc!$E$353)))=0,"",IF(LEN(INDEX('Documents'!$P$4:$P$503,_calc!$E$353))=0,"",INDEX('Documents'!$P$4:$P$503,_calc!$E$353)))))</f>
        <v/>
      </c>
      <c r="G351" s="43">
        <f>IF(_calc!$E$353="","",IF(LEN(INDEX('Documents'!$O$4:$O$503,_calc!$E$353))=0,"",INDEX('Documents'!$O$4:$O$503,_calc!$E$353)))</f>
        <v/>
      </c>
      <c r="K351" s="43">
        <f>IF(_calc!$E$353="","",IF(LEN(INDEX('Documents'!$M$4:$M$503,_calc!$E$353))=0,"",INDEX('Documents'!$M$4:$M$503,_calc!$E$353)))</f>
        <v/>
      </c>
    </row>
    <row r="352">
      <c r="A352" s="43">
        <f>IF(_calc!$E$354="","",IF(LEN(INDEX('Documents'!$C$4:$C$503,_calc!$E$354))=0,"",INDEX('Documents'!$C$4:$C$503,_calc!$E$354))&amp;" – "&amp;IF(LEN(INDEX('Documents'!$A$4:$A$503,_calc!$E$354))=0,"",INDEX('Documents'!$A$4:$A$503,_calc!$E$354)))</f>
        <v/>
      </c>
      <c r="B352" s="43">
        <f>IF(_calc!$E$354="","",IF(ISNUMBER(INDEX('Documents'!$F$4:$F$503,_calc!$E$354)),TEXT(INDEX('Documents'!$F$4:$F$503,_calc!$E$354),"yyyy-mm-dd"),""))</f>
        <v/>
      </c>
      <c r="C352" s="43">
        <f>IF(_calc!$E$354="","","Contractor document")</f>
        <v/>
      </c>
      <c r="D352" s="43">
        <f>IF(_calc!$E$354="","",IF(ISNUMBER(INDEX('Documents'!$E$4:$E$503,_calc!$E$354)),TEXT(INDEX('Documents'!$E$4:$E$503,_calc!$E$354),"yyyy-mm-dd"),""))</f>
        <v/>
      </c>
      <c r="E352" s="43">
        <f>IF(_calc!$E$354="","",IF(LEN(INDEX('Documents'!$N$4:$N$503,_calc!$E$354))=0,"",INDEX('Documents'!$N$4:$N$503,_calc!$E$354)))</f>
        <v/>
      </c>
      <c r="F352" s="43">
        <f>IF(_calc!$E$354="","",TRIM(IF(LEN(IF(LEN(INDEX('Documents'!$B$4:$B$503,_calc!$E$354))=0,"",INDEX('Documents'!$B$4:$B$503,_calc!$E$354)))=0,"","Trade: "&amp;IF(LEN(INDEX('Documents'!$B$4:$B$503,_calc!$E$354))=0,"",INDEX('Documents'!$B$4:$B$503,_calc!$E$354))&amp;". ")&amp;IF(LEN(IF(LEN(INDEX('Documents'!$D$4:$D$503,_calc!$E$354))=0,"",INDEX('Documents'!$D$4:$D$503,_calc!$E$354)))=0,"","Ref: "&amp;IF(LEN(INDEX('Documents'!$D$4:$D$503,_calc!$E$354))=0,"",INDEX('Documents'!$D$4:$D$503,_calc!$E$354))&amp;". ")&amp;IF(LEN(IF(LEN(INDEX('Documents'!$K$4:$K$503,_calc!$E$354))=0,"",INDEX('Documents'!$K$4:$K$503,_calc!$E$354)))=0,"","On file: "&amp;IF(LEN(INDEX('Documents'!$K$4:$K$503,_calc!$E$354))=0,"",INDEX('Documents'!$K$4:$K$503,_calc!$E$354))&amp;". ")&amp;IF(LEN(IF(LEN(INDEX('Documents'!$L$4:$L$503,_calc!$E$354))=0,"",INDEX('Documents'!$L$4:$L$503,_calc!$E$354)))=0,"","Contractor email: "&amp;IF(LEN(INDEX('Documents'!$L$4:$L$503,_calc!$E$354))=0,"",INDEX('Documents'!$L$4:$L$503,_calc!$E$354))&amp;". ")&amp;IF(LEN(IF(LEN(INDEX('Documents'!$P$4:$P$503,_calc!$E$354))=0,"",INDEX('Documents'!$P$4:$P$503,_calc!$E$354)))=0,"",IF(LEN(INDEX('Documents'!$P$4:$P$503,_calc!$E$354))=0,"",INDEX('Documents'!$P$4:$P$503,_calc!$E$354)))))</f>
        <v/>
      </c>
      <c r="G352" s="43">
        <f>IF(_calc!$E$354="","",IF(LEN(INDEX('Documents'!$O$4:$O$503,_calc!$E$354))=0,"",INDEX('Documents'!$O$4:$O$503,_calc!$E$354)))</f>
        <v/>
      </c>
      <c r="K352" s="43">
        <f>IF(_calc!$E$354="","",IF(LEN(INDEX('Documents'!$M$4:$M$503,_calc!$E$354))=0,"",INDEX('Documents'!$M$4:$M$503,_calc!$E$354)))</f>
        <v/>
      </c>
    </row>
    <row r="353">
      <c r="A353" s="43">
        <f>IF(_calc!$E$355="","",IF(LEN(INDEX('Documents'!$C$4:$C$503,_calc!$E$355))=0,"",INDEX('Documents'!$C$4:$C$503,_calc!$E$355))&amp;" – "&amp;IF(LEN(INDEX('Documents'!$A$4:$A$503,_calc!$E$355))=0,"",INDEX('Documents'!$A$4:$A$503,_calc!$E$355)))</f>
        <v/>
      </c>
      <c r="B353" s="43">
        <f>IF(_calc!$E$355="","",IF(ISNUMBER(INDEX('Documents'!$F$4:$F$503,_calc!$E$355)),TEXT(INDEX('Documents'!$F$4:$F$503,_calc!$E$355),"yyyy-mm-dd"),""))</f>
        <v/>
      </c>
      <c r="C353" s="43">
        <f>IF(_calc!$E$355="","","Contractor document")</f>
        <v/>
      </c>
      <c r="D353" s="43">
        <f>IF(_calc!$E$355="","",IF(ISNUMBER(INDEX('Documents'!$E$4:$E$503,_calc!$E$355)),TEXT(INDEX('Documents'!$E$4:$E$503,_calc!$E$355),"yyyy-mm-dd"),""))</f>
        <v/>
      </c>
      <c r="E353" s="43">
        <f>IF(_calc!$E$355="","",IF(LEN(INDEX('Documents'!$N$4:$N$503,_calc!$E$355))=0,"",INDEX('Documents'!$N$4:$N$503,_calc!$E$355)))</f>
        <v/>
      </c>
      <c r="F353" s="43">
        <f>IF(_calc!$E$355="","",TRIM(IF(LEN(IF(LEN(INDEX('Documents'!$B$4:$B$503,_calc!$E$355))=0,"",INDEX('Documents'!$B$4:$B$503,_calc!$E$355)))=0,"","Trade: "&amp;IF(LEN(INDEX('Documents'!$B$4:$B$503,_calc!$E$355))=0,"",INDEX('Documents'!$B$4:$B$503,_calc!$E$355))&amp;". ")&amp;IF(LEN(IF(LEN(INDEX('Documents'!$D$4:$D$503,_calc!$E$355))=0,"",INDEX('Documents'!$D$4:$D$503,_calc!$E$355)))=0,"","Ref: "&amp;IF(LEN(INDEX('Documents'!$D$4:$D$503,_calc!$E$355))=0,"",INDEX('Documents'!$D$4:$D$503,_calc!$E$355))&amp;". ")&amp;IF(LEN(IF(LEN(INDEX('Documents'!$K$4:$K$503,_calc!$E$355))=0,"",INDEX('Documents'!$K$4:$K$503,_calc!$E$355)))=0,"","On file: "&amp;IF(LEN(INDEX('Documents'!$K$4:$K$503,_calc!$E$355))=0,"",INDEX('Documents'!$K$4:$K$503,_calc!$E$355))&amp;". ")&amp;IF(LEN(IF(LEN(INDEX('Documents'!$L$4:$L$503,_calc!$E$355))=0,"",INDEX('Documents'!$L$4:$L$503,_calc!$E$355)))=0,"","Contractor email: "&amp;IF(LEN(INDEX('Documents'!$L$4:$L$503,_calc!$E$355))=0,"",INDEX('Documents'!$L$4:$L$503,_calc!$E$355))&amp;". ")&amp;IF(LEN(IF(LEN(INDEX('Documents'!$P$4:$P$503,_calc!$E$355))=0,"",INDEX('Documents'!$P$4:$P$503,_calc!$E$355)))=0,"",IF(LEN(INDEX('Documents'!$P$4:$P$503,_calc!$E$355))=0,"",INDEX('Documents'!$P$4:$P$503,_calc!$E$355)))))</f>
        <v/>
      </c>
      <c r="G353" s="43">
        <f>IF(_calc!$E$355="","",IF(LEN(INDEX('Documents'!$O$4:$O$503,_calc!$E$355))=0,"",INDEX('Documents'!$O$4:$O$503,_calc!$E$355)))</f>
        <v/>
      </c>
      <c r="K353" s="43">
        <f>IF(_calc!$E$355="","",IF(LEN(INDEX('Documents'!$M$4:$M$503,_calc!$E$355))=0,"",INDEX('Documents'!$M$4:$M$503,_calc!$E$355)))</f>
        <v/>
      </c>
    </row>
    <row r="354">
      <c r="A354" s="43">
        <f>IF(_calc!$E$356="","",IF(LEN(INDEX('Documents'!$C$4:$C$503,_calc!$E$356))=0,"",INDEX('Documents'!$C$4:$C$503,_calc!$E$356))&amp;" – "&amp;IF(LEN(INDEX('Documents'!$A$4:$A$503,_calc!$E$356))=0,"",INDEX('Documents'!$A$4:$A$503,_calc!$E$356)))</f>
        <v/>
      </c>
      <c r="B354" s="43">
        <f>IF(_calc!$E$356="","",IF(ISNUMBER(INDEX('Documents'!$F$4:$F$503,_calc!$E$356)),TEXT(INDEX('Documents'!$F$4:$F$503,_calc!$E$356),"yyyy-mm-dd"),""))</f>
        <v/>
      </c>
      <c r="C354" s="43">
        <f>IF(_calc!$E$356="","","Contractor document")</f>
        <v/>
      </c>
      <c r="D354" s="43">
        <f>IF(_calc!$E$356="","",IF(ISNUMBER(INDEX('Documents'!$E$4:$E$503,_calc!$E$356)),TEXT(INDEX('Documents'!$E$4:$E$503,_calc!$E$356),"yyyy-mm-dd"),""))</f>
        <v/>
      </c>
      <c r="E354" s="43">
        <f>IF(_calc!$E$356="","",IF(LEN(INDEX('Documents'!$N$4:$N$503,_calc!$E$356))=0,"",INDEX('Documents'!$N$4:$N$503,_calc!$E$356)))</f>
        <v/>
      </c>
      <c r="F354" s="43">
        <f>IF(_calc!$E$356="","",TRIM(IF(LEN(IF(LEN(INDEX('Documents'!$B$4:$B$503,_calc!$E$356))=0,"",INDEX('Documents'!$B$4:$B$503,_calc!$E$356)))=0,"","Trade: "&amp;IF(LEN(INDEX('Documents'!$B$4:$B$503,_calc!$E$356))=0,"",INDEX('Documents'!$B$4:$B$503,_calc!$E$356))&amp;". ")&amp;IF(LEN(IF(LEN(INDEX('Documents'!$D$4:$D$503,_calc!$E$356))=0,"",INDEX('Documents'!$D$4:$D$503,_calc!$E$356)))=0,"","Ref: "&amp;IF(LEN(INDEX('Documents'!$D$4:$D$503,_calc!$E$356))=0,"",INDEX('Documents'!$D$4:$D$503,_calc!$E$356))&amp;". ")&amp;IF(LEN(IF(LEN(INDEX('Documents'!$K$4:$K$503,_calc!$E$356))=0,"",INDEX('Documents'!$K$4:$K$503,_calc!$E$356)))=0,"","On file: "&amp;IF(LEN(INDEX('Documents'!$K$4:$K$503,_calc!$E$356))=0,"",INDEX('Documents'!$K$4:$K$503,_calc!$E$356))&amp;". ")&amp;IF(LEN(IF(LEN(INDEX('Documents'!$L$4:$L$503,_calc!$E$356))=0,"",INDEX('Documents'!$L$4:$L$503,_calc!$E$356)))=0,"","Contractor email: "&amp;IF(LEN(INDEX('Documents'!$L$4:$L$503,_calc!$E$356))=0,"",INDEX('Documents'!$L$4:$L$503,_calc!$E$356))&amp;". ")&amp;IF(LEN(IF(LEN(INDEX('Documents'!$P$4:$P$503,_calc!$E$356))=0,"",INDEX('Documents'!$P$4:$P$503,_calc!$E$356)))=0,"",IF(LEN(INDEX('Documents'!$P$4:$P$503,_calc!$E$356))=0,"",INDEX('Documents'!$P$4:$P$503,_calc!$E$356)))))</f>
        <v/>
      </c>
      <c r="G354" s="43">
        <f>IF(_calc!$E$356="","",IF(LEN(INDEX('Documents'!$O$4:$O$503,_calc!$E$356))=0,"",INDEX('Documents'!$O$4:$O$503,_calc!$E$356)))</f>
        <v/>
      </c>
      <c r="K354" s="43">
        <f>IF(_calc!$E$356="","",IF(LEN(INDEX('Documents'!$M$4:$M$503,_calc!$E$356))=0,"",INDEX('Documents'!$M$4:$M$503,_calc!$E$356)))</f>
        <v/>
      </c>
    </row>
    <row r="355">
      <c r="A355" s="43">
        <f>IF(_calc!$E$357="","",IF(LEN(INDEX('Documents'!$C$4:$C$503,_calc!$E$357))=0,"",INDEX('Documents'!$C$4:$C$503,_calc!$E$357))&amp;" – "&amp;IF(LEN(INDEX('Documents'!$A$4:$A$503,_calc!$E$357))=0,"",INDEX('Documents'!$A$4:$A$503,_calc!$E$357)))</f>
        <v/>
      </c>
      <c r="B355" s="43">
        <f>IF(_calc!$E$357="","",IF(ISNUMBER(INDEX('Documents'!$F$4:$F$503,_calc!$E$357)),TEXT(INDEX('Documents'!$F$4:$F$503,_calc!$E$357),"yyyy-mm-dd"),""))</f>
        <v/>
      </c>
      <c r="C355" s="43">
        <f>IF(_calc!$E$357="","","Contractor document")</f>
        <v/>
      </c>
      <c r="D355" s="43">
        <f>IF(_calc!$E$357="","",IF(ISNUMBER(INDEX('Documents'!$E$4:$E$503,_calc!$E$357)),TEXT(INDEX('Documents'!$E$4:$E$503,_calc!$E$357),"yyyy-mm-dd"),""))</f>
        <v/>
      </c>
      <c r="E355" s="43">
        <f>IF(_calc!$E$357="","",IF(LEN(INDEX('Documents'!$N$4:$N$503,_calc!$E$357))=0,"",INDEX('Documents'!$N$4:$N$503,_calc!$E$357)))</f>
        <v/>
      </c>
      <c r="F355" s="43">
        <f>IF(_calc!$E$357="","",TRIM(IF(LEN(IF(LEN(INDEX('Documents'!$B$4:$B$503,_calc!$E$357))=0,"",INDEX('Documents'!$B$4:$B$503,_calc!$E$357)))=0,"","Trade: "&amp;IF(LEN(INDEX('Documents'!$B$4:$B$503,_calc!$E$357))=0,"",INDEX('Documents'!$B$4:$B$503,_calc!$E$357))&amp;". ")&amp;IF(LEN(IF(LEN(INDEX('Documents'!$D$4:$D$503,_calc!$E$357))=0,"",INDEX('Documents'!$D$4:$D$503,_calc!$E$357)))=0,"","Ref: "&amp;IF(LEN(INDEX('Documents'!$D$4:$D$503,_calc!$E$357))=0,"",INDEX('Documents'!$D$4:$D$503,_calc!$E$357))&amp;". ")&amp;IF(LEN(IF(LEN(INDEX('Documents'!$K$4:$K$503,_calc!$E$357))=0,"",INDEX('Documents'!$K$4:$K$503,_calc!$E$357)))=0,"","On file: "&amp;IF(LEN(INDEX('Documents'!$K$4:$K$503,_calc!$E$357))=0,"",INDEX('Documents'!$K$4:$K$503,_calc!$E$357))&amp;". ")&amp;IF(LEN(IF(LEN(INDEX('Documents'!$L$4:$L$503,_calc!$E$357))=0,"",INDEX('Documents'!$L$4:$L$503,_calc!$E$357)))=0,"","Contractor email: "&amp;IF(LEN(INDEX('Documents'!$L$4:$L$503,_calc!$E$357))=0,"",INDEX('Documents'!$L$4:$L$503,_calc!$E$357))&amp;". ")&amp;IF(LEN(IF(LEN(INDEX('Documents'!$P$4:$P$503,_calc!$E$357))=0,"",INDEX('Documents'!$P$4:$P$503,_calc!$E$357)))=0,"",IF(LEN(INDEX('Documents'!$P$4:$P$503,_calc!$E$357))=0,"",INDEX('Documents'!$P$4:$P$503,_calc!$E$357)))))</f>
        <v/>
      </c>
      <c r="G355" s="43">
        <f>IF(_calc!$E$357="","",IF(LEN(INDEX('Documents'!$O$4:$O$503,_calc!$E$357))=0,"",INDEX('Documents'!$O$4:$O$503,_calc!$E$357)))</f>
        <v/>
      </c>
      <c r="K355" s="43">
        <f>IF(_calc!$E$357="","",IF(LEN(INDEX('Documents'!$M$4:$M$503,_calc!$E$357))=0,"",INDEX('Documents'!$M$4:$M$503,_calc!$E$357)))</f>
        <v/>
      </c>
    </row>
    <row r="356">
      <c r="A356" s="43">
        <f>IF(_calc!$E$358="","",IF(LEN(INDEX('Documents'!$C$4:$C$503,_calc!$E$358))=0,"",INDEX('Documents'!$C$4:$C$503,_calc!$E$358))&amp;" – "&amp;IF(LEN(INDEX('Documents'!$A$4:$A$503,_calc!$E$358))=0,"",INDEX('Documents'!$A$4:$A$503,_calc!$E$358)))</f>
        <v/>
      </c>
      <c r="B356" s="43">
        <f>IF(_calc!$E$358="","",IF(ISNUMBER(INDEX('Documents'!$F$4:$F$503,_calc!$E$358)),TEXT(INDEX('Documents'!$F$4:$F$503,_calc!$E$358),"yyyy-mm-dd"),""))</f>
        <v/>
      </c>
      <c r="C356" s="43">
        <f>IF(_calc!$E$358="","","Contractor document")</f>
        <v/>
      </c>
      <c r="D356" s="43">
        <f>IF(_calc!$E$358="","",IF(ISNUMBER(INDEX('Documents'!$E$4:$E$503,_calc!$E$358)),TEXT(INDEX('Documents'!$E$4:$E$503,_calc!$E$358),"yyyy-mm-dd"),""))</f>
        <v/>
      </c>
      <c r="E356" s="43">
        <f>IF(_calc!$E$358="","",IF(LEN(INDEX('Documents'!$N$4:$N$503,_calc!$E$358))=0,"",INDEX('Documents'!$N$4:$N$503,_calc!$E$358)))</f>
        <v/>
      </c>
      <c r="F356" s="43">
        <f>IF(_calc!$E$358="","",TRIM(IF(LEN(IF(LEN(INDEX('Documents'!$B$4:$B$503,_calc!$E$358))=0,"",INDEX('Documents'!$B$4:$B$503,_calc!$E$358)))=0,"","Trade: "&amp;IF(LEN(INDEX('Documents'!$B$4:$B$503,_calc!$E$358))=0,"",INDEX('Documents'!$B$4:$B$503,_calc!$E$358))&amp;". ")&amp;IF(LEN(IF(LEN(INDEX('Documents'!$D$4:$D$503,_calc!$E$358))=0,"",INDEX('Documents'!$D$4:$D$503,_calc!$E$358)))=0,"","Ref: "&amp;IF(LEN(INDEX('Documents'!$D$4:$D$503,_calc!$E$358))=0,"",INDEX('Documents'!$D$4:$D$503,_calc!$E$358))&amp;". ")&amp;IF(LEN(IF(LEN(INDEX('Documents'!$K$4:$K$503,_calc!$E$358))=0,"",INDEX('Documents'!$K$4:$K$503,_calc!$E$358)))=0,"","On file: "&amp;IF(LEN(INDEX('Documents'!$K$4:$K$503,_calc!$E$358))=0,"",INDEX('Documents'!$K$4:$K$503,_calc!$E$358))&amp;". ")&amp;IF(LEN(IF(LEN(INDEX('Documents'!$L$4:$L$503,_calc!$E$358))=0,"",INDEX('Documents'!$L$4:$L$503,_calc!$E$358)))=0,"","Contractor email: "&amp;IF(LEN(INDEX('Documents'!$L$4:$L$503,_calc!$E$358))=0,"",INDEX('Documents'!$L$4:$L$503,_calc!$E$358))&amp;". ")&amp;IF(LEN(IF(LEN(INDEX('Documents'!$P$4:$P$503,_calc!$E$358))=0,"",INDEX('Documents'!$P$4:$P$503,_calc!$E$358)))=0,"",IF(LEN(INDEX('Documents'!$P$4:$P$503,_calc!$E$358))=0,"",INDEX('Documents'!$P$4:$P$503,_calc!$E$358)))))</f>
        <v/>
      </c>
      <c r="G356" s="43">
        <f>IF(_calc!$E$358="","",IF(LEN(INDEX('Documents'!$O$4:$O$503,_calc!$E$358))=0,"",INDEX('Documents'!$O$4:$O$503,_calc!$E$358)))</f>
        <v/>
      </c>
      <c r="K356" s="43">
        <f>IF(_calc!$E$358="","",IF(LEN(INDEX('Documents'!$M$4:$M$503,_calc!$E$358))=0,"",INDEX('Documents'!$M$4:$M$503,_calc!$E$358)))</f>
        <v/>
      </c>
    </row>
    <row r="357">
      <c r="A357" s="43">
        <f>IF(_calc!$E$359="","",IF(LEN(INDEX('Documents'!$C$4:$C$503,_calc!$E$359))=0,"",INDEX('Documents'!$C$4:$C$503,_calc!$E$359))&amp;" – "&amp;IF(LEN(INDEX('Documents'!$A$4:$A$503,_calc!$E$359))=0,"",INDEX('Documents'!$A$4:$A$503,_calc!$E$359)))</f>
        <v/>
      </c>
      <c r="B357" s="43">
        <f>IF(_calc!$E$359="","",IF(ISNUMBER(INDEX('Documents'!$F$4:$F$503,_calc!$E$359)),TEXT(INDEX('Documents'!$F$4:$F$503,_calc!$E$359),"yyyy-mm-dd"),""))</f>
        <v/>
      </c>
      <c r="C357" s="43">
        <f>IF(_calc!$E$359="","","Contractor document")</f>
        <v/>
      </c>
      <c r="D357" s="43">
        <f>IF(_calc!$E$359="","",IF(ISNUMBER(INDEX('Documents'!$E$4:$E$503,_calc!$E$359)),TEXT(INDEX('Documents'!$E$4:$E$503,_calc!$E$359),"yyyy-mm-dd"),""))</f>
        <v/>
      </c>
      <c r="E357" s="43">
        <f>IF(_calc!$E$359="","",IF(LEN(INDEX('Documents'!$N$4:$N$503,_calc!$E$359))=0,"",INDEX('Documents'!$N$4:$N$503,_calc!$E$359)))</f>
        <v/>
      </c>
      <c r="F357" s="43">
        <f>IF(_calc!$E$359="","",TRIM(IF(LEN(IF(LEN(INDEX('Documents'!$B$4:$B$503,_calc!$E$359))=0,"",INDEX('Documents'!$B$4:$B$503,_calc!$E$359)))=0,"","Trade: "&amp;IF(LEN(INDEX('Documents'!$B$4:$B$503,_calc!$E$359))=0,"",INDEX('Documents'!$B$4:$B$503,_calc!$E$359))&amp;". ")&amp;IF(LEN(IF(LEN(INDEX('Documents'!$D$4:$D$503,_calc!$E$359))=0,"",INDEX('Documents'!$D$4:$D$503,_calc!$E$359)))=0,"","Ref: "&amp;IF(LEN(INDEX('Documents'!$D$4:$D$503,_calc!$E$359))=0,"",INDEX('Documents'!$D$4:$D$503,_calc!$E$359))&amp;". ")&amp;IF(LEN(IF(LEN(INDEX('Documents'!$K$4:$K$503,_calc!$E$359))=0,"",INDEX('Documents'!$K$4:$K$503,_calc!$E$359)))=0,"","On file: "&amp;IF(LEN(INDEX('Documents'!$K$4:$K$503,_calc!$E$359))=0,"",INDEX('Documents'!$K$4:$K$503,_calc!$E$359))&amp;". ")&amp;IF(LEN(IF(LEN(INDEX('Documents'!$L$4:$L$503,_calc!$E$359))=0,"",INDEX('Documents'!$L$4:$L$503,_calc!$E$359)))=0,"","Contractor email: "&amp;IF(LEN(INDEX('Documents'!$L$4:$L$503,_calc!$E$359))=0,"",INDEX('Documents'!$L$4:$L$503,_calc!$E$359))&amp;". ")&amp;IF(LEN(IF(LEN(INDEX('Documents'!$P$4:$P$503,_calc!$E$359))=0,"",INDEX('Documents'!$P$4:$P$503,_calc!$E$359)))=0,"",IF(LEN(INDEX('Documents'!$P$4:$P$503,_calc!$E$359))=0,"",INDEX('Documents'!$P$4:$P$503,_calc!$E$359)))))</f>
        <v/>
      </c>
      <c r="G357" s="43">
        <f>IF(_calc!$E$359="","",IF(LEN(INDEX('Documents'!$O$4:$O$503,_calc!$E$359))=0,"",INDEX('Documents'!$O$4:$O$503,_calc!$E$359)))</f>
        <v/>
      </c>
      <c r="K357" s="43">
        <f>IF(_calc!$E$359="","",IF(LEN(INDEX('Documents'!$M$4:$M$503,_calc!$E$359))=0,"",INDEX('Documents'!$M$4:$M$503,_calc!$E$359)))</f>
        <v/>
      </c>
    </row>
    <row r="358">
      <c r="A358" s="43">
        <f>IF(_calc!$E$360="","",IF(LEN(INDEX('Documents'!$C$4:$C$503,_calc!$E$360))=0,"",INDEX('Documents'!$C$4:$C$503,_calc!$E$360))&amp;" – "&amp;IF(LEN(INDEX('Documents'!$A$4:$A$503,_calc!$E$360))=0,"",INDEX('Documents'!$A$4:$A$503,_calc!$E$360)))</f>
        <v/>
      </c>
      <c r="B358" s="43">
        <f>IF(_calc!$E$360="","",IF(ISNUMBER(INDEX('Documents'!$F$4:$F$503,_calc!$E$360)),TEXT(INDEX('Documents'!$F$4:$F$503,_calc!$E$360),"yyyy-mm-dd"),""))</f>
        <v/>
      </c>
      <c r="C358" s="43">
        <f>IF(_calc!$E$360="","","Contractor document")</f>
        <v/>
      </c>
      <c r="D358" s="43">
        <f>IF(_calc!$E$360="","",IF(ISNUMBER(INDEX('Documents'!$E$4:$E$503,_calc!$E$360)),TEXT(INDEX('Documents'!$E$4:$E$503,_calc!$E$360),"yyyy-mm-dd"),""))</f>
        <v/>
      </c>
      <c r="E358" s="43">
        <f>IF(_calc!$E$360="","",IF(LEN(INDEX('Documents'!$N$4:$N$503,_calc!$E$360))=0,"",INDEX('Documents'!$N$4:$N$503,_calc!$E$360)))</f>
        <v/>
      </c>
      <c r="F358" s="43">
        <f>IF(_calc!$E$360="","",TRIM(IF(LEN(IF(LEN(INDEX('Documents'!$B$4:$B$503,_calc!$E$360))=0,"",INDEX('Documents'!$B$4:$B$503,_calc!$E$360)))=0,"","Trade: "&amp;IF(LEN(INDEX('Documents'!$B$4:$B$503,_calc!$E$360))=0,"",INDEX('Documents'!$B$4:$B$503,_calc!$E$360))&amp;". ")&amp;IF(LEN(IF(LEN(INDEX('Documents'!$D$4:$D$503,_calc!$E$360))=0,"",INDEX('Documents'!$D$4:$D$503,_calc!$E$360)))=0,"","Ref: "&amp;IF(LEN(INDEX('Documents'!$D$4:$D$503,_calc!$E$360))=0,"",INDEX('Documents'!$D$4:$D$503,_calc!$E$360))&amp;". ")&amp;IF(LEN(IF(LEN(INDEX('Documents'!$K$4:$K$503,_calc!$E$360))=0,"",INDEX('Documents'!$K$4:$K$503,_calc!$E$360)))=0,"","On file: "&amp;IF(LEN(INDEX('Documents'!$K$4:$K$503,_calc!$E$360))=0,"",INDEX('Documents'!$K$4:$K$503,_calc!$E$360))&amp;". ")&amp;IF(LEN(IF(LEN(INDEX('Documents'!$L$4:$L$503,_calc!$E$360))=0,"",INDEX('Documents'!$L$4:$L$503,_calc!$E$360)))=0,"","Contractor email: "&amp;IF(LEN(INDEX('Documents'!$L$4:$L$503,_calc!$E$360))=0,"",INDEX('Documents'!$L$4:$L$503,_calc!$E$360))&amp;". ")&amp;IF(LEN(IF(LEN(INDEX('Documents'!$P$4:$P$503,_calc!$E$360))=0,"",INDEX('Documents'!$P$4:$P$503,_calc!$E$360)))=0,"",IF(LEN(INDEX('Documents'!$P$4:$P$503,_calc!$E$360))=0,"",INDEX('Documents'!$P$4:$P$503,_calc!$E$360)))))</f>
        <v/>
      </c>
      <c r="G358" s="43">
        <f>IF(_calc!$E$360="","",IF(LEN(INDEX('Documents'!$O$4:$O$503,_calc!$E$360))=0,"",INDEX('Documents'!$O$4:$O$503,_calc!$E$360)))</f>
        <v/>
      </c>
      <c r="K358" s="43">
        <f>IF(_calc!$E$360="","",IF(LEN(INDEX('Documents'!$M$4:$M$503,_calc!$E$360))=0,"",INDEX('Documents'!$M$4:$M$503,_calc!$E$360)))</f>
        <v/>
      </c>
    </row>
    <row r="359">
      <c r="A359" s="43">
        <f>IF(_calc!$E$361="","",IF(LEN(INDEX('Documents'!$C$4:$C$503,_calc!$E$361))=0,"",INDEX('Documents'!$C$4:$C$503,_calc!$E$361))&amp;" – "&amp;IF(LEN(INDEX('Documents'!$A$4:$A$503,_calc!$E$361))=0,"",INDEX('Documents'!$A$4:$A$503,_calc!$E$361)))</f>
        <v/>
      </c>
      <c r="B359" s="43">
        <f>IF(_calc!$E$361="","",IF(ISNUMBER(INDEX('Documents'!$F$4:$F$503,_calc!$E$361)),TEXT(INDEX('Documents'!$F$4:$F$503,_calc!$E$361),"yyyy-mm-dd"),""))</f>
        <v/>
      </c>
      <c r="C359" s="43">
        <f>IF(_calc!$E$361="","","Contractor document")</f>
        <v/>
      </c>
      <c r="D359" s="43">
        <f>IF(_calc!$E$361="","",IF(ISNUMBER(INDEX('Documents'!$E$4:$E$503,_calc!$E$361)),TEXT(INDEX('Documents'!$E$4:$E$503,_calc!$E$361),"yyyy-mm-dd"),""))</f>
        <v/>
      </c>
      <c r="E359" s="43">
        <f>IF(_calc!$E$361="","",IF(LEN(INDEX('Documents'!$N$4:$N$503,_calc!$E$361))=0,"",INDEX('Documents'!$N$4:$N$503,_calc!$E$361)))</f>
        <v/>
      </c>
      <c r="F359" s="43">
        <f>IF(_calc!$E$361="","",TRIM(IF(LEN(IF(LEN(INDEX('Documents'!$B$4:$B$503,_calc!$E$361))=0,"",INDEX('Documents'!$B$4:$B$503,_calc!$E$361)))=0,"","Trade: "&amp;IF(LEN(INDEX('Documents'!$B$4:$B$503,_calc!$E$361))=0,"",INDEX('Documents'!$B$4:$B$503,_calc!$E$361))&amp;". ")&amp;IF(LEN(IF(LEN(INDEX('Documents'!$D$4:$D$503,_calc!$E$361))=0,"",INDEX('Documents'!$D$4:$D$503,_calc!$E$361)))=0,"","Ref: "&amp;IF(LEN(INDEX('Documents'!$D$4:$D$503,_calc!$E$361))=0,"",INDEX('Documents'!$D$4:$D$503,_calc!$E$361))&amp;". ")&amp;IF(LEN(IF(LEN(INDEX('Documents'!$K$4:$K$503,_calc!$E$361))=0,"",INDEX('Documents'!$K$4:$K$503,_calc!$E$361)))=0,"","On file: "&amp;IF(LEN(INDEX('Documents'!$K$4:$K$503,_calc!$E$361))=0,"",INDEX('Documents'!$K$4:$K$503,_calc!$E$361))&amp;". ")&amp;IF(LEN(IF(LEN(INDEX('Documents'!$L$4:$L$503,_calc!$E$361))=0,"",INDEX('Documents'!$L$4:$L$503,_calc!$E$361)))=0,"","Contractor email: "&amp;IF(LEN(INDEX('Documents'!$L$4:$L$503,_calc!$E$361))=0,"",INDEX('Documents'!$L$4:$L$503,_calc!$E$361))&amp;". ")&amp;IF(LEN(IF(LEN(INDEX('Documents'!$P$4:$P$503,_calc!$E$361))=0,"",INDEX('Documents'!$P$4:$P$503,_calc!$E$361)))=0,"",IF(LEN(INDEX('Documents'!$P$4:$P$503,_calc!$E$361))=0,"",INDEX('Documents'!$P$4:$P$503,_calc!$E$361)))))</f>
        <v/>
      </c>
      <c r="G359" s="43">
        <f>IF(_calc!$E$361="","",IF(LEN(INDEX('Documents'!$O$4:$O$503,_calc!$E$361))=0,"",INDEX('Documents'!$O$4:$O$503,_calc!$E$361)))</f>
        <v/>
      </c>
      <c r="K359" s="43">
        <f>IF(_calc!$E$361="","",IF(LEN(INDEX('Documents'!$M$4:$M$503,_calc!$E$361))=0,"",INDEX('Documents'!$M$4:$M$503,_calc!$E$361)))</f>
        <v/>
      </c>
    </row>
    <row r="360">
      <c r="A360" s="43">
        <f>IF(_calc!$E$362="","",IF(LEN(INDEX('Documents'!$C$4:$C$503,_calc!$E$362))=0,"",INDEX('Documents'!$C$4:$C$503,_calc!$E$362))&amp;" – "&amp;IF(LEN(INDEX('Documents'!$A$4:$A$503,_calc!$E$362))=0,"",INDEX('Documents'!$A$4:$A$503,_calc!$E$362)))</f>
        <v/>
      </c>
      <c r="B360" s="43">
        <f>IF(_calc!$E$362="","",IF(ISNUMBER(INDEX('Documents'!$F$4:$F$503,_calc!$E$362)),TEXT(INDEX('Documents'!$F$4:$F$503,_calc!$E$362),"yyyy-mm-dd"),""))</f>
        <v/>
      </c>
      <c r="C360" s="43">
        <f>IF(_calc!$E$362="","","Contractor document")</f>
        <v/>
      </c>
      <c r="D360" s="43">
        <f>IF(_calc!$E$362="","",IF(ISNUMBER(INDEX('Documents'!$E$4:$E$503,_calc!$E$362)),TEXT(INDEX('Documents'!$E$4:$E$503,_calc!$E$362),"yyyy-mm-dd"),""))</f>
        <v/>
      </c>
      <c r="E360" s="43">
        <f>IF(_calc!$E$362="","",IF(LEN(INDEX('Documents'!$N$4:$N$503,_calc!$E$362))=0,"",INDEX('Documents'!$N$4:$N$503,_calc!$E$362)))</f>
        <v/>
      </c>
      <c r="F360" s="43">
        <f>IF(_calc!$E$362="","",TRIM(IF(LEN(IF(LEN(INDEX('Documents'!$B$4:$B$503,_calc!$E$362))=0,"",INDEX('Documents'!$B$4:$B$503,_calc!$E$362)))=0,"","Trade: "&amp;IF(LEN(INDEX('Documents'!$B$4:$B$503,_calc!$E$362))=0,"",INDEX('Documents'!$B$4:$B$503,_calc!$E$362))&amp;". ")&amp;IF(LEN(IF(LEN(INDEX('Documents'!$D$4:$D$503,_calc!$E$362))=0,"",INDEX('Documents'!$D$4:$D$503,_calc!$E$362)))=0,"","Ref: "&amp;IF(LEN(INDEX('Documents'!$D$4:$D$503,_calc!$E$362))=0,"",INDEX('Documents'!$D$4:$D$503,_calc!$E$362))&amp;". ")&amp;IF(LEN(IF(LEN(INDEX('Documents'!$K$4:$K$503,_calc!$E$362))=0,"",INDEX('Documents'!$K$4:$K$503,_calc!$E$362)))=0,"","On file: "&amp;IF(LEN(INDEX('Documents'!$K$4:$K$503,_calc!$E$362))=0,"",INDEX('Documents'!$K$4:$K$503,_calc!$E$362))&amp;". ")&amp;IF(LEN(IF(LEN(INDEX('Documents'!$L$4:$L$503,_calc!$E$362))=0,"",INDEX('Documents'!$L$4:$L$503,_calc!$E$362)))=0,"","Contractor email: "&amp;IF(LEN(INDEX('Documents'!$L$4:$L$503,_calc!$E$362))=0,"",INDEX('Documents'!$L$4:$L$503,_calc!$E$362))&amp;". ")&amp;IF(LEN(IF(LEN(INDEX('Documents'!$P$4:$P$503,_calc!$E$362))=0,"",INDEX('Documents'!$P$4:$P$503,_calc!$E$362)))=0,"",IF(LEN(INDEX('Documents'!$P$4:$P$503,_calc!$E$362))=0,"",INDEX('Documents'!$P$4:$P$503,_calc!$E$362)))))</f>
        <v/>
      </c>
      <c r="G360" s="43">
        <f>IF(_calc!$E$362="","",IF(LEN(INDEX('Documents'!$O$4:$O$503,_calc!$E$362))=0,"",INDEX('Documents'!$O$4:$O$503,_calc!$E$362)))</f>
        <v/>
      </c>
      <c r="K360" s="43">
        <f>IF(_calc!$E$362="","",IF(LEN(INDEX('Documents'!$M$4:$M$503,_calc!$E$362))=0,"",INDEX('Documents'!$M$4:$M$503,_calc!$E$362)))</f>
        <v/>
      </c>
    </row>
    <row r="361">
      <c r="A361" s="43">
        <f>IF(_calc!$E$363="","",IF(LEN(INDEX('Documents'!$C$4:$C$503,_calc!$E$363))=0,"",INDEX('Documents'!$C$4:$C$503,_calc!$E$363))&amp;" – "&amp;IF(LEN(INDEX('Documents'!$A$4:$A$503,_calc!$E$363))=0,"",INDEX('Documents'!$A$4:$A$503,_calc!$E$363)))</f>
        <v/>
      </c>
      <c r="B361" s="43">
        <f>IF(_calc!$E$363="","",IF(ISNUMBER(INDEX('Documents'!$F$4:$F$503,_calc!$E$363)),TEXT(INDEX('Documents'!$F$4:$F$503,_calc!$E$363),"yyyy-mm-dd"),""))</f>
        <v/>
      </c>
      <c r="C361" s="43">
        <f>IF(_calc!$E$363="","","Contractor document")</f>
        <v/>
      </c>
      <c r="D361" s="43">
        <f>IF(_calc!$E$363="","",IF(ISNUMBER(INDEX('Documents'!$E$4:$E$503,_calc!$E$363)),TEXT(INDEX('Documents'!$E$4:$E$503,_calc!$E$363),"yyyy-mm-dd"),""))</f>
        <v/>
      </c>
      <c r="E361" s="43">
        <f>IF(_calc!$E$363="","",IF(LEN(INDEX('Documents'!$N$4:$N$503,_calc!$E$363))=0,"",INDEX('Documents'!$N$4:$N$503,_calc!$E$363)))</f>
        <v/>
      </c>
      <c r="F361" s="43">
        <f>IF(_calc!$E$363="","",TRIM(IF(LEN(IF(LEN(INDEX('Documents'!$B$4:$B$503,_calc!$E$363))=0,"",INDEX('Documents'!$B$4:$B$503,_calc!$E$363)))=0,"","Trade: "&amp;IF(LEN(INDEX('Documents'!$B$4:$B$503,_calc!$E$363))=0,"",INDEX('Documents'!$B$4:$B$503,_calc!$E$363))&amp;". ")&amp;IF(LEN(IF(LEN(INDEX('Documents'!$D$4:$D$503,_calc!$E$363))=0,"",INDEX('Documents'!$D$4:$D$503,_calc!$E$363)))=0,"","Ref: "&amp;IF(LEN(INDEX('Documents'!$D$4:$D$503,_calc!$E$363))=0,"",INDEX('Documents'!$D$4:$D$503,_calc!$E$363))&amp;". ")&amp;IF(LEN(IF(LEN(INDEX('Documents'!$K$4:$K$503,_calc!$E$363))=0,"",INDEX('Documents'!$K$4:$K$503,_calc!$E$363)))=0,"","On file: "&amp;IF(LEN(INDEX('Documents'!$K$4:$K$503,_calc!$E$363))=0,"",INDEX('Documents'!$K$4:$K$503,_calc!$E$363))&amp;". ")&amp;IF(LEN(IF(LEN(INDEX('Documents'!$L$4:$L$503,_calc!$E$363))=0,"",INDEX('Documents'!$L$4:$L$503,_calc!$E$363)))=0,"","Contractor email: "&amp;IF(LEN(INDEX('Documents'!$L$4:$L$503,_calc!$E$363))=0,"",INDEX('Documents'!$L$4:$L$503,_calc!$E$363))&amp;". ")&amp;IF(LEN(IF(LEN(INDEX('Documents'!$P$4:$P$503,_calc!$E$363))=0,"",INDEX('Documents'!$P$4:$P$503,_calc!$E$363)))=0,"",IF(LEN(INDEX('Documents'!$P$4:$P$503,_calc!$E$363))=0,"",INDEX('Documents'!$P$4:$P$503,_calc!$E$363)))))</f>
        <v/>
      </c>
      <c r="G361" s="43">
        <f>IF(_calc!$E$363="","",IF(LEN(INDEX('Documents'!$O$4:$O$503,_calc!$E$363))=0,"",INDEX('Documents'!$O$4:$O$503,_calc!$E$363)))</f>
        <v/>
      </c>
      <c r="K361" s="43">
        <f>IF(_calc!$E$363="","",IF(LEN(INDEX('Documents'!$M$4:$M$503,_calc!$E$363))=0,"",INDEX('Documents'!$M$4:$M$503,_calc!$E$363)))</f>
        <v/>
      </c>
    </row>
    <row r="362">
      <c r="A362" s="43">
        <f>IF(_calc!$E$364="","",IF(LEN(INDEX('Documents'!$C$4:$C$503,_calc!$E$364))=0,"",INDEX('Documents'!$C$4:$C$503,_calc!$E$364))&amp;" – "&amp;IF(LEN(INDEX('Documents'!$A$4:$A$503,_calc!$E$364))=0,"",INDEX('Documents'!$A$4:$A$503,_calc!$E$364)))</f>
        <v/>
      </c>
      <c r="B362" s="43">
        <f>IF(_calc!$E$364="","",IF(ISNUMBER(INDEX('Documents'!$F$4:$F$503,_calc!$E$364)),TEXT(INDEX('Documents'!$F$4:$F$503,_calc!$E$364),"yyyy-mm-dd"),""))</f>
        <v/>
      </c>
      <c r="C362" s="43">
        <f>IF(_calc!$E$364="","","Contractor document")</f>
        <v/>
      </c>
      <c r="D362" s="43">
        <f>IF(_calc!$E$364="","",IF(ISNUMBER(INDEX('Documents'!$E$4:$E$503,_calc!$E$364)),TEXT(INDEX('Documents'!$E$4:$E$503,_calc!$E$364),"yyyy-mm-dd"),""))</f>
        <v/>
      </c>
      <c r="E362" s="43">
        <f>IF(_calc!$E$364="","",IF(LEN(INDEX('Documents'!$N$4:$N$503,_calc!$E$364))=0,"",INDEX('Documents'!$N$4:$N$503,_calc!$E$364)))</f>
        <v/>
      </c>
      <c r="F362" s="43">
        <f>IF(_calc!$E$364="","",TRIM(IF(LEN(IF(LEN(INDEX('Documents'!$B$4:$B$503,_calc!$E$364))=0,"",INDEX('Documents'!$B$4:$B$503,_calc!$E$364)))=0,"","Trade: "&amp;IF(LEN(INDEX('Documents'!$B$4:$B$503,_calc!$E$364))=0,"",INDEX('Documents'!$B$4:$B$503,_calc!$E$364))&amp;". ")&amp;IF(LEN(IF(LEN(INDEX('Documents'!$D$4:$D$503,_calc!$E$364))=0,"",INDEX('Documents'!$D$4:$D$503,_calc!$E$364)))=0,"","Ref: "&amp;IF(LEN(INDEX('Documents'!$D$4:$D$503,_calc!$E$364))=0,"",INDEX('Documents'!$D$4:$D$503,_calc!$E$364))&amp;". ")&amp;IF(LEN(IF(LEN(INDEX('Documents'!$K$4:$K$503,_calc!$E$364))=0,"",INDEX('Documents'!$K$4:$K$503,_calc!$E$364)))=0,"","On file: "&amp;IF(LEN(INDEX('Documents'!$K$4:$K$503,_calc!$E$364))=0,"",INDEX('Documents'!$K$4:$K$503,_calc!$E$364))&amp;". ")&amp;IF(LEN(IF(LEN(INDEX('Documents'!$L$4:$L$503,_calc!$E$364))=0,"",INDEX('Documents'!$L$4:$L$503,_calc!$E$364)))=0,"","Contractor email: "&amp;IF(LEN(INDEX('Documents'!$L$4:$L$503,_calc!$E$364))=0,"",INDEX('Documents'!$L$4:$L$503,_calc!$E$364))&amp;". ")&amp;IF(LEN(IF(LEN(INDEX('Documents'!$P$4:$P$503,_calc!$E$364))=0,"",INDEX('Documents'!$P$4:$P$503,_calc!$E$364)))=0,"",IF(LEN(INDEX('Documents'!$P$4:$P$503,_calc!$E$364))=0,"",INDEX('Documents'!$P$4:$P$503,_calc!$E$364)))))</f>
        <v/>
      </c>
      <c r="G362" s="43">
        <f>IF(_calc!$E$364="","",IF(LEN(INDEX('Documents'!$O$4:$O$503,_calc!$E$364))=0,"",INDEX('Documents'!$O$4:$O$503,_calc!$E$364)))</f>
        <v/>
      </c>
      <c r="K362" s="43">
        <f>IF(_calc!$E$364="","",IF(LEN(INDEX('Documents'!$M$4:$M$503,_calc!$E$364))=0,"",INDEX('Documents'!$M$4:$M$503,_calc!$E$364)))</f>
        <v/>
      </c>
    </row>
    <row r="363">
      <c r="A363" s="43">
        <f>IF(_calc!$E$365="","",IF(LEN(INDEX('Documents'!$C$4:$C$503,_calc!$E$365))=0,"",INDEX('Documents'!$C$4:$C$503,_calc!$E$365))&amp;" – "&amp;IF(LEN(INDEX('Documents'!$A$4:$A$503,_calc!$E$365))=0,"",INDEX('Documents'!$A$4:$A$503,_calc!$E$365)))</f>
        <v/>
      </c>
      <c r="B363" s="43">
        <f>IF(_calc!$E$365="","",IF(ISNUMBER(INDEX('Documents'!$F$4:$F$503,_calc!$E$365)),TEXT(INDEX('Documents'!$F$4:$F$503,_calc!$E$365),"yyyy-mm-dd"),""))</f>
        <v/>
      </c>
      <c r="C363" s="43">
        <f>IF(_calc!$E$365="","","Contractor document")</f>
        <v/>
      </c>
      <c r="D363" s="43">
        <f>IF(_calc!$E$365="","",IF(ISNUMBER(INDEX('Documents'!$E$4:$E$503,_calc!$E$365)),TEXT(INDEX('Documents'!$E$4:$E$503,_calc!$E$365),"yyyy-mm-dd"),""))</f>
        <v/>
      </c>
      <c r="E363" s="43">
        <f>IF(_calc!$E$365="","",IF(LEN(INDEX('Documents'!$N$4:$N$503,_calc!$E$365))=0,"",INDEX('Documents'!$N$4:$N$503,_calc!$E$365)))</f>
        <v/>
      </c>
      <c r="F363" s="43">
        <f>IF(_calc!$E$365="","",TRIM(IF(LEN(IF(LEN(INDEX('Documents'!$B$4:$B$503,_calc!$E$365))=0,"",INDEX('Documents'!$B$4:$B$503,_calc!$E$365)))=0,"","Trade: "&amp;IF(LEN(INDEX('Documents'!$B$4:$B$503,_calc!$E$365))=0,"",INDEX('Documents'!$B$4:$B$503,_calc!$E$365))&amp;". ")&amp;IF(LEN(IF(LEN(INDEX('Documents'!$D$4:$D$503,_calc!$E$365))=0,"",INDEX('Documents'!$D$4:$D$503,_calc!$E$365)))=0,"","Ref: "&amp;IF(LEN(INDEX('Documents'!$D$4:$D$503,_calc!$E$365))=0,"",INDEX('Documents'!$D$4:$D$503,_calc!$E$365))&amp;". ")&amp;IF(LEN(IF(LEN(INDEX('Documents'!$K$4:$K$503,_calc!$E$365))=0,"",INDEX('Documents'!$K$4:$K$503,_calc!$E$365)))=0,"","On file: "&amp;IF(LEN(INDEX('Documents'!$K$4:$K$503,_calc!$E$365))=0,"",INDEX('Documents'!$K$4:$K$503,_calc!$E$365))&amp;". ")&amp;IF(LEN(IF(LEN(INDEX('Documents'!$L$4:$L$503,_calc!$E$365))=0,"",INDEX('Documents'!$L$4:$L$503,_calc!$E$365)))=0,"","Contractor email: "&amp;IF(LEN(INDEX('Documents'!$L$4:$L$503,_calc!$E$365))=0,"",INDEX('Documents'!$L$4:$L$503,_calc!$E$365))&amp;". ")&amp;IF(LEN(IF(LEN(INDEX('Documents'!$P$4:$P$503,_calc!$E$365))=0,"",INDEX('Documents'!$P$4:$P$503,_calc!$E$365)))=0,"",IF(LEN(INDEX('Documents'!$P$4:$P$503,_calc!$E$365))=0,"",INDEX('Documents'!$P$4:$P$503,_calc!$E$365)))))</f>
        <v/>
      </c>
      <c r="G363" s="43">
        <f>IF(_calc!$E$365="","",IF(LEN(INDEX('Documents'!$O$4:$O$503,_calc!$E$365))=0,"",INDEX('Documents'!$O$4:$O$503,_calc!$E$365)))</f>
        <v/>
      </c>
      <c r="K363" s="43">
        <f>IF(_calc!$E$365="","",IF(LEN(INDEX('Documents'!$M$4:$M$503,_calc!$E$365))=0,"",INDEX('Documents'!$M$4:$M$503,_calc!$E$365)))</f>
        <v/>
      </c>
    </row>
    <row r="364">
      <c r="A364" s="43">
        <f>IF(_calc!$E$366="","",IF(LEN(INDEX('Documents'!$C$4:$C$503,_calc!$E$366))=0,"",INDEX('Documents'!$C$4:$C$503,_calc!$E$366))&amp;" – "&amp;IF(LEN(INDEX('Documents'!$A$4:$A$503,_calc!$E$366))=0,"",INDEX('Documents'!$A$4:$A$503,_calc!$E$366)))</f>
        <v/>
      </c>
      <c r="B364" s="43">
        <f>IF(_calc!$E$366="","",IF(ISNUMBER(INDEX('Documents'!$F$4:$F$503,_calc!$E$366)),TEXT(INDEX('Documents'!$F$4:$F$503,_calc!$E$366),"yyyy-mm-dd"),""))</f>
        <v/>
      </c>
      <c r="C364" s="43">
        <f>IF(_calc!$E$366="","","Contractor document")</f>
        <v/>
      </c>
      <c r="D364" s="43">
        <f>IF(_calc!$E$366="","",IF(ISNUMBER(INDEX('Documents'!$E$4:$E$503,_calc!$E$366)),TEXT(INDEX('Documents'!$E$4:$E$503,_calc!$E$366),"yyyy-mm-dd"),""))</f>
        <v/>
      </c>
      <c r="E364" s="43">
        <f>IF(_calc!$E$366="","",IF(LEN(INDEX('Documents'!$N$4:$N$503,_calc!$E$366))=0,"",INDEX('Documents'!$N$4:$N$503,_calc!$E$366)))</f>
        <v/>
      </c>
      <c r="F364" s="43">
        <f>IF(_calc!$E$366="","",TRIM(IF(LEN(IF(LEN(INDEX('Documents'!$B$4:$B$503,_calc!$E$366))=0,"",INDEX('Documents'!$B$4:$B$503,_calc!$E$366)))=0,"","Trade: "&amp;IF(LEN(INDEX('Documents'!$B$4:$B$503,_calc!$E$366))=0,"",INDEX('Documents'!$B$4:$B$503,_calc!$E$366))&amp;". ")&amp;IF(LEN(IF(LEN(INDEX('Documents'!$D$4:$D$503,_calc!$E$366))=0,"",INDEX('Documents'!$D$4:$D$503,_calc!$E$366)))=0,"","Ref: "&amp;IF(LEN(INDEX('Documents'!$D$4:$D$503,_calc!$E$366))=0,"",INDEX('Documents'!$D$4:$D$503,_calc!$E$366))&amp;". ")&amp;IF(LEN(IF(LEN(INDEX('Documents'!$K$4:$K$503,_calc!$E$366))=0,"",INDEX('Documents'!$K$4:$K$503,_calc!$E$366)))=0,"","On file: "&amp;IF(LEN(INDEX('Documents'!$K$4:$K$503,_calc!$E$366))=0,"",INDEX('Documents'!$K$4:$K$503,_calc!$E$366))&amp;". ")&amp;IF(LEN(IF(LEN(INDEX('Documents'!$L$4:$L$503,_calc!$E$366))=0,"",INDEX('Documents'!$L$4:$L$503,_calc!$E$366)))=0,"","Contractor email: "&amp;IF(LEN(INDEX('Documents'!$L$4:$L$503,_calc!$E$366))=0,"",INDEX('Documents'!$L$4:$L$503,_calc!$E$366))&amp;". ")&amp;IF(LEN(IF(LEN(INDEX('Documents'!$P$4:$P$503,_calc!$E$366))=0,"",INDEX('Documents'!$P$4:$P$503,_calc!$E$366)))=0,"",IF(LEN(INDEX('Documents'!$P$4:$P$503,_calc!$E$366))=0,"",INDEX('Documents'!$P$4:$P$503,_calc!$E$366)))))</f>
        <v/>
      </c>
      <c r="G364" s="43">
        <f>IF(_calc!$E$366="","",IF(LEN(INDEX('Documents'!$O$4:$O$503,_calc!$E$366))=0,"",INDEX('Documents'!$O$4:$O$503,_calc!$E$366)))</f>
        <v/>
      </c>
      <c r="K364" s="43">
        <f>IF(_calc!$E$366="","",IF(LEN(INDEX('Documents'!$M$4:$M$503,_calc!$E$366))=0,"",INDEX('Documents'!$M$4:$M$503,_calc!$E$366)))</f>
        <v/>
      </c>
    </row>
    <row r="365">
      <c r="A365" s="43">
        <f>IF(_calc!$E$367="","",IF(LEN(INDEX('Documents'!$C$4:$C$503,_calc!$E$367))=0,"",INDEX('Documents'!$C$4:$C$503,_calc!$E$367))&amp;" – "&amp;IF(LEN(INDEX('Documents'!$A$4:$A$503,_calc!$E$367))=0,"",INDEX('Documents'!$A$4:$A$503,_calc!$E$367)))</f>
        <v/>
      </c>
      <c r="B365" s="43">
        <f>IF(_calc!$E$367="","",IF(ISNUMBER(INDEX('Documents'!$F$4:$F$503,_calc!$E$367)),TEXT(INDEX('Documents'!$F$4:$F$503,_calc!$E$367),"yyyy-mm-dd"),""))</f>
        <v/>
      </c>
      <c r="C365" s="43">
        <f>IF(_calc!$E$367="","","Contractor document")</f>
        <v/>
      </c>
      <c r="D365" s="43">
        <f>IF(_calc!$E$367="","",IF(ISNUMBER(INDEX('Documents'!$E$4:$E$503,_calc!$E$367)),TEXT(INDEX('Documents'!$E$4:$E$503,_calc!$E$367),"yyyy-mm-dd"),""))</f>
        <v/>
      </c>
      <c r="E365" s="43">
        <f>IF(_calc!$E$367="","",IF(LEN(INDEX('Documents'!$N$4:$N$503,_calc!$E$367))=0,"",INDEX('Documents'!$N$4:$N$503,_calc!$E$367)))</f>
        <v/>
      </c>
      <c r="F365" s="43">
        <f>IF(_calc!$E$367="","",TRIM(IF(LEN(IF(LEN(INDEX('Documents'!$B$4:$B$503,_calc!$E$367))=0,"",INDEX('Documents'!$B$4:$B$503,_calc!$E$367)))=0,"","Trade: "&amp;IF(LEN(INDEX('Documents'!$B$4:$B$503,_calc!$E$367))=0,"",INDEX('Documents'!$B$4:$B$503,_calc!$E$367))&amp;". ")&amp;IF(LEN(IF(LEN(INDEX('Documents'!$D$4:$D$503,_calc!$E$367))=0,"",INDEX('Documents'!$D$4:$D$503,_calc!$E$367)))=0,"","Ref: "&amp;IF(LEN(INDEX('Documents'!$D$4:$D$503,_calc!$E$367))=0,"",INDEX('Documents'!$D$4:$D$503,_calc!$E$367))&amp;". ")&amp;IF(LEN(IF(LEN(INDEX('Documents'!$K$4:$K$503,_calc!$E$367))=0,"",INDEX('Documents'!$K$4:$K$503,_calc!$E$367)))=0,"","On file: "&amp;IF(LEN(INDEX('Documents'!$K$4:$K$503,_calc!$E$367))=0,"",INDEX('Documents'!$K$4:$K$503,_calc!$E$367))&amp;". ")&amp;IF(LEN(IF(LEN(INDEX('Documents'!$L$4:$L$503,_calc!$E$367))=0,"",INDEX('Documents'!$L$4:$L$503,_calc!$E$367)))=0,"","Contractor email: "&amp;IF(LEN(INDEX('Documents'!$L$4:$L$503,_calc!$E$367))=0,"",INDEX('Documents'!$L$4:$L$503,_calc!$E$367))&amp;". ")&amp;IF(LEN(IF(LEN(INDEX('Documents'!$P$4:$P$503,_calc!$E$367))=0,"",INDEX('Documents'!$P$4:$P$503,_calc!$E$367)))=0,"",IF(LEN(INDEX('Documents'!$P$4:$P$503,_calc!$E$367))=0,"",INDEX('Documents'!$P$4:$P$503,_calc!$E$367)))))</f>
        <v/>
      </c>
      <c r="G365" s="43">
        <f>IF(_calc!$E$367="","",IF(LEN(INDEX('Documents'!$O$4:$O$503,_calc!$E$367))=0,"",INDEX('Documents'!$O$4:$O$503,_calc!$E$367)))</f>
        <v/>
      </c>
      <c r="K365" s="43">
        <f>IF(_calc!$E$367="","",IF(LEN(INDEX('Documents'!$M$4:$M$503,_calc!$E$367))=0,"",INDEX('Documents'!$M$4:$M$503,_calc!$E$367)))</f>
        <v/>
      </c>
    </row>
    <row r="366">
      <c r="A366" s="43">
        <f>IF(_calc!$E$368="","",IF(LEN(INDEX('Documents'!$C$4:$C$503,_calc!$E$368))=0,"",INDEX('Documents'!$C$4:$C$503,_calc!$E$368))&amp;" – "&amp;IF(LEN(INDEX('Documents'!$A$4:$A$503,_calc!$E$368))=0,"",INDEX('Documents'!$A$4:$A$503,_calc!$E$368)))</f>
        <v/>
      </c>
      <c r="B366" s="43">
        <f>IF(_calc!$E$368="","",IF(ISNUMBER(INDEX('Documents'!$F$4:$F$503,_calc!$E$368)),TEXT(INDEX('Documents'!$F$4:$F$503,_calc!$E$368),"yyyy-mm-dd"),""))</f>
        <v/>
      </c>
      <c r="C366" s="43">
        <f>IF(_calc!$E$368="","","Contractor document")</f>
        <v/>
      </c>
      <c r="D366" s="43">
        <f>IF(_calc!$E$368="","",IF(ISNUMBER(INDEX('Documents'!$E$4:$E$503,_calc!$E$368)),TEXT(INDEX('Documents'!$E$4:$E$503,_calc!$E$368),"yyyy-mm-dd"),""))</f>
        <v/>
      </c>
      <c r="E366" s="43">
        <f>IF(_calc!$E$368="","",IF(LEN(INDEX('Documents'!$N$4:$N$503,_calc!$E$368))=0,"",INDEX('Documents'!$N$4:$N$503,_calc!$E$368)))</f>
        <v/>
      </c>
      <c r="F366" s="43">
        <f>IF(_calc!$E$368="","",TRIM(IF(LEN(IF(LEN(INDEX('Documents'!$B$4:$B$503,_calc!$E$368))=0,"",INDEX('Documents'!$B$4:$B$503,_calc!$E$368)))=0,"","Trade: "&amp;IF(LEN(INDEX('Documents'!$B$4:$B$503,_calc!$E$368))=0,"",INDEX('Documents'!$B$4:$B$503,_calc!$E$368))&amp;". ")&amp;IF(LEN(IF(LEN(INDEX('Documents'!$D$4:$D$503,_calc!$E$368))=0,"",INDEX('Documents'!$D$4:$D$503,_calc!$E$368)))=0,"","Ref: "&amp;IF(LEN(INDEX('Documents'!$D$4:$D$503,_calc!$E$368))=0,"",INDEX('Documents'!$D$4:$D$503,_calc!$E$368))&amp;". ")&amp;IF(LEN(IF(LEN(INDEX('Documents'!$K$4:$K$503,_calc!$E$368))=0,"",INDEX('Documents'!$K$4:$K$503,_calc!$E$368)))=0,"","On file: "&amp;IF(LEN(INDEX('Documents'!$K$4:$K$503,_calc!$E$368))=0,"",INDEX('Documents'!$K$4:$K$503,_calc!$E$368))&amp;". ")&amp;IF(LEN(IF(LEN(INDEX('Documents'!$L$4:$L$503,_calc!$E$368))=0,"",INDEX('Documents'!$L$4:$L$503,_calc!$E$368)))=0,"","Contractor email: "&amp;IF(LEN(INDEX('Documents'!$L$4:$L$503,_calc!$E$368))=0,"",INDEX('Documents'!$L$4:$L$503,_calc!$E$368))&amp;". ")&amp;IF(LEN(IF(LEN(INDEX('Documents'!$P$4:$P$503,_calc!$E$368))=0,"",INDEX('Documents'!$P$4:$P$503,_calc!$E$368)))=0,"",IF(LEN(INDEX('Documents'!$P$4:$P$503,_calc!$E$368))=0,"",INDEX('Documents'!$P$4:$P$503,_calc!$E$368)))))</f>
        <v/>
      </c>
      <c r="G366" s="43">
        <f>IF(_calc!$E$368="","",IF(LEN(INDEX('Documents'!$O$4:$O$503,_calc!$E$368))=0,"",INDEX('Documents'!$O$4:$O$503,_calc!$E$368)))</f>
        <v/>
      </c>
      <c r="K366" s="43">
        <f>IF(_calc!$E$368="","",IF(LEN(INDEX('Documents'!$M$4:$M$503,_calc!$E$368))=0,"",INDEX('Documents'!$M$4:$M$503,_calc!$E$368)))</f>
        <v/>
      </c>
    </row>
    <row r="367">
      <c r="A367" s="43">
        <f>IF(_calc!$E$369="","",IF(LEN(INDEX('Documents'!$C$4:$C$503,_calc!$E$369))=0,"",INDEX('Documents'!$C$4:$C$503,_calc!$E$369))&amp;" – "&amp;IF(LEN(INDEX('Documents'!$A$4:$A$503,_calc!$E$369))=0,"",INDEX('Documents'!$A$4:$A$503,_calc!$E$369)))</f>
        <v/>
      </c>
      <c r="B367" s="43">
        <f>IF(_calc!$E$369="","",IF(ISNUMBER(INDEX('Documents'!$F$4:$F$503,_calc!$E$369)),TEXT(INDEX('Documents'!$F$4:$F$503,_calc!$E$369),"yyyy-mm-dd"),""))</f>
        <v/>
      </c>
      <c r="C367" s="43">
        <f>IF(_calc!$E$369="","","Contractor document")</f>
        <v/>
      </c>
      <c r="D367" s="43">
        <f>IF(_calc!$E$369="","",IF(ISNUMBER(INDEX('Documents'!$E$4:$E$503,_calc!$E$369)),TEXT(INDEX('Documents'!$E$4:$E$503,_calc!$E$369),"yyyy-mm-dd"),""))</f>
        <v/>
      </c>
      <c r="E367" s="43">
        <f>IF(_calc!$E$369="","",IF(LEN(INDEX('Documents'!$N$4:$N$503,_calc!$E$369))=0,"",INDEX('Documents'!$N$4:$N$503,_calc!$E$369)))</f>
        <v/>
      </c>
      <c r="F367" s="43">
        <f>IF(_calc!$E$369="","",TRIM(IF(LEN(IF(LEN(INDEX('Documents'!$B$4:$B$503,_calc!$E$369))=0,"",INDEX('Documents'!$B$4:$B$503,_calc!$E$369)))=0,"","Trade: "&amp;IF(LEN(INDEX('Documents'!$B$4:$B$503,_calc!$E$369))=0,"",INDEX('Documents'!$B$4:$B$503,_calc!$E$369))&amp;". ")&amp;IF(LEN(IF(LEN(INDEX('Documents'!$D$4:$D$503,_calc!$E$369))=0,"",INDEX('Documents'!$D$4:$D$503,_calc!$E$369)))=0,"","Ref: "&amp;IF(LEN(INDEX('Documents'!$D$4:$D$503,_calc!$E$369))=0,"",INDEX('Documents'!$D$4:$D$503,_calc!$E$369))&amp;". ")&amp;IF(LEN(IF(LEN(INDEX('Documents'!$K$4:$K$503,_calc!$E$369))=0,"",INDEX('Documents'!$K$4:$K$503,_calc!$E$369)))=0,"","On file: "&amp;IF(LEN(INDEX('Documents'!$K$4:$K$503,_calc!$E$369))=0,"",INDEX('Documents'!$K$4:$K$503,_calc!$E$369))&amp;". ")&amp;IF(LEN(IF(LEN(INDEX('Documents'!$L$4:$L$503,_calc!$E$369))=0,"",INDEX('Documents'!$L$4:$L$503,_calc!$E$369)))=0,"","Contractor email: "&amp;IF(LEN(INDEX('Documents'!$L$4:$L$503,_calc!$E$369))=0,"",INDEX('Documents'!$L$4:$L$503,_calc!$E$369))&amp;". ")&amp;IF(LEN(IF(LEN(INDEX('Documents'!$P$4:$P$503,_calc!$E$369))=0,"",INDEX('Documents'!$P$4:$P$503,_calc!$E$369)))=0,"",IF(LEN(INDEX('Documents'!$P$4:$P$503,_calc!$E$369))=0,"",INDEX('Documents'!$P$4:$P$503,_calc!$E$369)))))</f>
        <v/>
      </c>
      <c r="G367" s="43">
        <f>IF(_calc!$E$369="","",IF(LEN(INDEX('Documents'!$O$4:$O$503,_calc!$E$369))=0,"",INDEX('Documents'!$O$4:$O$503,_calc!$E$369)))</f>
        <v/>
      </c>
      <c r="K367" s="43">
        <f>IF(_calc!$E$369="","",IF(LEN(INDEX('Documents'!$M$4:$M$503,_calc!$E$369))=0,"",INDEX('Documents'!$M$4:$M$503,_calc!$E$369)))</f>
        <v/>
      </c>
    </row>
    <row r="368">
      <c r="A368" s="43">
        <f>IF(_calc!$E$370="","",IF(LEN(INDEX('Documents'!$C$4:$C$503,_calc!$E$370))=0,"",INDEX('Documents'!$C$4:$C$503,_calc!$E$370))&amp;" – "&amp;IF(LEN(INDEX('Documents'!$A$4:$A$503,_calc!$E$370))=0,"",INDEX('Documents'!$A$4:$A$503,_calc!$E$370)))</f>
        <v/>
      </c>
      <c r="B368" s="43">
        <f>IF(_calc!$E$370="","",IF(ISNUMBER(INDEX('Documents'!$F$4:$F$503,_calc!$E$370)),TEXT(INDEX('Documents'!$F$4:$F$503,_calc!$E$370),"yyyy-mm-dd"),""))</f>
        <v/>
      </c>
      <c r="C368" s="43">
        <f>IF(_calc!$E$370="","","Contractor document")</f>
        <v/>
      </c>
      <c r="D368" s="43">
        <f>IF(_calc!$E$370="","",IF(ISNUMBER(INDEX('Documents'!$E$4:$E$503,_calc!$E$370)),TEXT(INDEX('Documents'!$E$4:$E$503,_calc!$E$370),"yyyy-mm-dd"),""))</f>
        <v/>
      </c>
      <c r="E368" s="43">
        <f>IF(_calc!$E$370="","",IF(LEN(INDEX('Documents'!$N$4:$N$503,_calc!$E$370))=0,"",INDEX('Documents'!$N$4:$N$503,_calc!$E$370)))</f>
        <v/>
      </c>
      <c r="F368" s="43">
        <f>IF(_calc!$E$370="","",TRIM(IF(LEN(IF(LEN(INDEX('Documents'!$B$4:$B$503,_calc!$E$370))=0,"",INDEX('Documents'!$B$4:$B$503,_calc!$E$370)))=0,"","Trade: "&amp;IF(LEN(INDEX('Documents'!$B$4:$B$503,_calc!$E$370))=0,"",INDEX('Documents'!$B$4:$B$503,_calc!$E$370))&amp;". ")&amp;IF(LEN(IF(LEN(INDEX('Documents'!$D$4:$D$503,_calc!$E$370))=0,"",INDEX('Documents'!$D$4:$D$503,_calc!$E$370)))=0,"","Ref: "&amp;IF(LEN(INDEX('Documents'!$D$4:$D$503,_calc!$E$370))=0,"",INDEX('Documents'!$D$4:$D$503,_calc!$E$370))&amp;". ")&amp;IF(LEN(IF(LEN(INDEX('Documents'!$K$4:$K$503,_calc!$E$370))=0,"",INDEX('Documents'!$K$4:$K$503,_calc!$E$370)))=0,"","On file: "&amp;IF(LEN(INDEX('Documents'!$K$4:$K$503,_calc!$E$370))=0,"",INDEX('Documents'!$K$4:$K$503,_calc!$E$370))&amp;". ")&amp;IF(LEN(IF(LEN(INDEX('Documents'!$L$4:$L$503,_calc!$E$370))=0,"",INDEX('Documents'!$L$4:$L$503,_calc!$E$370)))=0,"","Contractor email: "&amp;IF(LEN(INDEX('Documents'!$L$4:$L$503,_calc!$E$370))=0,"",INDEX('Documents'!$L$4:$L$503,_calc!$E$370))&amp;". ")&amp;IF(LEN(IF(LEN(INDEX('Documents'!$P$4:$P$503,_calc!$E$370))=0,"",INDEX('Documents'!$P$4:$P$503,_calc!$E$370)))=0,"",IF(LEN(INDEX('Documents'!$P$4:$P$503,_calc!$E$370))=0,"",INDEX('Documents'!$P$4:$P$503,_calc!$E$370)))))</f>
        <v/>
      </c>
      <c r="G368" s="43">
        <f>IF(_calc!$E$370="","",IF(LEN(INDEX('Documents'!$O$4:$O$503,_calc!$E$370))=0,"",INDEX('Documents'!$O$4:$O$503,_calc!$E$370)))</f>
        <v/>
      </c>
      <c r="K368" s="43">
        <f>IF(_calc!$E$370="","",IF(LEN(INDEX('Documents'!$M$4:$M$503,_calc!$E$370))=0,"",INDEX('Documents'!$M$4:$M$503,_calc!$E$370)))</f>
        <v/>
      </c>
    </row>
    <row r="369">
      <c r="A369" s="43">
        <f>IF(_calc!$E$371="","",IF(LEN(INDEX('Documents'!$C$4:$C$503,_calc!$E$371))=0,"",INDEX('Documents'!$C$4:$C$503,_calc!$E$371))&amp;" – "&amp;IF(LEN(INDEX('Documents'!$A$4:$A$503,_calc!$E$371))=0,"",INDEX('Documents'!$A$4:$A$503,_calc!$E$371)))</f>
        <v/>
      </c>
      <c r="B369" s="43">
        <f>IF(_calc!$E$371="","",IF(ISNUMBER(INDEX('Documents'!$F$4:$F$503,_calc!$E$371)),TEXT(INDEX('Documents'!$F$4:$F$503,_calc!$E$371),"yyyy-mm-dd"),""))</f>
        <v/>
      </c>
      <c r="C369" s="43">
        <f>IF(_calc!$E$371="","","Contractor document")</f>
        <v/>
      </c>
      <c r="D369" s="43">
        <f>IF(_calc!$E$371="","",IF(ISNUMBER(INDEX('Documents'!$E$4:$E$503,_calc!$E$371)),TEXT(INDEX('Documents'!$E$4:$E$503,_calc!$E$371),"yyyy-mm-dd"),""))</f>
        <v/>
      </c>
      <c r="E369" s="43">
        <f>IF(_calc!$E$371="","",IF(LEN(INDEX('Documents'!$N$4:$N$503,_calc!$E$371))=0,"",INDEX('Documents'!$N$4:$N$503,_calc!$E$371)))</f>
        <v/>
      </c>
      <c r="F369" s="43">
        <f>IF(_calc!$E$371="","",TRIM(IF(LEN(IF(LEN(INDEX('Documents'!$B$4:$B$503,_calc!$E$371))=0,"",INDEX('Documents'!$B$4:$B$503,_calc!$E$371)))=0,"","Trade: "&amp;IF(LEN(INDEX('Documents'!$B$4:$B$503,_calc!$E$371))=0,"",INDEX('Documents'!$B$4:$B$503,_calc!$E$371))&amp;". ")&amp;IF(LEN(IF(LEN(INDEX('Documents'!$D$4:$D$503,_calc!$E$371))=0,"",INDEX('Documents'!$D$4:$D$503,_calc!$E$371)))=0,"","Ref: "&amp;IF(LEN(INDEX('Documents'!$D$4:$D$503,_calc!$E$371))=0,"",INDEX('Documents'!$D$4:$D$503,_calc!$E$371))&amp;". ")&amp;IF(LEN(IF(LEN(INDEX('Documents'!$K$4:$K$503,_calc!$E$371))=0,"",INDEX('Documents'!$K$4:$K$503,_calc!$E$371)))=0,"","On file: "&amp;IF(LEN(INDEX('Documents'!$K$4:$K$503,_calc!$E$371))=0,"",INDEX('Documents'!$K$4:$K$503,_calc!$E$371))&amp;". ")&amp;IF(LEN(IF(LEN(INDEX('Documents'!$L$4:$L$503,_calc!$E$371))=0,"",INDEX('Documents'!$L$4:$L$503,_calc!$E$371)))=0,"","Contractor email: "&amp;IF(LEN(INDEX('Documents'!$L$4:$L$503,_calc!$E$371))=0,"",INDEX('Documents'!$L$4:$L$503,_calc!$E$371))&amp;". ")&amp;IF(LEN(IF(LEN(INDEX('Documents'!$P$4:$P$503,_calc!$E$371))=0,"",INDEX('Documents'!$P$4:$P$503,_calc!$E$371)))=0,"",IF(LEN(INDEX('Documents'!$P$4:$P$503,_calc!$E$371))=0,"",INDEX('Documents'!$P$4:$P$503,_calc!$E$371)))))</f>
        <v/>
      </c>
      <c r="G369" s="43">
        <f>IF(_calc!$E$371="","",IF(LEN(INDEX('Documents'!$O$4:$O$503,_calc!$E$371))=0,"",INDEX('Documents'!$O$4:$O$503,_calc!$E$371)))</f>
        <v/>
      </c>
      <c r="K369" s="43">
        <f>IF(_calc!$E$371="","",IF(LEN(INDEX('Documents'!$M$4:$M$503,_calc!$E$371))=0,"",INDEX('Documents'!$M$4:$M$503,_calc!$E$371)))</f>
        <v/>
      </c>
    </row>
    <row r="370">
      <c r="A370" s="43">
        <f>IF(_calc!$E$372="","",IF(LEN(INDEX('Documents'!$C$4:$C$503,_calc!$E$372))=0,"",INDEX('Documents'!$C$4:$C$503,_calc!$E$372))&amp;" – "&amp;IF(LEN(INDEX('Documents'!$A$4:$A$503,_calc!$E$372))=0,"",INDEX('Documents'!$A$4:$A$503,_calc!$E$372)))</f>
        <v/>
      </c>
      <c r="B370" s="43">
        <f>IF(_calc!$E$372="","",IF(ISNUMBER(INDEX('Documents'!$F$4:$F$503,_calc!$E$372)),TEXT(INDEX('Documents'!$F$4:$F$503,_calc!$E$372),"yyyy-mm-dd"),""))</f>
        <v/>
      </c>
      <c r="C370" s="43">
        <f>IF(_calc!$E$372="","","Contractor document")</f>
        <v/>
      </c>
      <c r="D370" s="43">
        <f>IF(_calc!$E$372="","",IF(ISNUMBER(INDEX('Documents'!$E$4:$E$503,_calc!$E$372)),TEXT(INDEX('Documents'!$E$4:$E$503,_calc!$E$372),"yyyy-mm-dd"),""))</f>
        <v/>
      </c>
      <c r="E370" s="43">
        <f>IF(_calc!$E$372="","",IF(LEN(INDEX('Documents'!$N$4:$N$503,_calc!$E$372))=0,"",INDEX('Documents'!$N$4:$N$503,_calc!$E$372)))</f>
        <v/>
      </c>
      <c r="F370" s="43">
        <f>IF(_calc!$E$372="","",TRIM(IF(LEN(IF(LEN(INDEX('Documents'!$B$4:$B$503,_calc!$E$372))=0,"",INDEX('Documents'!$B$4:$B$503,_calc!$E$372)))=0,"","Trade: "&amp;IF(LEN(INDEX('Documents'!$B$4:$B$503,_calc!$E$372))=0,"",INDEX('Documents'!$B$4:$B$503,_calc!$E$372))&amp;". ")&amp;IF(LEN(IF(LEN(INDEX('Documents'!$D$4:$D$503,_calc!$E$372))=0,"",INDEX('Documents'!$D$4:$D$503,_calc!$E$372)))=0,"","Ref: "&amp;IF(LEN(INDEX('Documents'!$D$4:$D$503,_calc!$E$372))=0,"",INDEX('Documents'!$D$4:$D$503,_calc!$E$372))&amp;". ")&amp;IF(LEN(IF(LEN(INDEX('Documents'!$K$4:$K$503,_calc!$E$372))=0,"",INDEX('Documents'!$K$4:$K$503,_calc!$E$372)))=0,"","On file: "&amp;IF(LEN(INDEX('Documents'!$K$4:$K$503,_calc!$E$372))=0,"",INDEX('Documents'!$K$4:$K$503,_calc!$E$372))&amp;". ")&amp;IF(LEN(IF(LEN(INDEX('Documents'!$L$4:$L$503,_calc!$E$372))=0,"",INDEX('Documents'!$L$4:$L$503,_calc!$E$372)))=0,"","Contractor email: "&amp;IF(LEN(INDEX('Documents'!$L$4:$L$503,_calc!$E$372))=0,"",INDEX('Documents'!$L$4:$L$503,_calc!$E$372))&amp;". ")&amp;IF(LEN(IF(LEN(INDEX('Documents'!$P$4:$P$503,_calc!$E$372))=0,"",INDEX('Documents'!$P$4:$P$503,_calc!$E$372)))=0,"",IF(LEN(INDEX('Documents'!$P$4:$P$503,_calc!$E$372))=0,"",INDEX('Documents'!$P$4:$P$503,_calc!$E$372)))))</f>
        <v/>
      </c>
      <c r="G370" s="43">
        <f>IF(_calc!$E$372="","",IF(LEN(INDEX('Documents'!$O$4:$O$503,_calc!$E$372))=0,"",INDEX('Documents'!$O$4:$O$503,_calc!$E$372)))</f>
        <v/>
      </c>
      <c r="K370" s="43">
        <f>IF(_calc!$E$372="","",IF(LEN(INDEX('Documents'!$M$4:$M$503,_calc!$E$372))=0,"",INDEX('Documents'!$M$4:$M$503,_calc!$E$372)))</f>
        <v/>
      </c>
    </row>
    <row r="371">
      <c r="A371" s="43">
        <f>IF(_calc!$E$373="","",IF(LEN(INDEX('Documents'!$C$4:$C$503,_calc!$E$373))=0,"",INDEX('Documents'!$C$4:$C$503,_calc!$E$373))&amp;" – "&amp;IF(LEN(INDEX('Documents'!$A$4:$A$503,_calc!$E$373))=0,"",INDEX('Documents'!$A$4:$A$503,_calc!$E$373)))</f>
        <v/>
      </c>
      <c r="B371" s="43">
        <f>IF(_calc!$E$373="","",IF(ISNUMBER(INDEX('Documents'!$F$4:$F$503,_calc!$E$373)),TEXT(INDEX('Documents'!$F$4:$F$503,_calc!$E$373),"yyyy-mm-dd"),""))</f>
        <v/>
      </c>
      <c r="C371" s="43">
        <f>IF(_calc!$E$373="","","Contractor document")</f>
        <v/>
      </c>
      <c r="D371" s="43">
        <f>IF(_calc!$E$373="","",IF(ISNUMBER(INDEX('Documents'!$E$4:$E$503,_calc!$E$373)),TEXT(INDEX('Documents'!$E$4:$E$503,_calc!$E$373),"yyyy-mm-dd"),""))</f>
        <v/>
      </c>
      <c r="E371" s="43">
        <f>IF(_calc!$E$373="","",IF(LEN(INDEX('Documents'!$N$4:$N$503,_calc!$E$373))=0,"",INDEX('Documents'!$N$4:$N$503,_calc!$E$373)))</f>
        <v/>
      </c>
      <c r="F371" s="43">
        <f>IF(_calc!$E$373="","",TRIM(IF(LEN(IF(LEN(INDEX('Documents'!$B$4:$B$503,_calc!$E$373))=0,"",INDEX('Documents'!$B$4:$B$503,_calc!$E$373)))=0,"","Trade: "&amp;IF(LEN(INDEX('Documents'!$B$4:$B$503,_calc!$E$373))=0,"",INDEX('Documents'!$B$4:$B$503,_calc!$E$373))&amp;". ")&amp;IF(LEN(IF(LEN(INDEX('Documents'!$D$4:$D$503,_calc!$E$373))=0,"",INDEX('Documents'!$D$4:$D$503,_calc!$E$373)))=0,"","Ref: "&amp;IF(LEN(INDEX('Documents'!$D$4:$D$503,_calc!$E$373))=0,"",INDEX('Documents'!$D$4:$D$503,_calc!$E$373))&amp;". ")&amp;IF(LEN(IF(LEN(INDEX('Documents'!$K$4:$K$503,_calc!$E$373))=0,"",INDEX('Documents'!$K$4:$K$503,_calc!$E$373)))=0,"","On file: "&amp;IF(LEN(INDEX('Documents'!$K$4:$K$503,_calc!$E$373))=0,"",INDEX('Documents'!$K$4:$K$503,_calc!$E$373))&amp;". ")&amp;IF(LEN(IF(LEN(INDEX('Documents'!$L$4:$L$503,_calc!$E$373))=0,"",INDEX('Documents'!$L$4:$L$503,_calc!$E$373)))=0,"","Contractor email: "&amp;IF(LEN(INDEX('Documents'!$L$4:$L$503,_calc!$E$373))=0,"",INDEX('Documents'!$L$4:$L$503,_calc!$E$373))&amp;". ")&amp;IF(LEN(IF(LEN(INDEX('Documents'!$P$4:$P$503,_calc!$E$373))=0,"",INDEX('Documents'!$P$4:$P$503,_calc!$E$373)))=0,"",IF(LEN(INDEX('Documents'!$P$4:$P$503,_calc!$E$373))=0,"",INDEX('Documents'!$P$4:$P$503,_calc!$E$373)))))</f>
        <v/>
      </c>
      <c r="G371" s="43">
        <f>IF(_calc!$E$373="","",IF(LEN(INDEX('Documents'!$O$4:$O$503,_calc!$E$373))=0,"",INDEX('Documents'!$O$4:$O$503,_calc!$E$373)))</f>
        <v/>
      </c>
      <c r="K371" s="43">
        <f>IF(_calc!$E$373="","",IF(LEN(INDEX('Documents'!$M$4:$M$503,_calc!$E$373))=0,"",INDEX('Documents'!$M$4:$M$503,_calc!$E$373)))</f>
        <v/>
      </c>
    </row>
    <row r="372">
      <c r="A372" s="43">
        <f>IF(_calc!$E$374="","",IF(LEN(INDEX('Documents'!$C$4:$C$503,_calc!$E$374))=0,"",INDEX('Documents'!$C$4:$C$503,_calc!$E$374))&amp;" – "&amp;IF(LEN(INDEX('Documents'!$A$4:$A$503,_calc!$E$374))=0,"",INDEX('Documents'!$A$4:$A$503,_calc!$E$374)))</f>
        <v/>
      </c>
      <c r="B372" s="43">
        <f>IF(_calc!$E$374="","",IF(ISNUMBER(INDEX('Documents'!$F$4:$F$503,_calc!$E$374)),TEXT(INDEX('Documents'!$F$4:$F$503,_calc!$E$374),"yyyy-mm-dd"),""))</f>
        <v/>
      </c>
      <c r="C372" s="43">
        <f>IF(_calc!$E$374="","","Contractor document")</f>
        <v/>
      </c>
      <c r="D372" s="43">
        <f>IF(_calc!$E$374="","",IF(ISNUMBER(INDEX('Documents'!$E$4:$E$503,_calc!$E$374)),TEXT(INDEX('Documents'!$E$4:$E$503,_calc!$E$374),"yyyy-mm-dd"),""))</f>
        <v/>
      </c>
      <c r="E372" s="43">
        <f>IF(_calc!$E$374="","",IF(LEN(INDEX('Documents'!$N$4:$N$503,_calc!$E$374))=0,"",INDEX('Documents'!$N$4:$N$503,_calc!$E$374)))</f>
        <v/>
      </c>
      <c r="F372" s="43">
        <f>IF(_calc!$E$374="","",TRIM(IF(LEN(IF(LEN(INDEX('Documents'!$B$4:$B$503,_calc!$E$374))=0,"",INDEX('Documents'!$B$4:$B$503,_calc!$E$374)))=0,"","Trade: "&amp;IF(LEN(INDEX('Documents'!$B$4:$B$503,_calc!$E$374))=0,"",INDEX('Documents'!$B$4:$B$503,_calc!$E$374))&amp;". ")&amp;IF(LEN(IF(LEN(INDEX('Documents'!$D$4:$D$503,_calc!$E$374))=0,"",INDEX('Documents'!$D$4:$D$503,_calc!$E$374)))=0,"","Ref: "&amp;IF(LEN(INDEX('Documents'!$D$4:$D$503,_calc!$E$374))=0,"",INDEX('Documents'!$D$4:$D$503,_calc!$E$374))&amp;". ")&amp;IF(LEN(IF(LEN(INDEX('Documents'!$K$4:$K$503,_calc!$E$374))=0,"",INDEX('Documents'!$K$4:$K$503,_calc!$E$374)))=0,"","On file: "&amp;IF(LEN(INDEX('Documents'!$K$4:$K$503,_calc!$E$374))=0,"",INDEX('Documents'!$K$4:$K$503,_calc!$E$374))&amp;". ")&amp;IF(LEN(IF(LEN(INDEX('Documents'!$L$4:$L$503,_calc!$E$374))=0,"",INDEX('Documents'!$L$4:$L$503,_calc!$E$374)))=0,"","Contractor email: "&amp;IF(LEN(INDEX('Documents'!$L$4:$L$503,_calc!$E$374))=0,"",INDEX('Documents'!$L$4:$L$503,_calc!$E$374))&amp;". ")&amp;IF(LEN(IF(LEN(INDEX('Documents'!$P$4:$P$503,_calc!$E$374))=0,"",INDEX('Documents'!$P$4:$P$503,_calc!$E$374)))=0,"",IF(LEN(INDEX('Documents'!$P$4:$P$503,_calc!$E$374))=0,"",INDEX('Documents'!$P$4:$P$503,_calc!$E$374)))))</f>
        <v/>
      </c>
      <c r="G372" s="43">
        <f>IF(_calc!$E$374="","",IF(LEN(INDEX('Documents'!$O$4:$O$503,_calc!$E$374))=0,"",INDEX('Documents'!$O$4:$O$503,_calc!$E$374)))</f>
        <v/>
      </c>
      <c r="K372" s="43">
        <f>IF(_calc!$E$374="","",IF(LEN(INDEX('Documents'!$M$4:$M$503,_calc!$E$374))=0,"",INDEX('Documents'!$M$4:$M$503,_calc!$E$374)))</f>
        <v/>
      </c>
    </row>
    <row r="373">
      <c r="A373" s="43">
        <f>IF(_calc!$E$375="","",IF(LEN(INDEX('Documents'!$C$4:$C$503,_calc!$E$375))=0,"",INDEX('Documents'!$C$4:$C$503,_calc!$E$375))&amp;" – "&amp;IF(LEN(INDEX('Documents'!$A$4:$A$503,_calc!$E$375))=0,"",INDEX('Documents'!$A$4:$A$503,_calc!$E$375)))</f>
        <v/>
      </c>
      <c r="B373" s="43">
        <f>IF(_calc!$E$375="","",IF(ISNUMBER(INDEX('Documents'!$F$4:$F$503,_calc!$E$375)),TEXT(INDEX('Documents'!$F$4:$F$503,_calc!$E$375),"yyyy-mm-dd"),""))</f>
        <v/>
      </c>
      <c r="C373" s="43">
        <f>IF(_calc!$E$375="","","Contractor document")</f>
        <v/>
      </c>
      <c r="D373" s="43">
        <f>IF(_calc!$E$375="","",IF(ISNUMBER(INDEX('Documents'!$E$4:$E$503,_calc!$E$375)),TEXT(INDEX('Documents'!$E$4:$E$503,_calc!$E$375),"yyyy-mm-dd"),""))</f>
        <v/>
      </c>
      <c r="E373" s="43">
        <f>IF(_calc!$E$375="","",IF(LEN(INDEX('Documents'!$N$4:$N$503,_calc!$E$375))=0,"",INDEX('Documents'!$N$4:$N$503,_calc!$E$375)))</f>
        <v/>
      </c>
      <c r="F373" s="43">
        <f>IF(_calc!$E$375="","",TRIM(IF(LEN(IF(LEN(INDEX('Documents'!$B$4:$B$503,_calc!$E$375))=0,"",INDEX('Documents'!$B$4:$B$503,_calc!$E$375)))=0,"","Trade: "&amp;IF(LEN(INDEX('Documents'!$B$4:$B$503,_calc!$E$375))=0,"",INDEX('Documents'!$B$4:$B$503,_calc!$E$375))&amp;". ")&amp;IF(LEN(IF(LEN(INDEX('Documents'!$D$4:$D$503,_calc!$E$375))=0,"",INDEX('Documents'!$D$4:$D$503,_calc!$E$375)))=0,"","Ref: "&amp;IF(LEN(INDEX('Documents'!$D$4:$D$503,_calc!$E$375))=0,"",INDEX('Documents'!$D$4:$D$503,_calc!$E$375))&amp;". ")&amp;IF(LEN(IF(LEN(INDEX('Documents'!$K$4:$K$503,_calc!$E$375))=0,"",INDEX('Documents'!$K$4:$K$503,_calc!$E$375)))=0,"","On file: "&amp;IF(LEN(INDEX('Documents'!$K$4:$K$503,_calc!$E$375))=0,"",INDEX('Documents'!$K$4:$K$503,_calc!$E$375))&amp;". ")&amp;IF(LEN(IF(LEN(INDEX('Documents'!$L$4:$L$503,_calc!$E$375))=0,"",INDEX('Documents'!$L$4:$L$503,_calc!$E$375)))=0,"","Contractor email: "&amp;IF(LEN(INDEX('Documents'!$L$4:$L$503,_calc!$E$375))=0,"",INDEX('Documents'!$L$4:$L$503,_calc!$E$375))&amp;". ")&amp;IF(LEN(IF(LEN(INDEX('Documents'!$P$4:$P$503,_calc!$E$375))=0,"",INDEX('Documents'!$P$4:$P$503,_calc!$E$375)))=0,"",IF(LEN(INDEX('Documents'!$P$4:$P$503,_calc!$E$375))=0,"",INDEX('Documents'!$P$4:$P$503,_calc!$E$375)))))</f>
        <v/>
      </c>
      <c r="G373" s="43">
        <f>IF(_calc!$E$375="","",IF(LEN(INDEX('Documents'!$O$4:$O$503,_calc!$E$375))=0,"",INDEX('Documents'!$O$4:$O$503,_calc!$E$375)))</f>
        <v/>
      </c>
      <c r="K373" s="43">
        <f>IF(_calc!$E$375="","",IF(LEN(INDEX('Documents'!$M$4:$M$503,_calc!$E$375))=0,"",INDEX('Documents'!$M$4:$M$503,_calc!$E$375)))</f>
        <v/>
      </c>
    </row>
    <row r="374">
      <c r="A374" s="43">
        <f>IF(_calc!$E$376="","",IF(LEN(INDEX('Documents'!$C$4:$C$503,_calc!$E$376))=0,"",INDEX('Documents'!$C$4:$C$503,_calc!$E$376))&amp;" – "&amp;IF(LEN(INDEX('Documents'!$A$4:$A$503,_calc!$E$376))=0,"",INDEX('Documents'!$A$4:$A$503,_calc!$E$376)))</f>
        <v/>
      </c>
      <c r="B374" s="43">
        <f>IF(_calc!$E$376="","",IF(ISNUMBER(INDEX('Documents'!$F$4:$F$503,_calc!$E$376)),TEXT(INDEX('Documents'!$F$4:$F$503,_calc!$E$376),"yyyy-mm-dd"),""))</f>
        <v/>
      </c>
      <c r="C374" s="43">
        <f>IF(_calc!$E$376="","","Contractor document")</f>
        <v/>
      </c>
      <c r="D374" s="43">
        <f>IF(_calc!$E$376="","",IF(ISNUMBER(INDEX('Documents'!$E$4:$E$503,_calc!$E$376)),TEXT(INDEX('Documents'!$E$4:$E$503,_calc!$E$376),"yyyy-mm-dd"),""))</f>
        <v/>
      </c>
      <c r="E374" s="43">
        <f>IF(_calc!$E$376="","",IF(LEN(INDEX('Documents'!$N$4:$N$503,_calc!$E$376))=0,"",INDEX('Documents'!$N$4:$N$503,_calc!$E$376)))</f>
        <v/>
      </c>
      <c r="F374" s="43">
        <f>IF(_calc!$E$376="","",TRIM(IF(LEN(IF(LEN(INDEX('Documents'!$B$4:$B$503,_calc!$E$376))=0,"",INDEX('Documents'!$B$4:$B$503,_calc!$E$376)))=0,"","Trade: "&amp;IF(LEN(INDEX('Documents'!$B$4:$B$503,_calc!$E$376))=0,"",INDEX('Documents'!$B$4:$B$503,_calc!$E$376))&amp;". ")&amp;IF(LEN(IF(LEN(INDEX('Documents'!$D$4:$D$503,_calc!$E$376))=0,"",INDEX('Documents'!$D$4:$D$503,_calc!$E$376)))=0,"","Ref: "&amp;IF(LEN(INDEX('Documents'!$D$4:$D$503,_calc!$E$376))=0,"",INDEX('Documents'!$D$4:$D$503,_calc!$E$376))&amp;". ")&amp;IF(LEN(IF(LEN(INDEX('Documents'!$K$4:$K$503,_calc!$E$376))=0,"",INDEX('Documents'!$K$4:$K$503,_calc!$E$376)))=0,"","On file: "&amp;IF(LEN(INDEX('Documents'!$K$4:$K$503,_calc!$E$376))=0,"",INDEX('Documents'!$K$4:$K$503,_calc!$E$376))&amp;". ")&amp;IF(LEN(IF(LEN(INDEX('Documents'!$L$4:$L$503,_calc!$E$376))=0,"",INDEX('Documents'!$L$4:$L$503,_calc!$E$376)))=0,"","Contractor email: "&amp;IF(LEN(INDEX('Documents'!$L$4:$L$503,_calc!$E$376))=0,"",INDEX('Documents'!$L$4:$L$503,_calc!$E$376))&amp;". ")&amp;IF(LEN(IF(LEN(INDEX('Documents'!$P$4:$P$503,_calc!$E$376))=0,"",INDEX('Documents'!$P$4:$P$503,_calc!$E$376)))=0,"",IF(LEN(INDEX('Documents'!$P$4:$P$503,_calc!$E$376))=0,"",INDEX('Documents'!$P$4:$P$503,_calc!$E$376)))))</f>
        <v/>
      </c>
      <c r="G374" s="43">
        <f>IF(_calc!$E$376="","",IF(LEN(INDEX('Documents'!$O$4:$O$503,_calc!$E$376))=0,"",INDEX('Documents'!$O$4:$O$503,_calc!$E$376)))</f>
        <v/>
      </c>
      <c r="K374" s="43">
        <f>IF(_calc!$E$376="","",IF(LEN(INDEX('Documents'!$M$4:$M$503,_calc!$E$376))=0,"",INDEX('Documents'!$M$4:$M$503,_calc!$E$376)))</f>
        <v/>
      </c>
    </row>
    <row r="375">
      <c r="A375" s="43">
        <f>IF(_calc!$E$377="","",IF(LEN(INDEX('Documents'!$C$4:$C$503,_calc!$E$377))=0,"",INDEX('Documents'!$C$4:$C$503,_calc!$E$377))&amp;" – "&amp;IF(LEN(INDEX('Documents'!$A$4:$A$503,_calc!$E$377))=0,"",INDEX('Documents'!$A$4:$A$503,_calc!$E$377)))</f>
        <v/>
      </c>
      <c r="B375" s="43">
        <f>IF(_calc!$E$377="","",IF(ISNUMBER(INDEX('Documents'!$F$4:$F$503,_calc!$E$377)),TEXT(INDEX('Documents'!$F$4:$F$503,_calc!$E$377),"yyyy-mm-dd"),""))</f>
        <v/>
      </c>
      <c r="C375" s="43">
        <f>IF(_calc!$E$377="","","Contractor document")</f>
        <v/>
      </c>
      <c r="D375" s="43">
        <f>IF(_calc!$E$377="","",IF(ISNUMBER(INDEX('Documents'!$E$4:$E$503,_calc!$E$377)),TEXT(INDEX('Documents'!$E$4:$E$503,_calc!$E$377),"yyyy-mm-dd"),""))</f>
        <v/>
      </c>
      <c r="E375" s="43">
        <f>IF(_calc!$E$377="","",IF(LEN(INDEX('Documents'!$N$4:$N$503,_calc!$E$377))=0,"",INDEX('Documents'!$N$4:$N$503,_calc!$E$377)))</f>
        <v/>
      </c>
      <c r="F375" s="43">
        <f>IF(_calc!$E$377="","",TRIM(IF(LEN(IF(LEN(INDEX('Documents'!$B$4:$B$503,_calc!$E$377))=0,"",INDEX('Documents'!$B$4:$B$503,_calc!$E$377)))=0,"","Trade: "&amp;IF(LEN(INDEX('Documents'!$B$4:$B$503,_calc!$E$377))=0,"",INDEX('Documents'!$B$4:$B$503,_calc!$E$377))&amp;". ")&amp;IF(LEN(IF(LEN(INDEX('Documents'!$D$4:$D$503,_calc!$E$377))=0,"",INDEX('Documents'!$D$4:$D$503,_calc!$E$377)))=0,"","Ref: "&amp;IF(LEN(INDEX('Documents'!$D$4:$D$503,_calc!$E$377))=0,"",INDEX('Documents'!$D$4:$D$503,_calc!$E$377))&amp;". ")&amp;IF(LEN(IF(LEN(INDEX('Documents'!$K$4:$K$503,_calc!$E$377))=0,"",INDEX('Documents'!$K$4:$K$503,_calc!$E$377)))=0,"","On file: "&amp;IF(LEN(INDEX('Documents'!$K$4:$K$503,_calc!$E$377))=0,"",INDEX('Documents'!$K$4:$K$503,_calc!$E$377))&amp;". ")&amp;IF(LEN(IF(LEN(INDEX('Documents'!$L$4:$L$503,_calc!$E$377))=0,"",INDEX('Documents'!$L$4:$L$503,_calc!$E$377)))=0,"","Contractor email: "&amp;IF(LEN(INDEX('Documents'!$L$4:$L$503,_calc!$E$377))=0,"",INDEX('Documents'!$L$4:$L$503,_calc!$E$377))&amp;". ")&amp;IF(LEN(IF(LEN(INDEX('Documents'!$P$4:$P$503,_calc!$E$377))=0,"",INDEX('Documents'!$P$4:$P$503,_calc!$E$377)))=0,"",IF(LEN(INDEX('Documents'!$P$4:$P$503,_calc!$E$377))=0,"",INDEX('Documents'!$P$4:$P$503,_calc!$E$377)))))</f>
        <v/>
      </c>
      <c r="G375" s="43">
        <f>IF(_calc!$E$377="","",IF(LEN(INDEX('Documents'!$O$4:$O$503,_calc!$E$377))=0,"",INDEX('Documents'!$O$4:$O$503,_calc!$E$377)))</f>
        <v/>
      </c>
      <c r="K375" s="43">
        <f>IF(_calc!$E$377="","",IF(LEN(INDEX('Documents'!$M$4:$M$503,_calc!$E$377))=0,"",INDEX('Documents'!$M$4:$M$503,_calc!$E$377)))</f>
        <v/>
      </c>
    </row>
    <row r="376">
      <c r="A376" s="43">
        <f>IF(_calc!$E$378="","",IF(LEN(INDEX('Documents'!$C$4:$C$503,_calc!$E$378))=0,"",INDEX('Documents'!$C$4:$C$503,_calc!$E$378))&amp;" – "&amp;IF(LEN(INDEX('Documents'!$A$4:$A$503,_calc!$E$378))=0,"",INDEX('Documents'!$A$4:$A$503,_calc!$E$378)))</f>
        <v/>
      </c>
      <c r="B376" s="43">
        <f>IF(_calc!$E$378="","",IF(ISNUMBER(INDEX('Documents'!$F$4:$F$503,_calc!$E$378)),TEXT(INDEX('Documents'!$F$4:$F$503,_calc!$E$378),"yyyy-mm-dd"),""))</f>
        <v/>
      </c>
      <c r="C376" s="43">
        <f>IF(_calc!$E$378="","","Contractor document")</f>
        <v/>
      </c>
      <c r="D376" s="43">
        <f>IF(_calc!$E$378="","",IF(ISNUMBER(INDEX('Documents'!$E$4:$E$503,_calc!$E$378)),TEXT(INDEX('Documents'!$E$4:$E$503,_calc!$E$378),"yyyy-mm-dd"),""))</f>
        <v/>
      </c>
      <c r="E376" s="43">
        <f>IF(_calc!$E$378="","",IF(LEN(INDEX('Documents'!$N$4:$N$503,_calc!$E$378))=0,"",INDEX('Documents'!$N$4:$N$503,_calc!$E$378)))</f>
        <v/>
      </c>
      <c r="F376" s="43">
        <f>IF(_calc!$E$378="","",TRIM(IF(LEN(IF(LEN(INDEX('Documents'!$B$4:$B$503,_calc!$E$378))=0,"",INDEX('Documents'!$B$4:$B$503,_calc!$E$378)))=0,"","Trade: "&amp;IF(LEN(INDEX('Documents'!$B$4:$B$503,_calc!$E$378))=0,"",INDEX('Documents'!$B$4:$B$503,_calc!$E$378))&amp;". ")&amp;IF(LEN(IF(LEN(INDEX('Documents'!$D$4:$D$503,_calc!$E$378))=0,"",INDEX('Documents'!$D$4:$D$503,_calc!$E$378)))=0,"","Ref: "&amp;IF(LEN(INDEX('Documents'!$D$4:$D$503,_calc!$E$378))=0,"",INDEX('Documents'!$D$4:$D$503,_calc!$E$378))&amp;". ")&amp;IF(LEN(IF(LEN(INDEX('Documents'!$K$4:$K$503,_calc!$E$378))=0,"",INDEX('Documents'!$K$4:$K$503,_calc!$E$378)))=0,"","On file: "&amp;IF(LEN(INDEX('Documents'!$K$4:$K$503,_calc!$E$378))=0,"",INDEX('Documents'!$K$4:$K$503,_calc!$E$378))&amp;". ")&amp;IF(LEN(IF(LEN(INDEX('Documents'!$L$4:$L$503,_calc!$E$378))=0,"",INDEX('Documents'!$L$4:$L$503,_calc!$E$378)))=0,"","Contractor email: "&amp;IF(LEN(INDEX('Documents'!$L$4:$L$503,_calc!$E$378))=0,"",INDEX('Documents'!$L$4:$L$503,_calc!$E$378))&amp;". ")&amp;IF(LEN(IF(LEN(INDEX('Documents'!$P$4:$P$503,_calc!$E$378))=0,"",INDEX('Documents'!$P$4:$P$503,_calc!$E$378)))=0,"",IF(LEN(INDEX('Documents'!$P$4:$P$503,_calc!$E$378))=0,"",INDEX('Documents'!$P$4:$P$503,_calc!$E$378)))))</f>
        <v/>
      </c>
      <c r="G376" s="43">
        <f>IF(_calc!$E$378="","",IF(LEN(INDEX('Documents'!$O$4:$O$503,_calc!$E$378))=0,"",INDEX('Documents'!$O$4:$O$503,_calc!$E$378)))</f>
        <v/>
      </c>
      <c r="K376" s="43">
        <f>IF(_calc!$E$378="","",IF(LEN(INDEX('Documents'!$M$4:$M$503,_calc!$E$378))=0,"",INDEX('Documents'!$M$4:$M$503,_calc!$E$378)))</f>
        <v/>
      </c>
    </row>
    <row r="377">
      <c r="A377" s="43">
        <f>IF(_calc!$E$379="","",IF(LEN(INDEX('Documents'!$C$4:$C$503,_calc!$E$379))=0,"",INDEX('Documents'!$C$4:$C$503,_calc!$E$379))&amp;" – "&amp;IF(LEN(INDEX('Documents'!$A$4:$A$503,_calc!$E$379))=0,"",INDEX('Documents'!$A$4:$A$503,_calc!$E$379)))</f>
        <v/>
      </c>
      <c r="B377" s="43">
        <f>IF(_calc!$E$379="","",IF(ISNUMBER(INDEX('Documents'!$F$4:$F$503,_calc!$E$379)),TEXT(INDEX('Documents'!$F$4:$F$503,_calc!$E$379),"yyyy-mm-dd"),""))</f>
        <v/>
      </c>
      <c r="C377" s="43">
        <f>IF(_calc!$E$379="","","Contractor document")</f>
        <v/>
      </c>
      <c r="D377" s="43">
        <f>IF(_calc!$E$379="","",IF(ISNUMBER(INDEX('Documents'!$E$4:$E$503,_calc!$E$379)),TEXT(INDEX('Documents'!$E$4:$E$503,_calc!$E$379),"yyyy-mm-dd"),""))</f>
        <v/>
      </c>
      <c r="E377" s="43">
        <f>IF(_calc!$E$379="","",IF(LEN(INDEX('Documents'!$N$4:$N$503,_calc!$E$379))=0,"",INDEX('Documents'!$N$4:$N$503,_calc!$E$379)))</f>
        <v/>
      </c>
      <c r="F377" s="43">
        <f>IF(_calc!$E$379="","",TRIM(IF(LEN(IF(LEN(INDEX('Documents'!$B$4:$B$503,_calc!$E$379))=0,"",INDEX('Documents'!$B$4:$B$503,_calc!$E$379)))=0,"","Trade: "&amp;IF(LEN(INDEX('Documents'!$B$4:$B$503,_calc!$E$379))=0,"",INDEX('Documents'!$B$4:$B$503,_calc!$E$379))&amp;". ")&amp;IF(LEN(IF(LEN(INDEX('Documents'!$D$4:$D$503,_calc!$E$379))=0,"",INDEX('Documents'!$D$4:$D$503,_calc!$E$379)))=0,"","Ref: "&amp;IF(LEN(INDEX('Documents'!$D$4:$D$503,_calc!$E$379))=0,"",INDEX('Documents'!$D$4:$D$503,_calc!$E$379))&amp;". ")&amp;IF(LEN(IF(LEN(INDEX('Documents'!$K$4:$K$503,_calc!$E$379))=0,"",INDEX('Documents'!$K$4:$K$503,_calc!$E$379)))=0,"","On file: "&amp;IF(LEN(INDEX('Documents'!$K$4:$K$503,_calc!$E$379))=0,"",INDEX('Documents'!$K$4:$K$503,_calc!$E$379))&amp;". ")&amp;IF(LEN(IF(LEN(INDEX('Documents'!$L$4:$L$503,_calc!$E$379))=0,"",INDEX('Documents'!$L$4:$L$503,_calc!$E$379)))=0,"","Contractor email: "&amp;IF(LEN(INDEX('Documents'!$L$4:$L$503,_calc!$E$379))=0,"",INDEX('Documents'!$L$4:$L$503,_calc!$E$379))&amp;". ")&amp;IF(LEN(IF(LEN(INDEX('Documents'!$P$4:$P$503,_calc!$E$379))=0,"",INDEX('Documents'!$P$4:$P$503,_calc!$E$379)))=0,"",IF(LEN(INDEX('Documents'!$P$4:$P$503,_calc!$E$379))=0,"",INDEX('Documents'!$P$4:$P$503,_calc!$E$379)))))</f>
        <v/>
      </c>
      <c r="G377" s="43">
        <f>IF(_calc!$E$379="","",IF(LEN(INDEX('Documents'!$O$4:$O$503,_calc!$E$379))=0,"",INDEX('Documents'!$O$4:$O$503,_calc!$E$379)))</f>
        <v/>
      </c>
      <c r="K377" s="43">
        <f>IF(_calc!$E$379="","",IF(LEN(INDEX('Documents'!$M$4:$M$503,_calc!$E$379))=0,"",INDEX('Documents'!$M$4:$M$503,_calc!$E$379)))</f>
        <v/>
      </c>
    </row>
    <row r="378">
      <c r="A378" s="43">
        <f>IF(_calc!$E$380="","",IF(LEN(INDEX('Documents'!$C$4:$C$503,_calc!$E$380))=0,"",INDEX('Documents'!$C$4:$C$503,_calc!$E$380))&amp;" – "&amp;IF(LEN(INDEX('Documents'!$A$4:$A$503,_calc!$E$380))=0,"",INDEX('Documents'!$A$4:$A$503,_calc!$E$380)))</f>
        <v/>
      </c>
      <c r="B378" s="43">
        <f>IF(_calc!$E$380="","",IF(ISNUMBER(INDEX('Documents'!$F$4:$F$503,_calc!$E$380)),TEXT(INDEX('Documents'!$F$4:$F$503,_calc!$E$380),"yyyy-mm-dd"),""))</f>
        <v/>
      </c>
      <c r="C378" s="43">
        <f>IF(_calc!$E$380="","","Contractor document")</f>
        <v/>
      </c>
      <c r="D378" s="43">
        <f>IF(_calc!$E$380="","",IF(ISNUMBER(INDEX('Documents'!$E$4:$E$503,_calc!$E$380)),TEXT(INDEX('Documents'!$E$4:$E$503,_calc!$E$380),"yyyy-mm-dd"),""))</f>
        <v/>
      </c>
      <c r="E378" s="43">
        <f>IF(_calc!$E$380="","",IF(LEN(INDEX('Documents'!$N$4:$N$503,_calc!$E$380))=0,"",INDEX('Documents'!$N$4:$N$503,_calc!$E$380)))</f>
        <v/>
      </c>
      <c r="F378" s="43">
        <f>IF(_calc!$E$380="","",TRIM(IF(LEN(IF(LEN(INDEX('Documents'!$B$4:$B$503,_calc!$E$380))=0,"",INDEX('Documents'!$B$4:$B$503,_calc!$E$380)))=0,"","Trade: "&amp;IF(LEN(INDEX('Documents'!$B$4:$B$503,_calc!$E$380))=0,"",INDEX('Documents'!$B$4:$B$503,_calc!$E$380))&amp;". ")&amp;IF(LEN(IF(LEN(INDEX('Documents'!$D$4:$D$503,_calc!$E$380))=0,"",INDEX('Documents'!$D$4:$D$503,_calc!$E$380)))=0,"","Ref: "&amp;IF(LEN(INDEX('Documents'!$D$4:$D$503,_calc!$E$380))=0,"",INDEX('Documents'!$D$4:$D$503,_calc!$E$380))&amp;". ")&amp;IF(LEN(IF(LEN(INDEX('Documents'!$K$4:$K$503,_calc!$E$380))=0,"",INDEX('Documents'!$K$4:$K$503,_calc!$E$380)))=0,"","On file: "&amp;IF(LEN(INDEX('Documents'!$K$4:$K$503,_calc!$E$380))=0,"",INDEX('Documents'!$K$4:$K$503,_calc!$E$380))&amp;". ")&amp;IF(LEN(IF(LEN(INDEX('Documents'!$L$4:$L$503,_calc!$E$380))=0,"",INDEX('Documents'!$L$4:$L$503,_calc!$E$380)))=0,"","Contractor email: "&amp;IF(LEN(INDEX('Documents'!$L$4:$L$503,_calc!$E$380))=0,"",INDEX('Documents'!$L$4:$L$503,_calc!$E$380))&amp;". ")&amp;IF(LEN(IF(LEN(INDEX('Documents'!$P$4:$P$503,_calc!$E$380))=0,"",INDEX('Documents'!$P$4:$P$503,_calc!$E$380)))=0,"",IF(LEN(INDEX('Documents'!$P$4:$P$503,_calc!$E$380))=0,"",INDEX('Documents'!$P$4:$P$503,_calc!$E$380)))))</f>
        <v/>
      </c>
      <c r="G378" s="43">
        <f>IF(_calc!$E$380="","",IF(LEN(INDEX('Documents'!$O$4:$O$503,_calc!$E$380))=0,"",INDEX('Documents'!$O$4:$O$503,_calc!$E$380)))</f>
        <v/>
      </c>
      <c r="K378" s="43">
        <f>IF(_calc!$E$380="","",IF(LEN(INDEX('Documents'!$M$4:$M$503,_calc!$E$380))=0,"",INDEX('Documents'!$M$4:$M$503,_calc!$E$380)))</f>
        <v/>
      </c>
    </row>
    <row r="379">
      <c r="A379" s="43">
        <f>IF(_calc!$E$381="","",IF(LEN(INDEX('Documents'!$C$4:$C$503,_calc!$E$381))=0,"",INDEX('Documents'!$C$4:$C$503,_calc!$E$381))&amp;" – "&amp;IF(LEN(INDEX('Documents'!$A$4:$A$503,_calc!$E$381))=0,"",INDEX('Documents'!$A$4:$A$503,_calc!$E$381)))</f>
        <v/>
      </c>
      <c r="B379" s="43">
        <f>IF(_calc!$E$381="","",IF(ISNUMBER(INDEX('Documents'!$F$4:$F$503,_calc!$E$381)),TEXT(INDEX('Documents'!$F$4:$F$503,_calc!$E$381),"yyyy-mm-dd"),""))</f>
        <v/>
      </c>
      <c r="C379" s="43">
        <f>IF(_calc!$E$381="","","Contractor document")</f>
        <v/>
      </c>
      <c r="D379" s="43">
        <f>IF(_calc!$E$381="","",IF(ISNUMBER(INDEX('Documents'!$E$4:$E$503,_calc!$E$381)),TEXT(INDEX('Documents'!$E$4:$E$503,_calc!$E$381),"yyyy-mm-dd"),""))</f>
        <v/>
      </c>
      <c r="E379" s="43">
        <f>IF(_calc!$E$381="","",IF(LEN(INDEX('Documents'!$N$4:$N$503,_calc!$E$381))=0,"",INDEX('Documents'!$N$4:$N$503,_calc!$E$381)))</f>
        <v/>
      </c>
      <c r="F379" s="43">
        <f>IF(_calc!$E$381="","",TRIM(IF(LEN(IF(LEN(INDEX('Documents'!$B$4:$B$503,_calc!$E$381))=0,"",INDEX('Documents'!$B$4:$B$503,_calc!$E$381)))=0,"","Trade: "&amp;IF(LEN(INDEX('Documents'!$B$4:$B$503,_calc!$E$381))=0,"",INDEX('Documents'!$B$4:$B$503,_calc!$E$381))&amp;". ")&amp;IF(LEN(IF(LEN(INDEX('Documents'!$D$4:$D$503,_calc!$E$381))=0,"",INDEX('Documents'!$D$4:$D$503,_calc!$E$381)))=0,"","Ref: "&amp;IF(LEN(INDEX('Documents'!$D$4:$D$503,_calc!$E$381))=0,"",INDEX('Documents'!$D$4:$D$503,_calc!$E$381))&amp;". ")&amp;IF(LEN(IF(LEN(INDEX('Documents'!$K$4:$K$503,_calc!$E$381))=0,"",INDEX('Documents'!$K$4:$K$503,_calc!$E$381)))=0,"","On file: "&amp;IF(LEN(INDEX('Documents'!$K$4:$K$503,_calc!$E$381))=0,"",INDEX('Documents'!$K$4:$K$503,_calc!$E$381))&amp;". ")&amp;IF(LEN(IF(LEN(INDEX('Documents'!$L$4:$L$503,_calc!$E$381))=0,"",INDEX('Documents'!$L$4:$L$503,_calc!$E$381)))=0,"","Contractor email: "&amp;IF(LEN(INDEX('Documents'!$L$4:$L$503,_calc!$E$381))=0,"",INDEX('Documents'!$L$4:$L$503,_calc!$E$381))&amp;". ")&amp;IF(LEN(IF(LEN(INDEX('Documents'!$P$4:$P$503,_calc!$E$381))=0,"",INDEX('Documents'!$P$4:$P$503,_calc!$E$381)))=0,"",IF(LEN(INDEX('Documents'!$P$4:$P$503,_calc!$E$381))=0,"",INDEX('Documents'!$P$4:$P$503,_calc!$E$381)))))</f>
        <v/>
      </c>
      <c r="G379" s="43">
        <f>IF(_calc!$E$381="","",IF(LEN(INDEX('Documents'!$O$4:$O$503,_calc!$E$381))=0,"",INDEX('Documents'!$O$4:$O$503,_calc!$E$381)))</f>
        <v/>
      </c>
      <c r="K379" s="43">
        <f>IF(_calc!$E$381="","",IF(LEN(INDEX('Documents'!$M$4:$M$503,_calc!$E$381))=0,"",INDEX('Documents'!$M$4:$M$503,_calc!$E$381)))</f>
        <v/>
      </c>
    </row>
    <row r="380">
      <c r="A380" s="43">
        <f>IF(_calc!$E$382="","",IF(LEN(INDEX('Documents'!$C$4:$C$503,_calc!$E$382))=0,"",INDEX('Documents'!$C$4:$C$503,_calc!$E$382))&amp;" – "&amp;IF(LEN(INDEX('Documents'!$A$4:$A$503,_calc!$E$382))=0,"",INDEX('Documents'!$A$4:$A$503,_calc!$E$382)))</f>
        <v/>
      </c>
      <c r="B380" s="43">
        <f>IF(_calc!$E$382="","",IF(ISNUMBER(INDEX('Documents'!$F$4:$F$503,_calc!$E$382)),TEXT(INDEX('Documents'!$F$4:$F$503,_calc!$E$382),"yyyy-mm-dd"),""))</f>
        <v/>
      </c>
      <c r="C380" s="43">
        <f>IF(_calc!$E$382="","","Contractor document")</f>
        <v/>
      </c>
      <c r="D380" s="43">
        <f>IF(_calc!$E$382="","",IF(ISNUMBER(INDEX('Documents'!$E$4:$E$503,_calc!$E$382)),TEXT(INDEX('Documents'!$E$4:$E$503,_calc!$E$382),"yyyy-mm-dd"),""))</f>
        <v/>
      </c>
      <c r="E380" s="43">
        <f>IF(_calc!$E$382="","",IF(LEN(INDEX('Documents'!$N$4:$N$503,_calc!$E$382))=0,"",INDEX('Documents'!$N$4:$N$503,_calc!$E$382)))</f>
        <v/>
      </c>
      <c r="F380" s="43">
        <f>IF(_calc!$E$382="","",TRIM(IF(LEN(IF(LEN(INDEX('Documents'!$B$4:$B$503,_calc!$E$382))=0,"",INDEX('Documents'!$B$4:$B$503,_calc!$E$382)))=0,"","Trade: "&amp;IF(LEN(INDEX('Documents'!$B$4:$B$503,_calc!$E$382))=0,"",INDEX('Documents'!$B$4:$B$503,_calc!$E$382))&amp;". ")&amp;IF(LEN(IF(LEN(INDEX('Documents'!$D$4:$D$503,_calc!$E$382))=0,"",INDEX('Documents'!$D$4:$D$503,_calc!$E$382)))=0,"","Ref: "&amp;IF(LEN(INDEX('Documents'!$D$4:$D$503,_calc!$E$382))=0,"",INDEX('Documents'!$D$4:$D$503,_calc!$E$382))&amp;". ")&amp;IF(LEN(IF(LEN(INDEX('Documents'!$K$4:$K$503,_calc!$E$382))=0,"",INDEX('Documents'!$K$4:$K$503,_calc!$E$382)))=0,"","On file: "&amp;IF(LEN(INDEX('Documents'!$K$4:$K$503,_calc!$E$382))=0,"",INDEX('Documents'!$K$4:$K$503,_calc!$E$382))&amp;". ")&amp;IF(LEN(IF(LEN(INDEX('Documents'!$L$4:$L$503,_calc!$E$382))=0,"",INDEX('Documents'!$L$4:$L$503,_calc!$E$382)))=0,"","Contractor email: "&amp;IF(LEN(INDEX('Documents'!$L$4:$L$503,_calc!$E$382))=0,"",INDEX('Documents'!$L$4:$L$503,_calc!$E$382))&amp;". ")&amp;IF(LEN(IF(LEN(INDEX('Documents'!$P$4:$P$503,_calc!$E$382))=0,"",INDEX('Documents'!$P$4:$P$503,_calc!$E$382)))=0,"",IF(LEN(INDEX('Documents'!$P$4:$P$503,_calc!$E$382))=0,"",INDEX('Documents'!$P$4:$P$503,_calc!$E$382)))))</f>
        <v/>
      </c>
      <c r="G380" s="43">
        <f>IF(_calc!$E$382="","",IF(LEN(INDEX('Documents'!$O$4:$O$503,_calc!$E$382))=0,"",INDEX('Documents'!$O$4:$O$503,_calc!$E$382)))</f>
        <v/>
      </c>
      <c r="K380" s="43">
        <f>IF(_calc!$E$382="","",IF(LEN(INDEX('Documents'!$M$4:$M$503,_calc!$E$382))=0,"",INDEX('Documents'!$M$4:$M$503,_calc!$E$382)))</f>
        <v/>
      </c>
    </row>
    <row r="381">
      <c r="A381" s="43">
        <f>IF(_calc!$E$383="","",IF(LEN(INDEX('Documents'!$C$4:$C$503,_calc!$E$383))=0,"",INDEX('Documents'!$C$4:$C$503,_calc!$E$383))&amp;" – "&amp;IF(LEN(INDEX('Documents'!$A$4:$A$503,_calc!$E$383))=0,"",INDEX('Documents'!$A$4:$A$503,_calc!$E$383)))</f>
        <v/>
      </c>
      <c r="B381" s="43">
        <f>IF(_calc!$E$383="","",IF(ISNUMBER(INDEX('Documents'!$F$4:$F$503,_calc!$E$383)),TEXT(INDEX('Documents'!$F$4:$F$503,_calc!$E$383),"yyyy-mm-dd"),""))</f>
        <v/>
      </c>
      <c r="C381" s="43">
        <f>IF(_calc!$E$383="","","Contractor document")</f>
        <v/>
      </c>
      <c r="D381" s="43">
        <f>IF(_calc!$E$383="","",IF(ISNUMBER(INDEX('Documents'!$E$4:$E$503,_calc!$E$383)),TEXT(INDEX('Documents'!$E$4:$E$503,_calc!$E$383),"yyyy-mm-dd"),""))</f>
        <v/>
      </c>
      <c r="E381" s="43">
        <f>IF(_calc!$E$383="","",IF(LEN(INDEX('Documents'!$N$4:$N$503,_calc!$E$383))=0,"",INDEX('Documents'!$N$4:$N$503,_calc!$E$383)))</f>
        <v/>
      </c>
      <c r="F381" s="43">
        <f>IF(_calc!$E$383="","",TRIM(IF(LEN(IF(LEN(INDEX('Documents'!$B$4:$B$503,_calc!$E$383))=0,"",INDEX('Documents'!$B$4:$B$503,_calc!$E$383)))=0,"","Trade: "&amp;IF(LEN(INDEX('Documents'!$B$4:$B$503,_calc!$E$383))=0,"",INDEX('Documents'!$B$4:$B$503,_calc!$E$383))&amp;". ")&amp;IF(LEN(IF(LEN(INDEX('Documents'!$D$4:$D$503,_calc!$E$383))=0,"",INDEX('Documents'!$D$4:$D$503,_calc!$E$383)))=0,"","Ref: "&amp;IF(LEN(INDEX('Documents'!$D$4:$D$503,_calc!$E$383))=0,"",INDEX('Documents'!$D$4:$D$503,_calc!$E$383))&amp;". ")&amp;IF(LEN(IF(LEN(INDEX('Documents'!$K$4:$K$503,_calc!$E$383))=0,"",INDEX('Documents'!$K$4:$K$503,_calc!$E$383)))=0,"","On file: "&amp;IF(LEN(INDEX('Documents'!$K$4:$K$503,_calc!$E$383))=0,"",INDEX('Documents'!$K$4:$K$503,_calc!$E$383))&amp;". ")&amp;IF(LEN(IF(LEN(INDEX('Documents'!$L$4:$L$503,_calc!$E$383))=0,"",INDEX('Documents'!$L$4:$L$503,_calc!$E$383)))=0,"","Contractor email: "&amp;IF(LEN(INDEX('Documents'!$L$4:$L$503,_calc!$E$383))=0,"",INDEX('Documents'!$L$4:$L$503,_calc!$E$383))&amp;". ")&amp;IF(LEN(IF(LEN(INDEX('Documents'!$P$4:$P$503,_calc!$E$383))=0,"",INDEX('Documents'!$P$4:$P$503,_calc!$E$383)))=0,"",IF(LEN(INDEX('Documents'!$P$4:$P$503,_calc!$E$383))=0,"",INDEX('Documents'!$P$4:$P$503,_calc!$E$383)))))</f>
        <v/>
      </c>
      <c r="G381" s="43">
        <f>IF(_calc!$E$383="","",IF(LEN(INDEX('Documents'!$O$4:$O$503,_calc!$E$383))=0,"",INDEX('Documents'!$O$4:$O$503,_calc!$E$383)))</f>
        <v/>
      </c>
      <c r="K381" s="43">
        <f>IF(_calc!$E$383="","",IF(LEN(INDEX('Documents'!$M$4:$M$503,_calc!$E$383))=0,"",INDEX('Documents'!$M$4:$M$503,_calc!$E$383)))</f>
        <v/>
      </c>
    </row>
    <row r="382">
      <c r="A382" s="43">
        <f>IF(_calc!$E$384="","",IF(LEN(INDEX('Documents'!$C$4:$C$503,_calc!$E$384))=0,"",INDEX('Documents'!$C$4:$C$503,_calc!$E$384))&amp;" – "&amp;IF(LEN(INDEX('Documents'!$A$4:$A$503,_calc!$E$384))=0,"",INDEX('Documents'!$A$4:$A$503,_calc!$E$384)))</f>
        <v/>
      </c>
      <c r="B382" s="43">
        <f>IF(_calc!$E$384="","",IF(ISNUMBER(INDEX('Documents'!$F$4:$F$503,_calc!$E$384)),TEXT(INDEX('Documents'!$F$4:$F$503,_calc!$E$384),"yyyy-mm-dd"),""))</f>
        <v/>
      </c>
      <c r="C382" s="43">
        <f>IF(_calc!$E$384="","","Contractor document")</f>
        <v/>
      </c>
      <c r="D382" s="43">
        <f>IF(_calc!$E$384="","",IF(ISNUMBER(INDEX('Documents'!$E$4:$E$503,_calc!$E$384)),TEXT(INDEX('Documents'!$E$4:$E$503,_calc!$E$384),"yyyy-mm-dd"),""))</f>
        <v/>
      </c>
      <c r="E382" s="43">
        <f>IF(_calc!$E$384="","",IF(LEN(INDEX('Documents'!$N$4:$N$503,_calc!$E$384))=0,"",INDEX('Documents'!$N$4:$N$503,_calc!$E$384)))</f>
        <v/>
      </c>
      <c r="F382" s="43">
        <f>IF(_calc!$E$384="","",TRIM(IF(LEN(IF(LEN(INDEX('Documents'!$B$4:$B$503,_calc!$E$384))=0,"",INDEX('Documents'!$B$4:$B$503,_calc!$E$384)))=0,"","Trade: "&amp;IF(LEN(INDEX('Documents'!$B$4:$B$503,_calc!$E$384))=0,"",INDEX('Documents'!$B$4:$B$503,_calc!$E$384))&amp;". ")&amp;IF(LEN(IF(LEN(INDEX('Documents'!$D$4:$D$503,_calc!$E$384))=0,"",INDEX('Documents'!$D$4:$D$503,_calc!$E$384)))=0,"","Ref: "&amp;IF(LEN(INDEX('Documents'!$D$4:$D$503,_calc!$E$384))=0,"",INDEX('Documents'!$D$4:$D$503,_calc!$E$384))&amp;". ")&amp;IF(LEN(IF(LEN(INDEX('Documents'!$K$4:$K$503,_calc!$E$384))=0,"",INDEX('Documents'!$K$4:$K$503,_calc!$E$384)))=0,"","On file: "&amp;IF(LEN(INDEX('Documents'!$K$4:$K$503,_calc!$E$384))=0,"",INDEX('Documents'!$K$4:$K$503,_calc!$E$384))&amp;". ")&amp;IF(LEN(IF(LEN(INDEX('Documents'!$L$4:$L$503,_calc!$E$384))=0,"",INDEX('Documents'!$L$4:$L$503,_calc!$E$384)))=0,"","Contractor email: "&amp;IF(LEN(INDEX('Documents'!$L$4:$L$503,_calc!$E$384))=0,"",INDEX('Documents'!$L$4:$L$503,_calc!$E$384))&amp;". ")&amp;IF(LEN(IF(LEN(INDEX('Documents'!$P$4:$P$503,_calc!$E$384))=0,"",INDEX('Documents'!$P$4:$P$503,_calc!$E$384)))=0,"",IF(LEN(INDEX('Documents'!$P$4:$P$503,_calc!$E$384))=0,"",INDEX('Documents'!$P$4:$P$503,_calc!$E$384)))))</f>
        <v/>
      </c>
      <c r="G382" s="43">
        <f>IF(_calc!$E$384="","",IF(LEN(INDEX('Documents'!$O$4:$O$503,_calc!$E$384))=0,"",INDEX('Documents'!$O$4:$O$503,_calc!$E$384)))</f>
        <v/>
      </c>
      <c r="K382" s="43">
        <f>IF(_calc!$E$384="","",IF(LEN(INDEX('Documents'!$M$4:$M$503,_calc!$E$384))=0,"",INDEX('Documents'!$M$4:$M$503,_calc!$E$384)))</f>
        <v/>
      </c>
    </row>
    <row r="383">
      <c r="A383" s="43">
        <f>IF(_calc!$E$385="","",IF(LEN(INDEX('Documents'!$C$4:$C$503,_calc!$E$385))=0,"",INDEX('Documents'!$C$4:$C$503,_calc!$E$385))&amp;" – "&amp;IF(LEN(INDEX('Documents'!$A$4:$A$503,_calc!$E$385))=0,"",INDEX('Documents'!$A$4:$A$503,_calc!$E$385)))</f>
        <v/>
      </c>
      <c r="B383" s="43">
        <f>IF(_calc!$E$385="","",IF(ISNUMBER(INDEX('Documents'!$F$4:$F$503,_calc!$E$385)),TEXT(INDEX('Documents'!$F$4:$F$503,_calc!$E$385),"yyyy-mm-dd"),""))</f>
        <v/>
      </c>
      <c r="C383" s="43">
        <f>IF(_calc!$E$385="","","Contractor document")</f>
        <v/>
      </c>
      <c r="D383" s="43">
        <f>IF(_calc!$E$385="","",IF(ISNUMBER(INDEX('Documents'!$E$4:$E$503,_calc!$E$385)),TEXT(INDEX('Documents'!$E$4:$E$503,_calc!$E$385),"yyyy-mm-dd"),""))</f>
        <v/>
      </c>
      <c r="E383" s="43">
        <f>IF(_calc!$E$385="","",IF(LEN(INDEX('Documents'!$N$4:$N$503,_calc!$E$385))=0,"",INDEX('Documents'!$N$4:$N$503,_calc!$E$385)))</f>
        <v/>
      </c>
      <c r="F383" s="43">
        <f>IF(_calc!$E$385="","",TRIM(IF(LEN(IF(LEN(INDEX('Documents'!$B$4:$B$503,_calc!$E$385))=0,"",INDEX('Documents'!$B$4:$B$503,_calc!$E$385)))=0,"","Trade: "&amp;IF(LEN(INDEX('Documents'!$B$4:$B$503,_calc!$E$385))=0,"",INDEX('Documents'!$B$4:$B$503,_calc!$E$385))&amp;". ")&amp;IF(LEN(IF(LEN(INDEX('Documents'!$D$4:$D$503,_calc!$E$385))=0,"",INDEX('Documents'!$D$4:$D$503,_calc!$E$385)))=0,"","Ref: "&amp;IF(LEN(INDEX('Documents'!$D$4:$D$503,_calc!$E$385))=0,"",INDEX('Documents'!$D$4:$D$503,_calc!$E$385))&amp;". ")&amp;IF(LEN(IF(LEN(INDEX('Documents'!$K$4:$K$503,_calc!$E$385))=0,"",INDEX('Documents'!$K$4:$K$503,_calc!$E$385)))=0,"","On file: "&amp;IF(LEN(INDEX('Documents'!$K$4:$K$503,_calc!$E$385))=0,"",INDEX('Documents'!$K$4:$K$503,_calc!$E$385))&amp;". ")&amp;IF(LEN(IF(LEN(INDEX('Documents'!$L$4:$L$503,_calc!$E$385))=0,"",INDEX('Documents'!$L$4:$L$503,_calc!$E$385)))=0,"","Contractor email: "&amp;IF(LEN(INDEX('Documents'!$L$4:$L$503,_calc!$E$385))=0,"",INDEX('Documents'!$L$4:$L$503,_calc!$E$385))&amp;". ")&amp;IF(LEN(IF(LEN(INDEX('Documents'!$P$4:$P$503,_calc!$E$385))=0,"",INDEX('Documents'!$P$4:$P$503,_calc!$E$385)))=0,"",IF(LEN(INDEX('Documents'!$P$4:$P$503,_calc!$E$385))=0,"",INDEX('Documents'!$P$4:$P$503,_calc!$E$385)))))</f>
        <v/>
      </c>
      <c r="G383" s="43">
        <f>IF(_calc!$E$385="","",IF(LEN(INDEX('Documents'!$O$4:$O$503,_calc!$E$385))=0,"",INDEX('Documents'!$O$4:$O$503,_calc!$E$385)))</f>
        <v/>
      </c>
      <c r="K383" s="43">
        <f>IF(_calc!$E$385="","",IF(LEN(INDEX('Documents'!$M$4:$M$503,_calc!$E$385))=0,"",INDEX('Documents'!$M$4:$M$503,_calc!$E$385)))</f>
        <v/>
      </c>
    </row>
    <row r="384">
      <c r="A384" s="43">
        <f>IF(_calc!$E$386="","",IF(LEN(INDEX('Documents'!$C$4:$C$503,_calc!$E$386))=0,"",INDEX('Documents'!$C$4:$C$503,_calc!$E$386))&amp;" – "&amp;IF(LEN(INDEX('Documents'!$A$4:$A$503,_calc!$E$386))=0,"",INDEX('Documents'!$A$4:$A$503,_calc!$E$386)))</f>
        <v/>
      </c>
      <c r="B384" s="43">
        <f>IF(_calc!$E$386="","",IF(ISNUMBER(INDEX('Documents'!$F$4:$F$503,_calc!$E$386)),TEXT(INDEX('Documents'!$F$4:$F$503,_calc!$E$386),"yyyy-mm-dd"),""))</f>
        <v/>
      </c>
      <c r="C384" s="43">
        <f>IF(_calc!$E$386="","","Contractor document")</f>
        <v/>
      </c>
      <c r="D384" s="43">
        <f>IF(_calc!$E$386="","",IF(ISNUMBER(INDEX('Documents'!$E$4:$E$503,_calc!$E$386)),TEXT(INDEX('Documents'!$E$4:$E$503,_calc!$E$386),"yyyy-mm-dd"),""))</f>
        <v/>
      </c>
      <c r="E384" s="43">
        <f>IF(_calc!$E$386="","",IF(LEN(INDEX('Documents'!$N$4:$N$503,_calc!$E$386))=0,"",INDEX('Documents'!$N$4:$N$503,_calc!$E$386)))</f>
        <v/>
      </c>
      <c r="F384" s="43">
        <f>IF(_calc!$E$386="","",TRIM(IF(LEN(IF(LEN(INDEX('Documents'!$B$4:$B$503,_calc!$E$386))=0,"",INDEX('Documents'!$B$4:$B$503,_calc!$E$386)))=0,"","Trade: "&amp;IF(LEN(INDEX('Documents'!$B$4:$B$503,_calc!$E$386))=0,"",INDEX('Documents'!$B$4:$B$503,_calc!$E$386))&amp;". ")&amp;IF(LEN(IF(LEN(INDEX('Documents'!$D$4:$D$503,_calc!$E$386))=0,"",INDEX('Documents'!$D$4:$D$503,_calc!$E$386)))=0,"","Ref: "&amp;IF(LEN(INDEX('Documents'!$D$4:$D$503,_calc!$E$386))=0,"",INDEX('Documents'!$D$4:$D$503,_calc!$E$386))&amp;". ")&amp;IF(LEN(IF(LEN(INDEX('Documents'!$K$4:$K$503,_calc!$E$386))=0,"",INDEX('Documents'!$K$4:$K$503,_calc!$E$386)))=0,"","On file: "&amp;IF(LEN(INDEX('Documents'!$K$4:$K$503,_calc!$E$386))=0,"",INDEX('Documents'!$K$4:$K$503,_calc!$E$386))&amp;". ")&amp;IF(LEN(IF(LEN(INDEX('Documents'!$L$4:$L$503,_calc!$E$386))=0,"",INDEX('Documents'!$L$4:$L$503,_calc!$E$386)))=0,"","Contractor email: "&amp;IF(LEN(INDEX('Documents'!$L$4:$L$503,_calc!$E$386))=0,"",INDEX('Documents'!$L$4:$L$503,_calc!$E$386))&amp;". ")&amp;IF(LEN(IF(LEN(INDEX('Documents'!$P$4:$P$503,_calc!$E$386))=0,"",INDEX('Documents'!$P$4:$P$503,_calc!$E$386)))=0,"",IF(LEN(INDEX('Documents'!$P$4:$P$503,_calc!$E$386))=0,"",INDEX('Documents'!$P$4:$P$503,_calc!$E$386)))))</f>
        <v/>
      </c>
      <c r="G384" s="43">
        <f>IF(_calc!$E$386="","",IF(LEN(INDEX('Documents'!$O$4:$O$503,_calc!$E$386))=0,"",INDEX('Documents'!$O$4:$O$503,_calc!$E$386)))</f>
        <v/>
      </c>
      <c r="K384" s="43">
        <f>IF(_calc!$E$386="","",IF(LEN(INDEX('Documents'!$M$4:$M$503,_calc!$E$386))=0,"",INDEX('Documents'!$M$4:$M$503,_calc!$E$386)))</f>
        <v/>
      </c>
    </row>
    <row r="385">
      <c r="A385" s="43">
        <f>IF(_calc!$E$387="","",IF(LEN(INDEX('Documents'!$C$4:$C$503,_calc!$E$387))=0,"",INDEX('Documents'!$C$4:$C$503,_calc!$E$387))&amp;" – "&amp;IF(LEN(INDEX('Documents'!$A$4:$A$503,_calc!$E$387))=0,"",INDEX('Documents'!$A$4:$A$503,_calc!$E$387)))</f>
        <v/>
      </c>
      <c r="B385" s="43">
        <f>IF(_calc!$E$387="","",IF(ISNUMBER(INDEX('Documents'!$F$4:$F$503,_calc!$E$387)),TEXT(INDEX('Documents'!$F$4:$F$503,_calc!$E$387),"yyyy-mm-dd"),""))</f>
        <v/>
      </c>
      <c r="C385" s="43">
        <f>IF(_calc!$E$387="","","Contractor document")</f>
        <v/>
      </c>
      <c r="D385" s="43">
        <f>IF(_calc!$E$387="","",IF(ISNUMBER(INDEX('Documents'!$E$4:$E$503,_calc!$E$387)),TEXT(INDEX('Documents'!$E$4:$E$503,_calc!$E$387),"yyyy-mm-dd"),""))</f>
        <v/>
      </c>
      <c r="E385" s="43">
        <f>IF(_calc!$E$387="","",IF(LEN(INDEX('Documents'!$N$4:$N$503,_calc!$E$387))=0,"",INDEX('Documents'!$N$4:$N$503,_calc!$E$387)))</f>
        <v/>
      </c>
      <c r="F385" s="43">
        <f>IF(_calc!$E$387="","",TRIM(IF(LEN(IF(LEN(INDEX('Documents'!$B$4:$B$503,_calc!$E$387))=0,"",INDEX('Documents'!$B$4:$B$503,_calc!$E$387)))=0,"","Trade: "&amp;IF(LEN(INDEX('Documents'!$B$4:$B$503,_calc!$E$387))=0,"",INDEX('Documents'!$B$4:$B$503,_calc!$E$387))&amp;". ")&amp;IF(LEN(IF(LEN(INDEX('Documents'!$D$4:$D$503,_calc!$E$387))=0,"",INDEX('Documents'!$D$4:$D$503,_calc!$E$387)))=0,"","Ref: "&amp;IF(LEN(INDEX('Documents'!$D$4:$D$503,_calc!$E$387))=0,"",INDEX('Documents'!$D$4:$D$503,_calc!$E$387))&amp;". ")&amp;IF(LEN(IF(LEN(INDEX('Documents'!$K$4:$K$503,_calc!$E$387))=0,"",INDEX('Documents'!$K$4:$K$503,_calc!$E$387)))=0,"","On file: "&amp;IF(LEN(INDEX('Documents'!$K$4:$K$503,_calc!$E$387))=0,"",INDEX('Documents'!$K$4:$K$503,_calc!$E$387))&amp;". ")&amp;IF(LEN(IF(LEN(INDEX('Documents'!$L$4:$L$503,_calc!$E$387))=0,"",INDEX('Documents'!$L$4:$L$503,_calc!$E$387)))=0,"","Contractor email: "&amp;IF(LEN(INDEX('Documents'!$L$4:$L$503,_calc!$E$387))=0,"",INDEX('Documents'!$L$4:$L$503,_calc!$E$387))&amp;". ")&amp;IF(LEN(IF(LEN(INDEX('Documents'!$P$4:$P$503,_calc!$E$387))=0,"",INDEX('Documents'!$P$4:$P$503,_calc!$E$387)))=0,"",IF(LEN(INDEX('Documents'!$P$4:$P$503,_calc!$E$387))=0,"",INDEX('Documents'!$P$4:$P$503,_calc!$E$387)))))</f>
        <v/>
      </c>
      <c r="G385" s="43">
        <f>IF(_calc!$E$387="","",IF(LEN(INDEX('Documents'!$O$4:$O$503,_calc!$E$387))=0,"",INDEX('Documents'!$O$4:$O$503,_calc!$E$387)))</f>
        <v/>
      </c>
      <c r="K385" s="43">
        <f>IF(_calc!$E$387="","",IF(LEN(INDEX('Documents'!$M$4:$M$503,_calc!$E$387))=0,"",INDEX('Documents'!$M$4:$M$503,_calc!$E$387)))</f>
        <v/>
      </c>
    </row>
    <row r="386">
      <c r="A386" s="43">
        <f>IF(_calc!$E$388="","",IF(LEN(INDEX('Documents'!$C$4:$C$503,_calc!$E$388))=0,"",INDEX('Documents'!$C$4:$C$503,_calc!$E$388))&amp;" – "&amp;IF(LEN(INDEX('Documents'!$A$4:$A$503,_calc!$E$388))=0,"",INDEX('Documents'!$A$4:$A$503,_calc!$E$388)))</f>
        <v/>
      </c>
      <c r="B386" s="43">
        <f>IF(_calc!$E$388="","",IF(ISNUMBER(INDEX('Documents'!$F$4:$F$503,_calc!$E$388)),TEXT(INDEX('Documents'!$F$4:$F$503,_calc!$E$388),"yyyy-mm-dd"),""))</f>
        <v/>
      </c>
      <c r="C386" s="43">
        <f>IF(_calc!$E$388="","","Contractor document")</f>
        <v/>
      </c>
      <c r="D386" s="43">
        <f>IF(_calc!$E$388="","",IF(ISNUMBER(INDEX('Documents'!$E$4:$E$503,_calc!$E$388)),TEXT(INDEX('Documents'!$E$4:$E$503,_calc!$E$388),"yyyy-mm-dd"),""))</f>
        <v/>
      </c>
      <c r="E386" s="43">
        <f>IF(_calc!$E$388="","",IF(LEN(INDEX('Documents'!$N$4:$N$503,_calc!$E$388))=0,"",INDEX('Documents'!$N$4:$N$503,_calc!$E$388)))</f>
        <v/>
      </c>
      <c r="F386" s="43">
        <f>IF(_calc!$E$388="","",TRIM(IF(LEN(IF(LEN(INDEX('Documents'!$B$4:$B$503,_calc!$E$388))=0,"",INDEX('Documents'!$B$4:$B$503,_calc!$E$388)))=0,"","Trade: "&amp;IF(LEN(INDEX('Documents'!$B$4:$B$503,_calc!$E$388))=0,"",INDEX('Documents'!$B$4:$B$503,_calc!$E$388))&amp;". ")&amp;IF(LEN(IF(LEN(INDEX('Documents'!$D$4:$D$503,_calc!$E$388))=0,"",INDEX('Documents'!$D$4:$D$503,_calc!$E$388)))=0,"","Ref: "&amp;IF(LEN(INDEX('Documents'!$D$4:$D$503,_calc!$E$388))=0,"",INDEX('Documents'!$D$4:$D$503,_calc!$E$388))&amp;". ")&amp;IF(LEN(IF(LEN(INDEX('Documents'!$K$4:$K$503,_calc!$E$388))=0,"",INDEX('Documents'!$K$4:$K$503,_calc!$E$388)))=0,"","On file: "&amp;IF(LEN(INDEX('Documents'!$K$4:$K$503,_calc!$E$388))=0,"",INDEX('Documents'!$K$4:$K$503,_calc!$E$388))&amp;". ")&amp;IF(LEN(IF(LEN(INDEX('Documents'!$L$4:$L$503,_calc!$E$388))=0,"",INDEX('Documents'!$L$4:$L$503,_calc!$E$388)))=0,"","Contractor email: "&amp;IF(LEN(INDEX('Documents'!$L$4:$L$503,_calc!$E$388))=0,"",INDEX('Documents'!$L$4:$L$503,_calc!$E$388))&amp;". ")&amp;IF(LEN(IF(LEN(INDEX('Documents'!$P$4:$P$503,_calc!$E$388))=0,"",INDEX('Documents'!$P$4:$P$503,_calc!$E$388)))=0,"",IF(LEN(INDEX('Documents'!$P$4:$P$503,_calc!$E$388))=0,"",INDEX('Documents'!$P$4:$P$503,_calc!$E$388)))))</f>
        <v/>
      </c>
      <c r="G386" s="43">
        <f>IF(_calc!$E$388="","",IF(LEN(INDEX('Documents'!$O$4:$O$503,_calc!$E$388))=0,"",INDEX('Documents'!$O$4:$O$503,_calc!$E$388)))</f>
        <v/>
      </c>
      <c r="K386" s="43">
        <f>IF(_calc!$E$388="","",IF(LEN(INDEX('Documents'!$M$4:$M$503,_calc!$E$388))=0,"",INDEX('Documents'!$M$4:$M$503,_calc!$E$388)))</f>
        <v/>
      </c>
    </row>
    <row r="387">
      <c r="A387" s="43">
        <f>IF(_calc!$E$389="","",IF(LEN(INDEX('Documents'!$C$4:$C$503,_calc!$E$389))=0,"",INDEX('Documents'!$C$4:$C$503,_calc!$E$389))&amp;" – "&amp;IF(LEN(INDEX('Documents'!$A$4:$A$503,_calc!$E$389))=0,"",INDEX('Documents'!$A$4:$A$503,_calc!$E$389)))</f>
        <v/>
      </c>
      <c r="B387" s="43">
        <f>IF(_calc!$E$389="","",IF(ISNUMBER(INDEX('Documents'!$F$4:$F$503,_calc!$E$389)),TEXT(INDEX('Documents'!$F$4:$F$503,_calc!$E$389),"yyyy-mm-dd"),""))</f>
        <v/>
      </c>
      <c r="C387" s="43">
        <f>IF(_calc!$E$389="","","Contractor document")</f>
        <v/>
      </c>
      <c r="D387" s="43">
        <f>IF(_calc!$E$389="","",IF(ISNUMBER(INDEX('Documents'!$E$4:$E$503,_calc!$E$389)),TEXT(INDEX('Documents'!$E$4:$E$503,_calc!$E$389),"yyyy-mm-dd"),""))</f>
        <v/>
      </c>
      <c r="E387" s="43">
        <f>IF(_calc!$E$389="","",IF(LEN(INDEX('Documents'!$N$4:$N$503,_calc!$E$389))=0,"",INDEX('Documents'!$N$4:$N$503,_calc!$E$389)))</f>
        <v/>
      </c>
      <c r="F387" s="43">
        <f>IF(_calc!$E$389="","",TRIM(IF(LEN(IF(LEN(INDEX('Documents'!$B$4:$B$503,_calc!$E$389))=0,"",INDEX('Documents'!$B$4:$B$503,_calc!$E$389)))=0,"","Trade: "&amp;IF(LEN(INDEX('Documents'!$B$4:$B$503,_calc!$E$389))=0,"",INDEX('Documents'!$B$4:$B$503,_calc!$E$389))&amp;". ")&amp;IF(LEN(IF(LEN(INDEX('Documents'!$D$4:$D$503,_calc!$E$389))=0,"",INDEX('Documents'!$D$4:$D$503,_calc!$E$389)))=0,"","Ref: "&amp;IF(LEN(INDEX('Documents'!$D$4:$D$503,_calc!$E$389))=0,"",INDEX('Documents'!$D$4:$D$503,_calc!$E$389))&amp;". ")&amp;IF(LEN(IF(LEN(INDEX('Documents'!$K$4:$K$503,_calc!$E$389))=0,"",INDEX('Documents'!$K$4:$K$503,_calc!$E$389)))=0,"","On file: "&amp;IF(LEN(INDEX('Documents'!$K$4:$K$503,_calc!$E$389))=0,"",INDEX('Documents'!$K$4:$K$503,_calc!$E$389))&amp;". ")&amp;IF(LEN(IF(LEN(INDEX('Documents'!$L$4:$L$503,_calc!$E$389))=0,"",INDEX('Documents'!$L$4:$L$503,_calc!$E$389)))=0,"","Contractor email: "&amp;IF(LEN(INDEX('Documents'!$L$4:$L$503,_calc!$E$389))=0,"",INDEX('Documents'!$L$4:$L$503,_calc!$E$389))&amp;". ")&amp;IF(LEN(IF(LEN(INDEX('Documents'!$P$4:$P$503,_calc!$E$389))=0,"",INDEX('Documents'!$P$4:$P$503,_calc!$E$389)))=0,"",IF(LEN(INDEX('Documents'!$P$4:$P$503,_calc!$E$389))=0,"",INDEX('Documents'!$P$4:$P$503,_calc!$E$389)))))</f>
        <v/>
      </c>
      <c r="G387" s="43">
        <f>IF(_calc!$E$389="","",IF(LEN(INDEX('Documents'!$O$4:$O$503,_calc!$E$389))=0,"",INDEX('Documents'!$O$4:$O$503,_calc!$E$389)))</f>
        <v/>
      </c>
      <c r="K387" s="43">
        <f>IF(_calc!$E$389="","",IF(LEN(INDEX('Documents'!$M$4:$M$503,_calc!$E$389))=0,"",INDEX('Documents'!$M$4:$M$503,_calc!$E$389)))</f>
        <v/>
      </c>
    </row>
    <row r="388">
      <c r="A388" s="43">
        <f>IF(_calc!$E$390="","",IF(LEN(INDEX('Documents'!$C$4:$C$503,_calc!$E$390))=0,"",INDEX('Documents'!$C$4:$C$503,_calc!$E$390))&amp;" – "&amp;IF(LEN(INDEX('Documents'!$A$4:$A$503,_calc!$E$390))=0,"",INDEX('Documents'!$A$4:$A$503,_calc!$E$390)))</f>
        <v/>
      </c>
      <c r="B388" s="43">
        <f>IF(_calc!$E$390="","",IF(ISNUMBER(INDEX('Documents'!$F$4:$F$503,_calc!$E$390)),TEXT(INDEX('Documents'!$F$4:$F$503,_calc!$E$390),"yyyy-mm-dd"),""))</f>
        <v/>
      </c>
      <c r="C388" s="43">
        <f>IF(_calc!$E$390="","","Contractor document")</f>
        <v/>
      </c>
      <c r="D388" s="43">
        <f>IF(_calc!$E$390="","",IF(ISNUMBER(INDEX('Documents'!$E$4:$E$503,_calc!$E$390)),TEXT(INDEX('Documents'!$E$4:$E$503,_calc!$E$390),"yyyy-mm-dd"),""))</f>
        <v/>
      </c>
      <c r="E388" s="43">
        <f>IF(_calc!$E$390="","",IF(LEN(INDEX('Documents'!$N$4:$N$503,_calc!$E$390))=0,"",INDEX('Documents'!$N$4:$N$503,_calc!$E$390)))</f>
        <v/>
      </c>
      <c r="F388" s="43">
        <f>IF(_calc!$E$390="","",TRIM(IF(LEN(IF(LEN(INDEX('Documents'!$B$4:$B$503,_calc!$E$390))=0,"",INDEX('Documents'!$B$4:$B$503,_calc!$E$390)))=0,"","Trade: "&amp;IF(LEN(INDEX('Documents'!$B$4:$B$503,_calc!$E$390))=0,"",INDEX('Documents'!$B$4:$B$503,_calc!$E$390))&amp;". ")&amp;IF(LEN(IF(LEN(INDEX('Documents'!$D$4:$D$503,_calc!$E$390))=0,"",INDEX('Documents'!$D$4:$D$503,_calc!$E$390)))=0,"","Ref: "&amp;IF(LEN(INDEX('Documents'!$D$4:$D$503,_calc!$E$390))=0,"",INDEX('Documents'!$D$4:$D$503,_calc!$E$390))&amp;". ")&amp;IF(LEN(IF(LEN(INDEX('Documents'!$K$4:$K$503,_calc!$E$390))=0,"",INDEX('Documents'!$K$4:$K$503,_calc!$E$390)))=0,"","On file: "&amp;IF(LEN(INDEX('Documents'!$K$4:$K$503,_calc!$E$390))=0,"",INDEX('Documents'!$K$4:$K$503,_calc!$E$390))&amp;". ")&amp;IF(LEN(IF(LEN(INDEX('Documents'!$L$4:$L$503,_calc!$E$390))=0,"",INDEX('Documents'!$L$4:$L$503,_calc!$E$390)))=0,"","Contractor email: "&amp;IF(LEN(INDEX('Documents'!$L$4:$L$503,_calc!$E$390))=0,"",INDEX('Documents'!$L$4:$L$503,_calc!$E$390))&amp;". ")&amp;IF(LEN(IF(LEN(INDEX('Documents'!$P$4:$P$503,_calc!$E$390))=0,"",INDEX('Documents'!$P$4:$P$503,_calc!$E$390)))=0,"",IF(LEN(INDEX('Documents'!$P$4:$P$503,_calc!$E$390))=0,"",INDEX('Documents'!$P$4:$P$503,_calc!$E$390)))))</f>
        <v/>
      </c>
      <c r="G388" s="43">
        <f>IF(_calc!$E$390="","",IF(LEN(INDEX('Documents'!$O$4:$O$503,_calc!$E$390))=0,"",INDEX('Documents'!$O$4:$O$503,_calc!$E$390)))</f>
        <v/>
      </c>
      <c r="K388" s="43">
        <f>IF(_calc!$E$390="","",IF(LEN(INDEX('Documents'!$M$4:$M$503,_calc!$E$390))=0,"",INDEX('Documents'!$M$4:$M$503,_calc!$E$390)))</f>
        <v/>
      </c>
    </row>
    <row r="389">
      <c r="A389" s="43">
        <f>IF(_calc!$E$391="","",IF(LEN(INDEX('Documents'!$C$4:$C$503,_calc!$E$391))=0,"",INDEX('Documents'!$C$4:$C$503,_calc!$E$391))&amp;" – "&amp;IF(LEN(INDEX('Documents'!$A$4:$A$503,_calc!$E$391))=0,"",INDEX('Documents'!$A$4:$A$503,_calc!$E$391)))</f>
        <v/>
      </c>
      <c r="B389" s="43">
        <f>IF(_calc!$E$391="","",IF(ISNUMBER(INDEX('Documents'!$F$4:$F$503,_calc!$E$391)),TEXT(INDEX('Documents'!$F$4:$F$503,_calc!$E$391),"yyyy-mm-dd"),""))</f>
        <v/>
      </c>
      <c r="C389" s="43">
        <f>IF(_calc!$E$391="","","Contractor document")</f>
        <v/>
      </c>
      <c r="D389" s="43">
        <f>IF(_calc!$E$391="","",IF(ISNUMBER(INDEX('Documents'!$E$4:$E$503,_calc!$E$391)),TEXT(INDEX('Documents'!$E$4:$E$503,_calc!$E$391),"yyyy-mm-dd"),""))</f>
        <v/>
      </c>
      <c r="E389" s="43">
        <f>IF(_calc!$E$391="","",IF(LEN(INDEX('Documents'!$N$4:$N$503,_calc!$E$391))=0,"",INDEX('Documents'!$N$4:$N$503,_calc!$E$391)))</f>
        <v/>
      </c>
      <c r="F389" s="43">
        <f>IF(_calc!$E$391="","",TRIM(IF(LEN(IF(LEN(INDEX('Documents'!$B$4:$B$503,_calc!$E$391))=0,"",INDEX('Documents'!$B$4:$B$503,_calc!$E$391)))=0,"","Trade: "&amp;IF(LEN(INDEX('Documents'!$B$4:$B$503,_calc!$E$391))=0,"",INDEX('Documents'!$B$4:$B$503,_calc!$E$391))&amp;". ")&amp;IF(LEN(IF(LEN(INDEX('Documents'!$D$4:$D$503,_calc!$E$391))=0,"",INDEX('Documents'!$D$4:$D$503,_calc!$E$391)))=0,"","Ref: "&amp;IF(LEN(INDEX('Documents'!$D$4:$D$503,_calc!$E$391))=0,"",INDEX('Documents'!$D$4:$D$503,_calc!$E$391))&amp;". ")&amp;IF(LEN(IF(LEN(INDEX('Documents'!$K$4:$K$503,_calc!$E$391))=0,"",INDEX('Documents'!$K$4:$K$503,_calc!$E$391)))=0,"","On file: "&amp;IF(LEN(INDEX('Documents'!$K$4:$K$503,_calc!$E$391))=0,"",INDEX('Documents'!$K$4:$K$503,_calc!$E$391))&amp;". ")&amp;IF(LEN(IF(LEN(INDEX('Documents'!$L$4:$L$503,_calc!$E$391))=0,"",INDEX('Documents'!$L$4:$L$503,_calc!$E$391)))=0,"","Contractor email: "&amp;IF(LEN(INDEX('Documents'!$L$4:$L$503,_calc!$E$391))=0,"",INDEX('Documents'!$L$4:$L$503,_calc!$E$391))&amp;". ")&amp;IF(LEN(IF(LEN(INDEX('Documents'!$P$4:$P$503,_calc!$E$391))=0,"",INDEX('Documents'!$P$4:$P$503,_calc!$E$391)))=0,"",IF(LEN(INDEX('Documents'!$P$4:$P$503,_calc!$E$391))=0,"",INDEX('Documents'!$P$4:$P$503,_calc!$E$391)))))</f>
        <v/>
      </c>
      <c r="G389" s="43">
        <f>IF(_calc!$E$391="","",IF(LEN(INDEX('Documents'!$O$4:$O$503,_calc!$E$391))=0,"",INDEX('Documents'!$O$4:$O$503,_calc!$E$391)))</f>
        <v/>
      </c>
      <c r="K389" s="43">
        <f>IF(_calc!$E$391="","",IF(LEN(INDEX('Documents'!$M$4:$M$503,_calc!$E$391))=0,"",INDEX('Documents'!$M$4:$M$503,_calc!$E$391)))</f>
        <v/>
      </c>
    </row>
    <row r="390">
      <c r="A390" s="43">
        <f>IF(_calc!$E$392="","",IF(LEN(INDEX('Documents'!$C$4:$C$503,_calc!$E$392))=0,"",INDEX('Documents'!$C$4:$C$503,_calc!$E$392))&amp;" – "&amp;IF(LEN(INDEX('Documents'!$A$4:$A$503,_calc!$E$392))=0,"",INDEX('Documents'!$A$4:$A$503,_calc!$E$392)))</f>
        <v/>
      </c>
      <c r="B390" s="43">
        <f>IF(_calc!$E$392="","",IF(ISNUMBER(INDEX('Documents'!$F$4:$F$503,_calc!$E$392)),TEXT(INDEX('Documents'!$F$4:$F$503,_calc!$E$392),"yyyy-mm-dd"),""))</f>
        <v/>
      </c>
      <c r="C390" s="43">
        <f>IF(_calc!$E$392="","","Contractor document")</f>
        <v/>
      </c>
      <c r="D390" s="43">
        <f>IF(_calc!$E$392="","",IF(ISNUMBER(INDEX('Documents'!$E$4:$E$503,_calc!$E$392)),TEXT(INDEX('Documents'!$E$4:$E$503,_calc!$E$392),"yyyy-mm-dd"),""))</f>
        <v/>
      </c>
      <c r="E390" s="43">
        <f>IF(_calc!$E$392="","",IF(LEN(INDEX('Documents'!$N$4:$N$503,_calc!$E$392))=0,"",INDEX('Documents'!$N$4:$N$503,_calc!$E$392)))</f>
        <v/>
      </c>
      <c r="F390" s="43">
        <f>IF(_calc!$E$392="","",TRIM(IF(LEN(IF(LEN(INDEX('Documents'!$B$4:$B$503,_calc!$E$392))=0,"",INDEX('Documents'!$B$4:$B$503,_calc!$E$392)))=0,"","Trade: "&amp;IF(LEN(INDEX('Documents'!$B$4:$B$503,_calc!$E$392))=0,"",INDEX('Documents'!$B$4:$B$503,_calc!$E$392))&amp;". ")&amp;IF(LEN(IF(LEN(INDEX('Documents'!$D$4:$D$503,_calc!$E$392))=0,"",INDEX('Documents'!$D$4:$D$503,_calc!$E$392)))=0,"","Ref: "&amp;IF(LEN(INDEX('Documents'!$D$4:$D$503,_calc!$E$392))=0,"",INDEX('Documents'!$D$4:$D$503,_calc!$E$392))&amp;". ")&amp;IF(LEN(IF(LEN(INDEX('Documents'!$K$4:$K$503,_calc!$E$392))=0,"",INDEX('Documents'!$K$4:$K$503,_calc!$E$392)))=0,"","On file: "&amp;IF(LEN(INDEX('Documents'!$K$4:$K$503,_calc!$E$392))=0,"",INDEX('Documents'!$K$4:$K$503,_calc!$E$392))&amp;". ")&amp;IF(LEN(IF(LEN(INDEX('Documents'!$L$4:$L$503,_calc!$E$392))=0,"",INDEX('Documents'!$L$4:$L$503,_calc!$E$392)))=0,"","Contractor email: "&amp;IF(LEN(INDEX('Documents'!$L$4:$L$503,_calc!$E$392))=0,"",INDEX('Documents'!$L$4:$L$503,_calc!$E$392))&amp;". ")&amp;IF(LEN(IF(LEN(INDEX('Documents'!$P$4:$P$503,_calc!$E$392))=0,"",INDEX('Documents'!$P$4:$P$503,_calc!$E$392)))=0,"",IF(LEN(INDEX('Documents'!$P$4:$P$503,_calc!$E$392))=0,"",INDEX('Documents'!$P$4:$P$503,_calc!$E$392)))))</f>
        <v/>
      </c>
      <c r="G390" s="43">
        <f>IF(_calc!$E$392="","",IF(LEN(INDEX('Documents'!$O$4:$O$503,_calc!$E$392))=0,"",INDEX('Documents'!$O$4:$O$503,_calc!$E$392)))</f>
        <v/>
      </c>
      <c r="K390" s="43">
        <f>IF(_calc!$E$392="","",IF(LEN(INDEX('Documents'!$M$4:$M$503,_calc!$E$392))=0,"",INDEX('Documents'!$M$4:$M$503,_calc!$E$392)))</f>
        <v/>
      </c>
    </row>
    <row r="391">
      <c r="A391" s="43">
        <f>IF(_calc!$E$393="","",IF(LEN(INDEX('Documents'!$C$4:$C$503,_calc!$E$393))=0,"",INDEX('Documents'!$C$4:$C$503,_calc!$E$393))&amp;" – "&amp;IF(LEN(INDEX('Documents'!$A$4:$A$503,_calc!$E$393))=0,"",INDEX('Documents'!$A$4:$A$503,_calc!$E$393)))</f>
        <v/>
      </c>
      <c r="B391" s="43">
        <f>IF(_calc!$E$393="","",IF(ISNUMBER(INDEX('Documents'!$F$4:$F$503,_calc!$E$393)),TEXT(INDEX('Documents'!$F$4:$F$503,_calc!$E$393),"yyyy-mm-dd"),""))</f>
        <v/>
      </c>
      <c r="C391" s="43">
        <f>IF(_calc!$E$393="","","Contractor document")</f>
        <v/>
      </c>
      <c r="D391" s="43">
        <f>IF(_calc!$E$393="","",IF(ISNUMBER(INDEX('Documents'!$E$4:$E$503,_calc!$E$393)),TEXT(INDEX('Documents'!$E$4:$E$503,_calc!$E$393),"yyyy-mm-dd"),""))</f>
        <v/>
      </c>
      <c r="E391" s="43">
        <f>IF(_calc!$E$393="","",IF(LEN(INDEX('Documents'!$N$4:$N$503,_calc!$E$393))=0,"",INDEX('Documents'!$N$4:$N$503,_calc!$E$393)))</f>
        <v/>
      </c>
      <c r="F391" s="43">
        <f>IF(_calc!$E$393="","",TRIM(IF(LEN(IF(LEN(INDEX('Documents'!$B$4:$B$503,_calc!$E$393))=0,"",INDEX('Documents'!$B$4:$B$503,_calc!$E$393)))=0,"","Trade: "&amp;IF(LEN(INDEX('Documents'!$B$4:$B$503,_calc!$E$393))=0,"",INDEX('Documents'!$B$4:$B$503,_calc!$E$393))&amp;". ")&amp;IF(LEN(IF(LEN(INDEX('Documents'!$D$4:$D$503,_calc!$E$393))=0,"",INDEX('Documents'!$D$4:$D$503,_calc!$E$393)))=0,"","Ref: "&amp;IF(LEN(INDEX('Documents'!$D$4:$D$503,_calc!$E$393))=0,"",INDEX('Documents'!$D$4:$D$503,_calc!$E$393))&amp;". ")&amp;IF(LEN(IF(LEN(INDEX('Documents'!$K$4:$K$503,_calc!$E$393))=0,"",INDEX('Documents'!$K$4:$K$503,_calc!$E$393)))=0,"","On file: "&amp;IF(LEN(INDEX('Documents'!$K$4:$K$503,_calc!$E$393))=0,"",INDEX('Documents'!$K$4:$K$503,_calc!$E$393))&amp;". ")&amp;IF(LEN(IF(LEN(INDEX('Documents'!$L$4:$L$503,_calc!$E$393))=0,"",INDEX('Documents'!$L$4:$L$503,_calc!$E$393)))=0,"","Contractor email: "&amp;IF(LEN(INDEX('Documents'!$L$4:$L$503,_calc!$E$393))=0,"",INDEX('Documents'!$L$4:$L$503,_calc!$E$393))&amp;". ")&amp;IF(LEN(IF(LEN(INDEX('Documents'!$P$4:$P$503,_calc!$E$393))=0,"",INDEX('Documents'!$P$4:$P$503,_calc!$E$393)))=0,"",IF(LEN(INDEX('Documents'!$P$4:$P$503,_calc!$E$393))=0,"",INDEX('Documents'!$P$4:$P$503,_calc!$E$393)))))</f>
        <v/>
      </c>
      <c r="G391" s="43">
        <f>IF(_calc!$E$393="","",IF(LEN(INDEX('Documents'!$O$4:$O$503,_calc!$E$393))=0,"",INDEX('Documents'!$O$4:$O$503,_calc!$E$393)))</f>
        <v/>
      </c>
      <c r="K391" s="43">
        <f>IF(_calc!$E$393="","",IF(LEN(INDEX('Documents'!$M$4:$M$503,_calc!$E$393))=0,"",INDEX('Documents'!$M$4:$M$503,_calc!$E$393)))</f>
        <v/>
      </c>
    </row>
    <row r="392">
      <c r="A392" s="43">
        <f>IF(_calc!$E$394="","",IF(LEN(INDEX('Documents'!$C$4:$C$503,_calc!$E$394))=0,"",INDEX('Documents'!$C$4:$C$503,_calc!$E$394))&amp;" – "&amp;IF(LEN(INDEX('Documents'!$A$4:$A$503,_calc!$E$394))=0,"",INDEX('Documents'!$A$4:$A$503,_calc!$E$394)))</f>
        <v/>
      </c>
      <c r="B392" s="43">
        <f>IF(_calc!$E$394="","",IF(ISNUMBER(INDEX('Documents'!$F$4:$F$503,_calc!$E$394)),TEXT(INDEX('Documents'!$F$4:$F$503,_calc!$E$394),"yyyy-mm-dd"),""))</f>
        <v/>
      </c>
      <c r="C392" s="43">
        <f>IF(_calc!$E$394="","","Contractor document")</f>
        <v/>
      </c>
      <c r="D392" s="43">
        <f>IF(_calc!$E$394="","",IF(ISNUMBER(INDEX('Documents'!$E$4:$E$503,_calc!$E$394)),TEXT(INDEX('Documents'!$E$4:$E$503,_calc!$E$394),"yyyy-mm-dd"),""))</f>
        <v/>
      </c>
      <c r="E392" s="43">
        <f>IF(_calc!$E$394="","",IF(LEN(INDEX('Documents'!$N$4:$N$503,_calc!$E$394))=0,"",INDEX('Documents'!$N$4:$N$503,_calc!$E$394)))</f>
        <v/>
      </c>
      <c r="F392" s="43">
        <f>IF(_calc!$E$394="","",TRIM(IF(LEN(IF(LEN(INDEX('Documents'!$B$4:$B$503,_calc!$E$394))=0,"",INDEX('Documents'!$B$4:$B$503,_calc!$E$394)))=0,"","Trade: "&amp;IF(LEN(INDEX('Documents'!$B$4:$B$503,_calc!$E$394))=0,"",INDEX('Documents'!$B$4:$B$503,_calc!$E$394))&amp;". ")&amp;IF(LEN(IF(LEN(INDEX('Documents'!$D$4:$D$503,_calc!$E$394))=0,"",INDEX('Documents'!$D$4:$D$503,_calc!$E$394)))=0,"","Ref: "&amp;IF(LEN(INDEX('Documents'!$D$4:$D$503,_calc!$E$394))=0,"",INDEX('Documents'!$D$4:$D$503,_calc!$E$394))&amp;". ")&amp;IF(LEN(IF(LEN(INDEX('Documents'!$K$4:$K$503,_calc!$E$394))=0,"",INDEX('Documents'!$K$4:$K$503,_calc!$E$394)))=0,"","On file: "&amp;IF(LEN(INDEX('Documents'!$K$4:$K$503,_calc!$E$394))=0,"",INDEX('Documents'!$K$4:$K$503,_calc!$E$394))&amp;". ")&amp;IF(LEN(IF(LEN(INDEX('Documents'!$L$4:$L$503,_calc!$E$394))=0,"",INDEX('Documents'!$L$4:$L$503,_calc!$E$394)))=0,"","Contractor email: "&amp;IF(LEN(INDEX('Documents'!$L$4:$L$503,_calc!$E$394))=0,"",INDEX('Documents'!$L$4:$L$503,_calc!$E$394))&amp;". ")&amp;IF(LEN(IF(LEN(INDEX('Documents'!$P$4:$P$503,_calc!$E$394))=0,"",INDEX('Documents'!$P$4:$P$503,_calc!$E$394)))=0,"",IF(LEN(INDEX('Documents'!$P$4:$P$503,_calc!$E$394))=0,"",INDEX('Documents'!$P$4:$P$503,_calc!$E$394)))))</f>
        <v/>
      </c>
      <c r="G392" s="43">
        <f>IF(_calc!$E$394="","",IF(LEN(INDEX('Documents'!$O$4:$O$503,_calc!$E$394))=0,"",INDEX('Documents'!$O$4:$O$503,_calc!$E$394)))</f>
        <v/>
      </c>
      <c r="K392" s="43">
        <f>IF(_calc!$E$394="","",IF(LEN(INDEX('Documents'!$M$4:$M$503,_calc!$E$394))=0,"",INDEX('Documents'!$M$4:$M$503,_calc!$E$394)))</f>
        <v/>
      </c>
    </row>
    <row r="393">
      <c r="A393" s="43">
        <f>IF(_calc!$E$395="","",IF(LEN(INDEX('Documents'!$C$4:$C$503,_calc!$E$395))=0,"",INDEX('Documents'!$C$4:$C$503,_calc!$E$395))&amp;" – "&amp;IF(LEN(INDEX('Documents'!$A$4:$A$503,_calc!$E$395))=0,"",INDEX('Documents'!$A$4:$A$503,_calc!$E$395)))</f>
        <v/>
      </c>
      <c r="B393" s="43">
        <f>IF(_calc!$E$395="","",IF(ISNUMBER(INDEX('Documents'!$F$4:$F$503,_calc!$E$395)),TEXT(INDEX('Documents'!$F$4:$F$503,_calc!$E$395),"yyyy-mm-dd"),""))</f>
        <v/>
      </c>
      <c r="C393" s="43">
        <f>IF(_calc!$E$395="","","Contractor document")</f>
        <v/>
      </c>
      <c r="D393" s="43">
        <f>IF(_calc!$E$395="","",IF(ISNUMBER(INDEX('Documents'!$E$4:$E$503,_calc!$E$395)),TEXT(INDEX('Documents'!$E$4:$E$503,_calc!$E$395),"yyyy-mm-dd"),""))</f>
        <v/>
      </c>
      <c r="E393" s="43">
        <f>IF(_calc!$E$395="","",IF(LEN(INDEX('Documents'!$N$4:$N$503,_calc!$E$395))=0,"",INDEX('Documents'!$N$4:$N$503,_calc!$E$395)))</f>
        <v/>
      </c>
      <c r="F393" s="43">
        <f>IF(_calc!$E$395="","",TRIM(IF(LEN(IF(LEN(INDEX('Documents'!$B$4:$B$503,_calc!$E$395))=0,"",INDEX('Documents'!$B$4:$B$503,_calc!$E$395)))=0,"","Trade: "&amp;IF(LEN(INDEX('Documents'!$B$4:$B$503,_calc!$E$395))=0,"",INDEX('Documents'!$B$4:$B$503,_calc!$E$395))&amp;". ")&amp;IF(LEN(IF(LEN(INDEX('Documents'!$D$4:$D$503,_calc!$E$395))=0,"",INDEX('Documents'!$D$4:$D$503,_calc!$E$395)))=0,"","Ref: "&amp;IF(LEN(INDEX('Documents'!$D$4:$D$503,_calc!$E$395))=0,"",INDEX('Documents'!$D$4:$D$503,_calc!$E$395))&amp;". ")&amp;IF(LEN(IF(LEN(INDEX('Documents'!$K$4:$K$503,_calc!$E$395))=0,"",INDEX('Documents'!$K$4:$K$503,_calc!$E$395)))=0,"","On file: "&amp;IF(LEN(INDEX('Documents'!$K$4:$K$503,_calc!$E$395))=0,"",INDEX('Documents'!$K$4:$K$503,_calc!$E$395))&amp;". ")&amp;IF(LEN(IF(LEN(INDEX('Documents'!$L$4:$L$503,_calc!$E$395))=0,"",INDEX('Documents'!$L$4:$L$503,_calc!$E$395)))=0,"","Contractor email: "&amp;IF(LEN(INDEX('Documents'!$L$4:$L$503,_calc!$E$395))=0,"",INDEX('Documents'!$L$4:$L$503,_calc!$E$395))&amp;". ")&amp;IF(LEN(IF(LEN(INDEX('Documents'!$P$4:$P$503,_calc!$E$395))=0,"",INDEX('Documents'!$P$4:$P$503,_calc!$E$395)))=0,"",IF(LEN(INDEX('Documents'!$P$4:$P$503,_calc!$E$395))=0,"",INDEX('Documents'!$P$4:$P$503,_calc!$E$395)))))</f>
        <v/>
      </c>
      <c r="G393" s="43">
        <f>IF(_calc!$E$395="","",IF(LEN(INDEX('Documents'!$O$4:$O$503,_calc!$E$395))=0,"",INDEX('Documents'!$O$4:$O$503,_calc!$E$395)))</f>
        <v/>
      </c>
      <c r="K393" s="43">
        <f>IF(_calc!$E$395="","",IF(LEN(INDEX('Documents'!$M$4:$M$503,_calc!$E$395))=0,"",INDEX('Documents'!$M$4:$M$503,_calc!$E$395)))</f>
        <v/>
      </c>
    </row>
    <row r="394">
      <c r="A394" s="43">
        <f>IF(_calc!$E$396="","",IF(LEN(INDEX('Documents'!$C$4:$C$503,_calc!$E$396))=0,"",INDEX('Documents'!$C$4:$C$503,_calc!$E$396))&amp;" – "&amp;IF(LEN(INDEX('Documents'!$A$4:$A$503,_calc!$E$396))=0,"",INDEX('Documents'!$A$4:$A$503,_calc!$E$396)))</f>
        <v/>
      </c>
      <c r="B394" s="43">
        <f>IF(_calc!$E$396="","",IF(ISNUMBER(INDEX('Documents'!$F$4:$F$503,_calc!$E$396)),TEXT(INDEX('Documents'!$F$4:$F$503,_calc!$E$396),"yyyy-mm-dd"),""))</f>
        <v/>
      </c>
      <c r="C394" s="43">
        <f>IF(_calc!$E$396="","","Contractor document")</f>
        <v/>
      </c>
      <c r="D394" s="43">
        <f>IF(_calc!$E$396="","",IF(ISNUMBER(INDEX('Documents'!$E$4:$E$503,_calc!$E$396)),TEXT(INDEX('Documents'!$E$4:$E$503,_calc!$E$396),"yyyy-mm-dd"),""))</f>
        <v/>
      </c>
      <c r="E394" s="43">
        <f>IF(_calc!$E$396="","",IF(LEN(INDEX('Documents'!$N$4:$N$503,_calc!$E$396))=0,"",INDEX('Documents'!$N$4:$N$503,_calc!$E$396)))</f>
        <v/>
      </c>
      <c r="F394" s="43">
        <f>IF(_calc!$E$396="","",TRIM(IF(LEN(IF(LEN(INDEX('Documents'!$B$4:$B$503,_calc!$E$396))=0,"",INDEX('Documents'!$B$4:$B$503,_calc!$E$396)))=0,"","Trade: "&amp;IF(LEN(INDEX('Documents'!$B$4:$B$503,_calc!$E$396))=0,"",INDEX('Documents'!$B$4:$B$503,_calc!$E$396))&amp;". ")&amp;IF(LEN(IF(LEN(INDEX('Documents'!$D$4:$D$503,_calc!$E$396))=0,"",INDEX('Documents'!$D$4:$D$503,_calc!$E$396)))=0,"","Ref: "&amp;IF(LEN(INDEX('Documents'!$D$4:$D$503,_calc!$E$396))=0,"",INDEX('Documents'!$D$4:$D$503,_calc!$E$396))&amp;". ")&amp;IF(LEN(IF(LEN(INDEX('Documents'!$K$4:$K$503,_calc!$E$396))=0,"",INDEX('Documents'!$K$4:$K$503,_calc!$E$396)))=0,"","On file: "&amp;IF(LEN(INDEX('Documents'!$K$4:$K$503,_calc!$E$396))=0,"",INDEX('Documents'!$K$4:$K$503,_calc!$E$396))&amp;". ")&amp;IF(LEN(IF(LEN(INDEX('Documents'!$L$4:$L$503,_calc!$E$396))=0,"",INDEX('Documents'!$L$4:$L$503,_calc!$E$396)))=0,"","Contractor email: "&amp;IF(LEN(INDEX('Documents'!$L$4:$L$503,_calc!$E$396))=0,"",INDEX('Documents'!$L$4:$L$503,_calc!$E$396))&amp;". ")&amp;IF(LEN(IF(LEN(INDEX('Documents'!$P$4:$P$503,_calc!$E$396))=0,"",INDEX('Documents'!$P$4:$P$503,_calc!$E$396)))=0,"",IF(LEN(INDEX('Documents'!$P$4:$P$503,_calc!$E$396))=0,"",INDEX('Documents'!$P$4:$P$503,_calc!$E$396)))))</f>
        <v/>
      </c>
      <c r="G394" s="43">
        <f>IF(_calc!$E$396="","",IF(LEN(INDEX('Documents'!$O$4:$O$503,_calc!$E$396))=0,"",INDEX('Documents'!$O$4:$O$503,_calc!$E$396)))</f>
        <v/>
      </c>
      <c r="K394" s="43">
        <f>IF(_calc!$E$396="","",IF(LEN(INDEX('Documents'!$M$4:$M$503,_calc!$E$396))=0,"",INDEX('Documents'!$M$4:$M$503,_calc!$E$396)))</f>
        <v/>
      </c>
    </row>
    <row r="395">
      <c r="A395" s="43">
        <f>IF(_calc!$E$397="","",IF(LEN(INDEX('Documents'!$C$4:$C$503,_calc!$E$397))=0,"",INDEX('Documents'!$C$4:$C$503,_calc!$E$397))&amp;" – "&amp;IF(LEN(INDEX('Documents'!$A$4:$A$503,_calc!$E$397))=0,"",INDEX('Documents'!$A$4:$A$503,_calc!$E$397)))</f>
        <v/>
      </c>
      <c r="B395" s="43">
        <f>IF(_calc!$E$397="","",IF(ISNUMBER(INDEX('Documents'!$F$4:$F$503,_calc!$E$397)),TEXT(INDEX('Documents'!$F$4:$F$503,_calc!$E$397),"yyyy-mm-dd"),""))</f>
        <v/>
      </c>
      <c r="C395" s="43">
        <f>IF(_calc!$E$397="","","Contractor document")</f>
        <v/>
      </c>
      <c r="D395" s="43">
        <f>IF(_calc!$E$397="","",IF(ISNUMBER(INDEX('Documents'!$E$4:$E$503,_calc!$E$397)),TEXT(INDEX('Documents'!$E$4:$E$503,_calc!$E$397),"yyyy-mm-dd"),""))</f>
        <v/>
      </c>
      <c r="E395" s="43">
        <f>IF(_calc!$E$397="","",IF(LEN(INDEX('Documents'!$N$4:$N$503,_calc!$E$397))=0,"",INDEX('Documents'!$N$4:$N$503,_calc!$E$397)))</f>
        <v/>
      </c>
      <c r="F395" s="43">
        <f>IF(_calc!$E$397="","",TRIM(IF(LEN(IF(LEN(INDEX('Documents'!$B$4:$B$503,_calc!$E$397))=0,"",INDEX('Documents'!$B$4:$B$503,_calc!$E$397)))=0,"","Trade: "&amp;IF(LEN(INDEX('Documents'!$B$4:$B$503,_calc!$E$397))=0,"",INDEX('Documents'!$B$4:$B$503,_calc!$E$397))&amp;". ")&amp;IF(LEN(IF(LEN(INDEX('Documents'!$D$4:$D$503,_calc!$E$397))=0,"",INDEX('Documents'!$D$4:$D$503,_calc!$E$397)))=0,"","Ref: "&amp;IF(LEN(INDEX('Documents'!$D$4:$D$503,_calc!$E$397))=0,"",INDEX('Documents'!$D$4:$D$503,_calc!$E$397))&amp;". ")&amp;IF(LEN(IF(LEN(INDEX('Documents'!$K$4:$K$503,_calc!$E$397))=0,"",INDEX('Documents'!$K$4:$K$503,_calc!$E$397)))=0,"","On file: "&amp;IF(LEN(INDEX('Documents'!$K$4:$K$503,_calc!$E$397))=0,"",INDEX('Documents'!$K$4:$K$503,_calc!$E$397))&amp;". ")&amp;IF(LEN(IF(LEN(INDEX('Documents'!$L$4:$L$503,_calc!$E$397))=0,"",INDEX('Documents'!$L$4:$L$503,_calc!$E$397)))=0,"","Contractor email: "&amp;IF(LEN(INDEX('Documents'!$L$4:$L$503,_calc!$E$397))=0,"",INDEX('Documents'!$L$4:$L$503,_calc!$E$397))&amp;". ")&amp;IF(LEN(IF(LEN(INDEX('Documents'!$P$4:$P$503,_calc!$E$397))=0,"",INDEX('Documents'!$P$4:$P$503,_calc!$E$397)))=0,"",IF(LEN(INDEX('Documents'!$P$4:$P$503,_calc!$E$397))=0,"",INDEX('Documents'!$P$4:$P$503,_calc!$E$397)))))</f>
        <v/>
      </c>
      <c r="G395" s="43">
        <f>IF(_calc!$E$397="","",IF(LEN(INDEX('Documents'!$O$4:$O$503,_calc!$E$397))=0,"",INDEX('Documents'!$O$4:$O$503,_calc!$E$397)))</f>
        <v/>
      </c>
      <c r="K395" s="43">
        <f>IF(_calc!$E$397="","",IF(LEN(INDEX('Documents'!$M$4:$M$503,_calc!$E$397))=0,"",INDEX('Documents'!$M$4:$M$503,_calc!$E$397)))</f>
        <v/>
      </c>
    </row>
    <row r="396">
      <c r="A396" s="43">
        <f>IF(_calc!$E$398="","",IF(LEN(INDEX('Documents'!$C$4:$C$503,_calc!$E$398))=0,"",INDEX('Documents'!$C$4:$C$503,_calc!$E$398))&amp;" – "&amp;IF(LEN(INDEX('Documents'!$A$4:$A$503,_calc!$E$398))=0,"",INDEX('Documents'!$A$4:$A$503,_calc!$E$398)))</f>
        <v/>
      </c>
      <c r="B396" s="43">
        <f>IF(_calc!$E$398="","",IF(ISNUMBER(INDEX('Documents'!$F$4:$F$503,_calc!$E$398)),TEXT(INDEX('Documents'!$F$4:$F$503,_calc!$E$398),"yyyy-mm-dd"),""))</f>
        <v/>
      </c>
      <c r="C396" s="43">
        <f>IF(_calc!$E$398="","","Contractor document")</f>
        <v/>
      </c>
      <c r="D396" s="43">
        <f>IF(_calc!$E$398="","",IF(ISNUMBER(INDEX('Documents'!$E$4:$E$503,_calc!$E$398)),TEXT(INDEX('Documents'!$E$4:$E$503,_calc!$E$398),"yyyy-mm-dd"),""))</f>
        <v/>
      </c>
      <c r="E396" s="43">
        <f>IF(_calc!$E$398="","",IF(LEN(INDEX('Documents'!$N$4:$N$503,_calc!$E$398))=0,"",INDEX('Documents'!$N$4:$N$503,_calc!$E$398)))</f>
        <v/>
      </c>
      <c r="F396" s="43">
        <f>IF(_calc!$E$398="","",TRIM(IF(LEN(IF(LEN(INDEX('Documents'!$B$4:$B$503,_calc!$E$398))=0,"",INDEX('Documents'!$B$4:$B$503,_calc!$E$398)))=0,"","Trade: "&amp;IF(LEN(INDEX('Documents'!$B$4:$B$503,_calc!$E$398))=0,"",INDEX('Documents'!$B$4:$B$503,_calc!$E$398))&amp;". ")&amp;IF(LEN(IF(LEN(INDEX('Documents'!$D$4:$D$503,_calc!$E$398))=0,"",INDEX('Documents'!$D$4:$D$503,_calc!$E$398)))=0,"","Ref: "&amp;IF(LEN(INDEX('Documents'!$D$4:$D$503,_calc!$E$398))=0,"",INDEX('Documents'!$D$4:$D$503,_calc!$E$398))&amp;". ")&amp;IF(LEN(IF(LEN(INDEX('Documents'!$K$4:$K$503,_calc!$E$398))=0,"",INDEX('Documents'!$K$4:$K$503,_calc!$E$398)))=0,"","On file: "&amp;IF(LEN(INDEX('Documents'!$K$4:$K$503,_calc!$E$398))=0,"",INDEX('Documents'!$K$4:$K$503,_calc!$E$398))&amp;". ")&amp;IF(LEN(IF(LEN(INDEX('Documents'!$L$4:$L$503,_calc!$E$398))=0,"",INDEX('Documents'!$L$4:$L$503,_calc!$E$398)))=0,"","Contractor email: "&amp;IF(LEN(INDEX('Documents'!$L$4:$L$503,_calc!$E$398))=0,"",INDEX('Documents'!$L$4:$L$503,_calc!$E$398))&amp;". ")&amp;IF(LEN(IF(LEN(INDEX('Documents'!$P$4:$P$503,_calc!$E$398))=0,"",INDEX('Documents'!$P$4:$P$503,_calc!$E$398)))=0,"",IF(LEN(INDEX('Documents'!$P$4:$P$503,_calc!$E$398))=0,"",INDEX('Documents'!$P$4:$P$503,_calc!$E$398)))))</f>
        <v/>
      </c>
      <c r="G396" s="43">
        <f>IF(_calc!$E$398="","",IF(LEN(INDEX('Documents'!$O$4:$O$503,_calc!$E$398))=0,"",INDEX('Documents'!$O$4:$O$503,_calc!$E$398)))</f>
        <v/>
      </c>
      <c r="K396" s="43">
        <f>IF(_calc!$E$398="","",IF(LEN(INDEX('Documents'!$M$4:$M$503,_calc!$E$398))=0,"",INDEX('Documents'!$M$4:$M$503,_calc!$E$398)))</f>
        <v/>
      </c>
    </row>
    <row r="397">
      <c r="A397" s="43">
        <f>IF(_calc!$E$399="","",IF(LEN(INDEX('Documents'!$C$4:$C$503,_calc!$E$399))=0,"",INDEX('Documents'!$C$4:$C$503,_calc!$E$399))&amp;" – "&amp;IF(LEN(INDEX('Documents'!$A$4:$A$503,_calc!$E$399))=0,"",INDEX('Documents'!$A$4:$A$503,_calc!$E$399)))</f>
        <v/>
      </c>
      <c r="B397" s="43">
        <f>IF(_calc!$E$399="","",IF(ISNUMBER(INDEX('Documents'!$F$4:$F$503,_calc!$E$399)),TEXT(INDEX('Documents'!$F$4:$F$503,_calc!$E$399),"yyyy-mm-dd"),""))</f>
        <v/>
      </c>
      <c r="C397" s="43">
        <f>IF(_calc!$E$399="","","Contractor document")</f>
        <v/>
      </c>
      <c r="D397" s="43">
        <f>IF(_calc!$E$399="","",IF(ISNUMBER(INDEX('Documents'!$E$4:$E$503,_calc!$E$399)),TEXT(INDEX('Documents'!$E$4:$E$503,_calc!$E$399),"yyyy-mm-dd"),""))</f>
        <v/>
      </c>
      <c r="E397" s="43">
        <f>IF(_calc!$E$399="","",IF(LEN(INDEX('Documents'!$N$4:$N$503,_calc!$E$399))=0,"",INDEX('Documents'!$N$4:$N$503,_calc!$E$399)))</f>
        <v/>
      </c>
      <c r="F397" s="43">
        <f>IF(_calc!$E$399="","",TRIM(IF(LEN(IF(LEN(INDEX('Documents'!$B$4:$B$503,_calc!$E$399))=0,"",INDEX('Documents'!$B$4:$B$503,_calc!$E$399)))=0,"","Trade: "&amp;IF(LEN(INDEX('Documents'!$B$4:$B$503,_calc!$E$399))=0,"",INDEX('Documents'!$B$4:$B$503,_calc!$E$399))&amp;". ")&amp;IF(LEN(IF(LEN(INDEX('Documents'!$D$4:$D$503,_calc!$E$399))=0,"",INDEX('Documents'!$D$4:$D$503,_calc!$E$399)))=0,"","Ref: "&amp;IF(LEN(INDEX('Documents'!$D$4:$D$503,_calc!$E$399))=0,"",INDEX('Documents'!$D$4:$D$503,_calc!$E$399))&amp;". ")&amp;IF(LEN(IF(LEN(INDEX('Documents'!$K$4:$K$503,_calc!$E$399))=0,"",INDEX('Documents'!$K$4:$K$503,_calc!$E$399)))=0,"","On file: "&amp;IF(LEN(INDEX('Documents'!$K$4:$K$503,_calc!$E$399))=0,"",INDEX('Documents'!$K$4:$K$503,_calc!$E$399))&amp;". ")&amp;IF(LEN(IF(LEN(INDEX('Documents'!$L$4:$L$503,_calc!$E$399))=0,"",INDEX('Documents'!$L$4:$L$503,_calc!$E$399)))=0,"","Contractor email: "&amp;IF(LEN(INDEX('Documents'!$L$4:$L$503,_calc!$E$399))=0,"",INDEX('Documents'!$L$4:$L$503,_calc!$E$399))&amp;". ")&amp;IF(LEN(IF(LEN(INDEX('Documents'!$P$4:$P$503,_calc!$E$399))=0,"",INDEX('Documents'!$P$4:$P$503,_calc!$E$399)))=0,"",IF(LEN(INDEX('Documents'!$P$4:$P$503,_calc!$E$399))=0,"",INDEX('Documents'!$P$4:$P$503,_calc!$E$399)))))</f>
        <v/>
      </c>
      <c r="G397" s="43">
        <f>IF(_calc!$E$399="","",IF(LEN(INDEX('Documents'!$O$4:$O$503,_calc!$E$399))=0,"",INDEX('Documents'!$O$4:$O$503,_calc!$E$399)))</f>
        <v/>
      </c>
      <c r="K397" s="43">
        <f>IF(_calc!$E$399="","",IF(LEN(INDEX('Documents'!$M$4:$M$503,_calc!$E$399))=0,"",INDEX('Documents'!$M$4:$M$503,_calc!$E$399)))</f>
        <v/>
      </c>
    </row>
    <row r="398">
      <c r="A398" s="43">
        <f>IF(_calc!$E$400="","",IF(LEN(INDEX('Documents'!$C$4:$C$503,_calc!$E$400))=0,"",INDEX('Documents'!$C$4:$C$503,_calc!$E$400))&amp;" – "&amp;IF(LEN(INDEX('Documents'!$A$4:$A$503,_calc!$E$400))=0,"",INDEX('Documents'!$A$4:$A$503,_calc!$E$400)))</f>
        <v/>
      </c>
      <c r="B398" s="43">
        <f>IF(_calc!$E$400="","",IF(ISNUMBER(INDEX('Documents'!$F$4:$F$503,_calc!$E$400)),TEXT(INDEX('Documents'!$F$4:$F$503,_calc!$E$400),"yyyy-mm-dd"),""))</f>
        <v/>
      </c>
      <c r="C398" s="43">
        <f>IF(_calc!$E$400="","","Contractor document")</f>
        <v/>
      </c>
      <c r="D398" s="43">
        <f>IF(_calc!$E$400="","",IF(ISNUMBER(INDEX('Documents'!$E$4:$E$503,_calc!$E$400)),TEXT(INDEX('Documents'!$E$4:$E$503,_calc!$E$400),"yyyy-mm-dd"),""))</f>
        <v/>
      </c>
      <c r="E398" s="43">
        <f>IF(_calc!$E$400="","",IF(LEN(INDEX('Documents'!$N$4:$N$503,_calc!$E$400))=0,"",INDEX('Documents'!$N$4:$N$503,_calc!$E$400)))</f>
        <v/>
      </c>
      <c r="F398" s="43">
        <f>IF(_calc!$E$400="","",TRIM(IF(LEN(IF(LEN(INDEX('Documents'!$B$4:$B$503,_calc!$E$400))=0,"",INDEX('Documents'!$B$4:$B$503,_calc!$E$400)))=0,"","Trade: "&amp;IF(LEN(INDEX('Documents'!$B$4:$B$503,_calc!$E$400))=0,"",INDEX('Documents'!$B$4:$B$503,_calc!$E$400))&amp;". ")&amp;IF(LEN(IF(LEN(INDEX('Documents'!$D$4:$D$503,_calc!$E$400))=0,"",INDEX('Documents'!$D$4:$D$503,_calc!$E$400)))=0,"","Ref: "&amp;IF(LEN(INDEX('Documents'!$D$4:$D$503,_calc!$E$400))=0,"",INDEX('Documents'!$D$4:$D$503,_calc!$E$400))&amp;". ")&amp;IF(LEN(IF(LEN(INDEX('Documents'!$K$4:$K$503,_calc!$E$400))=0,"",INDEX('Documents'!$K$4:$K$503,_calc!$E$400)))=0,"","On file: "&amp;IF(LEN(INDEX('Documents'!$K$4:$K$503,_calc!$E$400))=0,"",INDEX('Documents'!$K$4:$K$503,_calc!$E$400))&amp;". ")&amp;IF(LEN(IF(LEN(INDEX('Documents'!$L$4:$L$503,_calc!$E$400))=0,"",INDEX('Documents'!$L$4:$L$503,_calc!$E$400)))=0,"","Contractor email: "&amp;IF(LEN(INDEX('Documents'!$L$4:$L$503,_calc!$E$400))=0,"",INDEX('Documents'!$L$4:$L$503,_calc!$E$400))&amp;". ")&amp;IF(LEN(IF(LEN(INDEX('Documents'!$P$4:$P$503,_calc!$E$400))=0,"",INDEX('Documents'!$P$4:$P$503,_calc!$E$400)))=0,"",IF(LEN(INDEX('Documents'!$P$4:$P$503,_calc!$E$400))=0,"",INDEX('Documents'!$P$4:$P$503,_calc!$E$400)))))</f>
        <v/>
      </c>
      <c r="G398" s="43">
        <f>IF(_calc!$E$400="","",IF(LEN(INDEX('Documents'!$O$4:$O$503,_calc!$E$400))=0,"",INDEX('Documents'!$O$4:$O$503,_calc!$E$400)))</f>
        <v/>
      </c>
      <c r="K398" s="43">
        <f>IF(_calc!$E$400="","",IF(LEN(INDEX('Documents'!$M$4:$M$503,_calc!$E$400))=0,"",INDEX('Documents'!$M$4:$M$503,_calc!$E$400)))</f>
        <v/>
      </c>
    </row>
    <row r="399">
      <c r="A399" s="43">
        <f>IF(_calc!$E$401="","",IF(LEN(INDEX('Documents'!$C$4:$C$503,_calc!$E$401))=0,"",INDEX('Documents'!$C$4:$C$503,_calc!$E$401))&amp;" – "&amp;IF(LEN(INDEX('Documents'!$A$4:$A$503,_calc!$E$401))=0,"",INDEX('Documents'!$A$4:$A$503,_calc!$E$401)))</f>
        <v/>
      </c>
      <c r="B399" s="43">
        <f>IF(_calc!$E$401="","",IF(ISNUMBER(INDEX('Documents'!$F$4:$F$503,_calc!$E$401)),TEXT(INDEX('Documents'!$F$4:$F$503,_calc!$E$401),"yyyy-mm-dd"),""))</f>
        <v/>
      </c>
      <c r="C399" s="43">
        <f>IF(_calc!$E$401="","","Contractor document")</f>
        <v/>
      </c>
      <c r="D399" s="43">
        <f>IF(_calc!$E$401="","",IF(ISNUMBER(INDEX('Documents'!$E$4:$E$503,_calc!$E$401)),TEXT(INDEX('Documents'!$E$4:$E$503,_calc!$E$401),"yyyy-mm-dd"),""))</f>
        <v/>
      </c>
      <c r="E399" s="43">
        <f>IF(_calc!$E$401="","",IF(LEN(INDEX('Documents'!$N$4:$N$503,_calc!$E$401))=0,"",INDEX('Documents'!$N$4:$N$503,_calc!$E$401)))</f>
        <v/>
      </c>
      <c r="F399" s="43">
        <f>IF(_calc!$E$401="","",TRIM(IF(LEN(IF(LEN(INDEX('Documents'!$B$4:$B$503,_calc!$E$401))=0,"",INDEX('Documents'!$B$4:$B$503,_calc!$E$401)))=0,"","Trade: "&amp;IF(LEN(INDEX('Documents'!$B$4:$B$503,_calc!$E$401))=0,"",INDEX('Documents'!$B$4:$B$503,_calc!$E$401))&amp;". ")&amp;IF(LEN(IF(LEN(INDEX('Documents'!$D$4:$D$503,_calc!$E$401))=0,"",INDEX('Documents'!$D$4:$D$503,_calc!$E$401)))=0,"","Ref: "&amp;IF(LEN(INDEX('Documents'!$D$4:$D$503,_calc!$E$401))=0,"",INDEX('Documents'!$D$4:$D$503,_calc!$E$401))&amp;". ")&amp;IF(LEN(IF(LEN(INDEX('Documents'!$K$4:$K$503,_calc!$E$401))=0,"",INDEX('Documents'!$K$4:$K$503,_calc!$E$401)))=0,"","On file: "&amp;IF(LEN(INDEX('Documents'!$K$4:$K$503,_calc!$E$401))=0,"",INDEX('Documents'!$K$4:$K$503,_calc!$E$401))&amp;". ")&amp;IF(LEN(IF(LEN(INDEX('Documents'!$L$4:$L$503,_calc!$E$401))=0,"",INDEX('Documents'!$L$4:$L$503,_calc!$E$401)))=0,"","Contractor email: "&amp;IF(LEN(INDEX('Documents'!$L$4:$L$503,_calc!$E$401))=0,"",INDEX('Documents'!$L$4:$L$503,_calc!$E$401))&amp;". ")&amp;IF(LEN(IF(LEN(INDEX('Documents'!$P$4:$P$503,_calc!$E$401))=0,"",INDEX('Documents'!$P$4:$P$503,_calc!$E$401)))=0,"",IF(LEN(INDEX('Documents'!$P$4:$P$503,_calc!$E$401))=0,"",INDEX('Documents'!$P$4:$P$503,_calc!$E$401)))))</f>
        <v/>
      </c>
      <c r="G399" s="43">
        <f>IF(_calc!$E$401="","",IF(LEN(INDEX('Documents'!$O$4:$O$503,_calc!$E$401))=0,"",INDEX('Documents'!$O$4:$O$503,_calc!$E$401)))</f>
        <v/>
      </c>
      <c r="K399" s="43">
        <f>IF(_calc!$E$401="","",IF(LEN(INDEX('Documents'!$M$4:$M$503,_calc!$E$401))=0,"",INDEX('Documents'!$M$4:$M$503,_calc!$E$401)))</f>
        <v/>
      </c>
    </row>
    <row r="400">
      <c r="A400" s="43">
        <f>IF(_calc!$E$402="","",IF(LEN(INDEX('Documents'!$C$4:$C$503,_calc!$E$402))=0,"",INDEX('Documents'!$C$4:$C$503,_calc!$E$402))&amp;" – "&amp;IF(LEN(INDEX('Documents'!$A$4:$A$503,_calc!$E$402))=0,"",INDEX('Documents'!$A$4:$A$503,_calc!$E$402)))</f>
        <v/>
      </c>
      <c r="B400" s="43">
        <f>IF(_calc!$E$402="","",IF(ISNUMBER(INDEX('Documents'!$F$4:$F$503,_calc!$E$402)),TEXT(INDEX('Documents'!$F$4:$F$503,_calc!$E$402),"yyyy-mm-dd"),""))</f>
        <v/>
      </c>
      <c r="C400" s="43">
        <f>IF(_calc!$E$402="","","Contractor document")</f>
        <v/>
      </c>
      <c r="D400" s="43">
        <f>IF(_calc!$E$402="","",IF(ISNUMBER(INDEX('Documents'!$E$4:$E$503,_calc!$E$402)),TEXT(INDEX('Documents'!$E$4:$E$503,_calc!$E$402),"yyyy-mm-dd"),""))</f>
        <v/>
      </c>
      <c r="E400" s="43">
        <f>IF(_calc!$E$402="","",IF(LEN(INDEX('Documents'!$N$4:$N$503,_calc!$E$402))=0,"",INDEX('Documents'!$N$4:$N$503,_calc!$E$402)))</f>
        <v/>
      </c>
      <c r="F400" s="43">
        <f>IF(_calc!$E$402="","",TRIM(IF(LEN(IF(LEN(INDEX('Documents'!$B$4:$B$503,_calc!$E$402))=0,"",INDEX('Documents'!$B$4:$B$503,_calc!$E$402)))=0,"","Trade: "&amp;IF(LEN(INDEX('Documents'!$B$4:$B$503,_calc!$E$402))=0,"",INDEX('Documents'!$B$4:$B$503,_calc!$E$402))&amp;". ")&amp;IF(LEN(IF(LEN(INDEX('Documents'!$D$4:$D$503,_calc!$E$402))=0,"",INDEX('Documents'!$D$4:$D$503,_calc!$E$402)))=0,"","Ref: "&amp;IF(LEN(INDEX('Documents'!$D$4:$D$503,_calc!$E$402))=0,"",INDEX('Documents'!$D$4:$D$503,_calc!$E$402))&amp;". ")&amp;IF(LEN(IF(LEN(INDEX('Documents'!$K$4:$K$503,_calc!$E$402))=0,"",INDEX('Documents'!$K$4:$K$503,_calc!$E$402)))=0,"","On file: "&amp;IF(LEN(INDEX('Documents'!$K$4:$K$503,_calc!$E$402))=0,"",INDEX('Documents'!$K$4:$K$503,_calc!$E$402))&amp;". ")&amp;IF(LEN(IF(LEN(INDEX('Documents'!$L$4:$L$503,_calc!$E$402))=0,"",INDEX('Documents'!$L$4:$L$503,_calc!$E$402)))=0,"","Contractor email: "&amp;IF(LEN(INDEX('Documents'!$L$4:$L$503,_calc!$E$402))=0,"",INDEX('Documents'!$L$4:$L$503,_calc!$E$402))&amp;". ")&amp;IF(LEN(IF(LEN(INDEX('Documents'!$P$4:$P$503,_calc!$E$402))=0,"",INDEX('Documents'!$P$4:$P$503,_calc!$E$402)))=0,"",IF(LEN(INDEX('Documents'!$P$4:$P$503,_calc!$E$402))=0,"",INDEX('Documents'!$P$4:$P$503,_calc!$E$402)))))</f>
        <v/>
      </c>
      <c r="G400" s="43">
        <f>IF(_calc!$E$402="","",IF(LEN(INDEX('Documents'!$O$4:$O$503,_calc!$E$402))=0,"",INDEX('Documents'!$O$4:$O$503,_calc!$E$402)))</f>
        <v/>
      </c>
      <c r="K400" s="43">
        <f>IF(_calc!$E$402="","",IF(LEN(INDEX('Documents'!$M$4:$M$503,_calc!$E$402))=0,"",INDEX('Documents'!$M$4:$M$503,_calc!$E$402)))</f>
        <v/>
      </c>
    </row>
    <row r="401">
      <c r="A401" s="43">
        <f>IF(_calc!$E$403="","",IF(LEN(INDEX('Documents'!$C$4:$C$503,_calc!$E$403))=0,"",INDEX('Documents'!$C$4:$C$503,_calc!$E$403))&amp;" – "&amp;IF(LEN(INDEX('Documents'!$A$4:$A$503,_calc!$E$403))=0,"",INDEX('Documents'!$A$4:$A$503,_calc!$E$403)))</f>
        <v/>
      </c>
      <c r="B401" s="43">
        <f>IF(_calc!$E$403="","",IF(ISNUMBER(INDEX('Documents'!$F$4:$F$503,_calc!$E$403)),TEXT(INDEX('Documents'!$F$4:$F$503,_calc!$E$403),"yyyy-mm-dd"),""))</f>
        <v/>
      </c>
      <c r="C401" s="43">
        <f>IF(_calc!$E$403="","","Contractor document")</f>
        <v/>
      </c>
      <c r="D401" s="43">
        <f>IF(_calc!$E$403="","",IF(ISNUMBER(INDEX('Documents'!$E$4:$E$503,_calc!$E$403)),TEXT(INDEX('Documents'!$E$4:$E$503,_calc!$E$403),"yyyy-mm-dd"),""))</f>
        <v/>
      </c>
      <c r="E401" s="43">
        <f>IF(_calc!$E$403="","",IF(LEN(INDEX('Documents'!$N$4:$N$503,_calc!$E$403))=0,"",INDEX('Documents'!$N$4:$N$503,_calc!$E$403)))</f>
        <v/>
      </c>
      <c r="F401" s="43">
        <f>IF(_calc!$E$403="","",TRIM(IF(LEN(IF(LEN(INDEX('Documents'!$B$4:$B$503,_calc!$E$403))=0,"",INDEX('Documents'!$B$4:$B$503,_calc!$E$403)))=0,"","Trade: "&amp;IF(LEN(INDEX('Documents'!$B$4:$B$503,_calc!$E$403))=0,"",INDEX('Documents'!$B$4:$B$503,_calc!$E$403))&amp;". ")&amp;IF(LEN(IF(LEN(INDEX('Documents'!$D$4:$D$503,_calc!$E$403))=0,"",INDEX('Documents'!$D$4:$D$503,_calc!$E$403)))=0,"","Ref: "&amp;IF(LEN(INDEX('Documents'!$D$4:$D$503,_calc!$E$403))=0,"",INDEX('Documents'!$D$4:$D$503,_calc!$E$403))&amp;". ")&amp;IF(LEN(IF(LEN(INDEX('Documents'!$K$4:$K$503,_calc!$E$403))=0,"",INDEX('Documents'!$K$4:$K$503,_calc!$E$403)))=0,"","On file: "&amp;IF(LEN(INDEX('Documents'!$K$4:$K$503,_calc!$E$403))=0,"",INDEX('Documents'!$K$4:$K$503,_calc!$E$403))&amp;". ")&amp;IF(LEN(IF(LEN(INDEX('Documents'!$L$4:$L$503,_calc!$E$403))=0,"",INDEX('Documents'!$L$4:$L$503,_calc!$E$403)))=0,"","Contractor email: "&amp;IF(LEN(INDEX('Documents'!$L$4:$L$503,_calc!$E$403))=0,"",INDEX('Documents'!$L$4:$L$503,_calc!$E$403))&amp;". ")&amp;IF(LEN(IF(LEN(INDEX('Documents'!$P$4:$P$503,_calc!$E$403))=0,"",INDEX('Documents'!$P$4:$P$503,_calc!$E$403)))=0,"",IF(LEN(INDEX('Documents'!$P$4:$P$503,_calc!$E$403))=0,"",INDEX('Documents'!$P$4:$P$503,_calc!$E$403)))))</f>
        <v/>
      </c>
      <c r="G401" s="43">
        <f>IF(_calc!$E$403="","",IF(LEN(INDEX('Documents'!$O$4:$O$503,_calc!$E$403))=0,"",INDEX('Documents'!$O$4:$O$503,_calc!$E$403)))</f>
        <v/>
      </c>
      <c r="K401" s="43">
        <f>IF(_calc!$E$403="","",IF(LEN(INDEX('Documents'!$M$4:$M$503,_calc!$E$403))=0,"",INDEX('Documents'!$M$4:$M$503,_calc!$E$403)))</f>
        <v/>
      </c>
    </row>
    <row r="402">
      <c r="A402" s="43">
        <f>IF(_calc!$E$404="","",IF(LEN(INDEX('Documents'!$C$4:$C$503,_calc!$E$404))=0,"",INDEX('Documents'!$C$4:$C$503,_calc!$E$404))&amp;" – "&amp;IF(LEN(INDEX('Documents'!$A$4:$A$503,_calc!$E$404))=0,"",INDEX('Documents'!$A$4:$A$503,_calc!$E$404)))</f>
        <v/>
      </c>
      <c r="B402" s="43">
        <f>IF(_calc!$E$404="","",IF(ISNUMBER(INDEX('Documents'!$F$4:$F$503,_calc!$E$404)),TEXT(INDEX('Documents'!$F$4:$F$503,_calc!$E$404),"yyyy-mm-dd"),""))</f>
        <v/>
      </c>
      <c r="C402" s="43">
        <f>IF(_calc!$E$404="","","Contractor document")</f>
        <v/>
      </c>
      <c r="D402" s="43">
        <f>IF(_calc!$E$404="","",IF(ISNUMBER(INDEX('Documents'!$E$4:$E$503,_calc!$E$404)),TEXT(INDEX('Documents'!$E$4:$E$503,_calc!$E$404),"yyyy-mm-dd"),""))</f>
        <v/>
      </c>
      <c r="E402" s="43">
        <f>IF(_calc!$E$404="","",IF(LEN(INDEX('Documents'!$N$4:$N$503,_calc!$E$404))=0,"",INDEX('Documents'!$N$4:$N$503,_calc!$E$404)))</f>
        <v/>
      </c>
      <c r="F402" s="43">
        <f>IF(_calc!$E$404="","",TRIM(IF(LEN(IF(LEN(INDEX('Documents'!$B$4:$B$503,_calc!$E$404))=0,"",INDEX('Documents'!$B$4:$B$503,_calc!$E$404)))=0,"","Trade: "&amp;IF(LEN(INDEX('Documents'!$B$4:$B$503,_calc!$E$404))=0,"",INDEX('Documents'!$B$4:$B$503,_calc!$E$404))&amp;". ")&amp;IF(LEN(IF(LEN(INDEX('Documents'!$D$4:$D$503,_calc!$E$404))=0,"",INDEX('Documents'!$D$4:$D$503,_calc!$E$404)))=0,"","Ref: "&amp;IF(LEN(INDEX('Documents'!$D$4:$D$503,_calc!$E$404))=0,"",INDEX('Documents'!$D$4:$D$503,_calc!$E$404))&amp;". ")&amp;IF(LEN(IF(LEN(INDEX('Documents'!$K$4:$K$503,_calc!$E$404))=0,"",INDEX('Documents'!$K$4:$K$503,_calc!$E$404)))=0,"","On file: "&amp;IF(LEN(INDEX('Documents'!$K$4:$K$503,_calc!$E$404))=0,"",INDEX('Documents'!$K$4:$K$503,_calc!$E$404))&amp;". ")&amp;IF(LEN(IF(LEN(INDEX('Documents'!$L$4:$L$503,_calc!$E$404))=0,"",INDEX('Documents'!$L$4:$L$503,_calc!$E$404)))=0,"","Contractor email: "&amp;IF(LEN(INDEX('Documents'!$L$4:$L$503,_calc!$E$404))=0,"",INDEX('Documents'!$L$4:$L$503,_calc!$E$404))&amp;". ")&amp;IF(LEN(IF(LEN(INDEX('Documents'!$P$4:$P$503,_calc!$E$404))=0,"",INDEX('Documents'!$P$4:$P$503,_calc!$E$404)))=0,"",IF(LEN(INDEX('Documents'!$P$4:$P$503,_calc!$E$404))=0,"",INDEX('Documents'!$P$4:$P$503,_calc!$E$404)))))</f>
        <v/>
      </c>
      <c r="G402" s="43">
        <f>IF(_calc!$E$404="","",IF(LEN(INDEX('Documents'!$O$4:$O$503,_calc!$E$404))=0,"",INDEX('Documents'!$O$4:$O$503,_calc!$E$404)))</f>
        <v/>
      </c>
      <c r="K402" s="43">
        <f>IF(_calc!$E$404="","",IF(LEN(INDEX('Documents'!$M$4:$M$503,_calc!$E$404))=0,"",INDEX('Documents'!$M$4:$M$503,_calc!$E$404)))</f>
        <v/>
      </c>
    </row>
    <row r="403">
      <c r="A403" s="43">
        <f>IF(_calc!$E$405="","",IF(LEN(INDEX('Documents'!$C$4:$C$503,_calc!$E$405))=0,"",INDEX('Documents'!$C$4:$C$503,_calc!$E$405))&amp;" – "&amp;IF(LEN(INDEX('Documents'!$A$4:$A$503,_calc!$E$405))=0,"",INDEX('Documents'!$A$4:$A$503,_calc!$E$405)))</f>
        <v/>
      </c>
      <c r="B403" s="43">
        <f>IF(_calc!$E$405="","",IF(ISNUMBER(INDEX('Documents'!$F$4:$F$503,_calc!$E$405)),TEXT(INDEX('Documents'!$F$4:$F$503,_calc!$E$405),"yyyy-mm-dd"),""))</f>
        <v/>
      </c>
      <c r="C403" s="43">
        <f>IF(_calc!$E$405="","","Contractor document")</f>
        <v/>
      </c>
      <c r="D403" s="43">
        <f>IF(_calc!$E$405="","",IF(ISNUMBER(INDEX('Documents'!$E$4:$E$503,_calc!$E$405)),TEXT(INDEX('Documents'!$E$4:$E$503,_calc!$E$405),"yyyy-mm-dd"),""))</f>
        <v/>
      </c>
      <c r="E403" s="43">
        <f>IF(_calc!$E$405="","",IF(LEN(INDEX('Documents'!$N$4:$N$503,_calc!$E$405))=0,"",INDEX('Documents'!$N$4:$N$503,_calc!$E$405)))</f>
        <v/>
      </c>
      <c r="F403" s="43">
        <f>IF(_calc!$E$405="","",TRIM(IF(LEN(IF(LEN(INDEX('Documents'!$B$4:$B$503,_calc!$E$405))=0,"",INDEX('Documents'!$B$4:$B$503,_calc!$E$405)))=0,"","Trade: "&amp;IF(LEN(INDEX('Documents'!$B$4:$B$503,_calc!$E$405))=0,"",INDEX('Documents'!$B$4:$B$503,_calc!$E$405))&amp;". ")&amp;IF(LEN(IF(LEN(INDEX('Documents'!$D$4:$D$503,_calc!$E$405))=0,"",INDEX('Documents'!$D$4:$D$503,_calc!$E$405)))=0,"","Ref: "&amp;IF(LEN(INDEX('Documents'!$D$4:$D$503,_calc!$E$405))=0,"",INDEX('Documents'!$D$4:$D$503,_calc!$E$405))&amp;". ")&amp;IF(LEN(IF(LEN(INDEX('Documents'!$K$4:$K$503,_calc!$E$405))=0,"",INDEX('Documents'!$K$4:$K$503,_calc!$E$405)))=0,"","On file: "&amp;IF(LEN(INDEX('Documents'!$K$4:$K$503,_calc!$E$405))=0,"",INDEX('Documents'!$K$4:$K$503,_calc!$E$405))&amp;". ")&amp;IF(LEN(IF(LEN(INDEX('Documents'!$L$4:$L$503,_calc!$E$405))=0,"",INDEX('Documents'!$L$4:$L$503,_calc!$E$405)))=0,"","Contractor email: "&amp;IF(LEN(INDEX('Documents'!$L$4:$L$503,_calc!$E$405))=0,"",INDEX('Documents'!$L$4:$L$503,_calc!$E$405))&amp;". ")&amp;IF(LEN(IF(LEN(INDEX('Documents'!$P$4:$P$503,_calc!$E$405))=0,"",INDEX('Documents'!$P$4:$P$503,_calc!$E$405)))=0,"",IF(LEN(INDEX('Documents'!$P$4:$P$503,_calc!$E$405))=0,"",INDEX('Documents'!$P$4:$P$503,_calc!$E$405)))))</f>
        <v/>
      </c>
      <c r="G403" s="43">
        <f>IF(_calc!$E$405="","",IF(LEN(INDEX('Documents'!$O$4:$O$503,_calc!$E$405))=0,"",INDEX('Documents'!$O$4:$O$503,_calc!$E$405)))</f>
        <v/>
      </c>
      <c r="K403" s="43">
        <f>IF(_calc!$E$405="","",IF(LEN(INDEX('Documents'!$M$4:$M$503,_calc!$E$405))=0,"",INDEX('Documents'!$M$4:$M$503,_calc!$E$405)))</f>
        <v/>
      </c>
    </row>
    <row r="404">
      <c r="A404" s="43">
        <f>IF(_calc!$E$406="","",IF(LEN(INDEX('Documents'!$C$4:$C$503,_calc!$E$406))=0,"",INDEX('Documents'!$C$4:$C$503,_calc!$E$406))&amp;" – "&amp;IF(LEN(INDEX('Documents'!$A$4:$A$503,_calc!$E$406))=0,"",INDEX('Documents'!$A$4:$A$503,_calc!$E$406)))</f>
        <v/>
      </c>
      <c r="B404" s="43">
        <f>IF(_calc!$E$406="","",IF(ISNUMBER(INDEX('Documents'!$F$4:$F$503,_calc!$E$406)),TEXT(INDEX('Documents'!$F$4:$F$503,_calc!$E$406),"yyyy-mm-dd"),""))</f>
        <v/>
      </c>
      <c r="C404" s="43">
        <f>IF(_calc!$E$406="","","Contractor document")</f>
        <v/>
      </c>
      <c r="D404" s="43">
        <f>IF(_calc!$E$406="","",IF(ISNUMBER(INDEX('Documents'!$E$4:$E$503,_calc!$E$406)),TEXT(INDEX('Documents'!$E$4:$E$503,_calc!$E$406),"yyyy-mm-dd"),""))</f>
        <v/>
      </c>
      <c r="E404" s="43">
        <f>IF(_calc!$E$406="","",IF(LEN(INDEX('Documents'!$N$4:$N$503,_calc!$E$406))=0,"",INDEX('Documents'!$N$4:$N$503,_calc!$E$406)))</f>
        <v/>
      </c>
      <c r="F404" s="43">
        <f>IF(_calc!$E$406="","",TRIM(IF(LEN(IF(LEN(INDEX('Documents'!$B$4:$B$503,_calc!$E$406))=0,"",INDEX('Documents'!$B$4:$B$503,_calc!$E$406)))=0,"","Trade: "&amp;IF(LEN(INDEX('Documents'!$B$4:$B$503,_calc!$E$406))=0,"",INDEX('Documents'!$B$4:$B$503,_calc!$E$406))&amp;". ")&amp;IF(LEN(IF(LEN(INDEX('Documents'!$D$4:$D$503,_calc!$E$406))=0,"",INDEX('Documents'!$D$4:$D$503,_calc!$E$406)))=0,"","Ref: "&amp;IF(LEN(INDEX('Documents'!$D$4:$D$503,_calc!$E$406))=0,"",INDEX('Documents'!$D$4:$D$503,_calc!$E$406))&amp;". ")&amp;IF(LEN(IF(LEN(INDEX('Documents'!$K$4:$K$503,_calc!$E$406))=0,"",INDEX('Documents'!$K$4:$K$503,_calc!$E$406)))=0,"","On file: "&amp;IF(LEN(INDEX('Documents'!$K$4:$K$503,_calc!$E$406))=0,"",INDEX('Documents'!$K$4:$K$503,_calc!$E$406))&amp;". ")&amp;IF(LEN(IF(LEN(INDEX('Documents'!$L$4:$L$503,_calc!$E$406))=0,"",INDEX('Documents'!$L$4:$L$503,_calc!$E$406)))=0,"","Contractor email: "&amp;IF(LEN(INDEX('Documents'!$L$4:$L$503,_calc!$E$406))=0,"",INDEX('Documents'!$L$4:$L$503,_calc!$E$406))&amp;". ")&amp;IF(LEN(IF(LEN(INDEX('Documents'!$P$4:$P$503,_calc!$E$406))=0,"",INDEX('Documents'!$P$4:$P$503,_calc!$E$406)))=0,"",IF(LEN(INDEX('Documents'!$P$4:$P$503,_calc!$E$406))=0,"",INDEX('Documents'!$P$4:$P$503,_calc!$E$406)))))</f>
        <v/>
      </c>
      <c r="G404" s="43">
        <f>IF(_calc!$E$406="","",IF(LEN(INDEX('Documents'!$O$4:$O$503,_calc!$E$406))=0,"",INDEX('Documents'!$O$4:$O$503,_calc!$E$406)))</f>
        <v/>
      </c>
      <c r="K404" s="43">
        <f>IF(_calc!$E$406="","",IF(LEN(INDEX('Documents'!$M$4:$M$503,_calc!$E$406))=0,"",INDEX('Documents'!$M$4:$M$503,_calc!$E$406)))</f>
        <v/>
      </c>
    </row>
    <row r="405">
      <c r="A405" s="43">
        <f>IF(_calc!$E$407="","",IF(LEN(INDEX('Documents'!$C$4:$C$503,_calc!$E$407))=0,"",INDEX('Documents'!$C$4:$C$503,_calc!$E$407))&amp;" – "&amp;IF(LEN(INDEX('Documents'!$A$4:$A$503,_calc!$E$407))=0,"",INDEX('Documents'!$A$4:$A$503,_calc!$E$407)))</f>
        <v/>
      </c>
      <c r="B405" s="43">
        <f>IF(_calc!$E$407="","",IF(ISNUMBER(INDEX('Documents'!$F$4:$F$503,_calc!$E$407)),TEXT(INDEX('Documents'!$F$4:$F$503,_calc!$E$407),"yyyy-mm-dd"),""))</f>
        <v/>
      </c>
      <c r="C405" s="43">
        <f>IF(_calc!$E$407="","","Contractor document")</f>
        <v/>
      </c>
      <c r="D405" s="43">
        <f>IF(_calc!$E$407="","",IF(ISNUMBER(INDEX('Documents'!$E$4:$E$503,_calc!$E$407)),TEXT(INDEX('Documents'!$E$4:$E$503,_calc!$E$407),"yyyy-mm-dd"),""))</f>
        <v/>
      </c>
      <c r="E405" s="43">
        <f>IF(_calc!$E$407="","",IF(LEN(INDEX('Documents'!$N$4:$N$503,_calc!$E$407))=0,"",INDEX('Documents'!$N$4:$N$503,_calc!$E$407)))</f>
        <v/>
      </c>
      <c r="F405" s="43">
        <f>IF(_calc!$E$407="","",TRIM(IF(LEN(IF(LEN(INDEX('Documents'!$B$4:$B$503,_calc!$E$407))=0,"",INDEX('Documents'!$B$4:$B$503,_calc!$E$407)))=0,"","Trade: "&amp;IF(LEN(INDEX('Documents'!$B$4:$B$503,_calc!$E$407))=0,"",INDEX('Documents'!$B$4:$B$503,_calc!$E$407))&amp;". ")&amp;IF(LEN(IF(LEN(INDEX('Documents'!$D$4:$D$503,_calc!$E$407))=0,"",INDEX('Documents'!$D$4:$D$503,_calc!$E$407)))=0,"","Ref: "&amp;IF(LEN(INDEX('Documents'!$D$4:$D$503,_calc!$E$407))=0,"",INDEX('Documents'!$D$4:$D$503,_calc!$E$407))&amp;". ")&amp;IF(LEN(IF(LEN(INDEX('Documents'!$K$4:$K$503,_calc!$E$407))=0,"",INDEX('Documents'!$K$4:$K$503,_calc!$E$407)))=0,"","On file: "&amp;IF(LEN(INDEX('Documents'!$K$4:$K$503,_calc!$E$407))=0,"",INDEX('Documents'!$K$4:$K$503,_calc!$E$407))&amp;". ")&amp;IF(LEN(IF(LEN(INDEX('Documents'!$L$4:$L$503,_calc!$E$407))=0,"",INDEX('Documents'!$L$4:$L$503,_calc!$E$407)))=0,"","Contractor email: "&amp;IF(LEN(INDEX('Documents'!$L$4:$L$503,_calc!$E$407))=0,"",INDEX('Documents'!$L$4:$L$503,_calc!$E$407))&amp;". ")&amp;IF(LEN(IF(LEN(INDEX('Documents'!$P$4:$P$503,_calc!$E$407))=0,"",INDEX('Documents'!$P$4:$P$503,_calc!$E$407)))=0,"",IF(LEN(INDEX('Documents'!$P$4:$P$503,_calc!$E$407))=0,"",INDEX('Documents'!$P$4:$P$503,_calc!$E$407)))))</f>
        <v/>
      </c>
      <c r="G405" s="43">
        <f>IF(_calc!$E$407="","",IF(LEN(INDEX('Documents'!$O$4:$O$503,_calc!$E$407))=0,"",INDEX('Documents'!$O$4:$O$503,_calc!$E$407)))</f>
        <v/>
      </c>
      <c r="K405" s="43">
        <f>IF(_calc!$E$407="","",IF(LEN(INDEX('Documents'!$M$4:$M$503,_calc!$E$407))=0,"",INDEX('Documents'!$M$4:$M$503,_calc!$E$407)))</f>
        <v/>
      </c>
    </row>
    <row r="406">
      <c r="A406" s="43">
        <f>IF(_calc!$E$408="","",IF(LEN(INDEX('Documents'!$C$4:$C$503,_calc!$E$408))=0,"",INDEX('Documents'!$C$4:$C$503,_calc!$E$408))&amp;" – "&amp;IF(LEN(INDEX('Documents'!$A$4:$A$503,_calc!$E$408))=0,"",INDEX('Documents'!$A$4:$A$503,_calc!$E$408)))</f>
        <v/>
      </c>
      <c r="B406" s="43">
        <f>IF(_calc!$E$408="","",IF(ISNUMBER(INDEX('Documents'!$F$4:$F$503,_calc!$E$408)),TEXT(INDEX('Documents'!$F$4:$F$503,_calc!$E$408),"yyyy-mm-dd"),""))</f>
        <v/>
      </c>
      <c r="C406" s="43">
        <f>IF(_calc!$E$408="","","Contractor document")</f>
        <v/>
      </c>
      <c r="D406" s="43">
        <f>IF(_calc!$E$408="","",IF(ISNUMBER(INDEX('Documents'!$E$4:$E$503,_calc!$E$408)),TEXT(INDEX('Documents'!$E$4:$E$503,_calc!$E$408),"yyyy-mm-dd"),""))</f>
        <v/>
      </c>
      <c r="E406" s="43">
        <f>IF(_calc!$E$408="","",IF(LEN(INDEX('Documents'!$N$4:$N$503,_calc!$E$408))=0,"",INDEX('Documents'!$N$4:$N$503,_calc!$E$408)))</f>
        <v/>
      </c>
      <c r="F406" s="43">
        <f>IF(_calc!$E$408="","",TRIM(IF(LEN(IF(LEN(INDEX('Documents'!$B$4:$B$503,_calc!$E$408))=0,"",INDEX('Documents'!$B$4:$B$503,_calc!$E$408)))=0,"","Trade: "&amp;IF(LEN(INDEX('Documents'!$B$4:$B$503,_calc!$E$408))=0,"",INDEX('Documents'!$B$4:$B$503,_calc!$E$408))&amp;". ")&amp;IF(LEN(IF(LEN(INDEX('Documents'!$D$4:$D$503,_calc!$E$408))=0,"",INDEX('Documents'!$D$4:$D$503,_calc!$E$408)))=0,"","Ref: "&amp;IF(LEN(INDEX('Documents'!$D$4:$D$503,_calc!$E$408))=0,"",INDEX('Documents'!$D$4:$D$503,_calc!$E$408))&amp;". ")&amp;IF(LEN(IF(LEN(INDEX('Documents'!$K$4:$K$503,_calc!$E$408))=0,"",INDEX('Documents'!$K$4:$K$503,_calc!$E$408)))=0,"","On file: "&amp;IF(LEN(INDEX('Documents'!$K$4:$K$503,_calc!$E$408))=0,"",INDEX('Documents'!$K$4:$K$503,_calc!$E$408))&amp;". ")&amp;IF(LEN(IF(LEN(INDEX('Documents'!$L$4:$L$503,_calc!$E$408))=0,"",INDEX('Documents'!$L$4:$L$503,_calc!$E$408)))=0,"","Contractor email: "&amp;IF(LEN(INDEX('Documents'!$L$4:$L$503,_calc!$E$408))=0,"",INDEX('Documents'!$L$4:$L$503,_calc!$E$408))&amp;". ")&amp;IF(LEN(IF(LEN(INDEX('Documents'!$P$4:$P$503,_calc!$E$408))=0,"",INDEX('Documents'!$P$4:$P$503,_calc!$E$408)))=0,"",IF(LEN(INDEX('Documents'!$P$4:$P$503,_calc!$E$408))=0,"",INDEX('Documents'!$P$4:$P$503,_calc!$E$408)))))</f>
        <v/>
      </c>
      <c r="G406" s="43">
        <f>IF(_calc!$E$408="","",IF(LEN(INDEX('Documents'!$O$4:$O$503,_calc!$E$408))=0,"",INDEX('Documents'!$O$4:$O$503,_calc!$E$408)))</f>
        <v/>
      </c>
      <c r="K406" s="43">
        <f>IF(_calc!$E$408="","",IF(LEN(INDEX('Documents'!$M$4:$M$503,_calc!$E$408))=0,"",INDEX('Documents'!$M$4:$M$503,_calc!$E$408)))</f>
        <v/>
      </c>
    </row>
    <row r="407">
      <c r="A407" s="43">
        <f>IF(_calc!$E$409="","",IF(LEN(INDEX('Documents'!$C$4:$C$503,_calc!$E$409))=0,"",INDEX('Documents'!$C$4:$C$503,_calc!$E$409))&amp;" – "&amp;IF(LEN(INDEX('Documents'!$A$4:$A$503,_calc!$E$409))=0,"",INDEX('Documents'!$A$4:$A$503,_calc!$E$409)))</f>
        <v/>
      </c>
      <c r="B407" s="43">
        <f>IF(_calc!$E$409="","",IF(ISNUMBER(INDEX('Documents'!$F$4:$F$503,_calc!$E$409)),TEXT(INDEX('Documents'!$F$4:$F$503,_calc!$E$409),"yyyy-mm-dd"),""))</f>
        <v/>
      </c>
      <c r="C407" s="43">
        <f>IF(_calc!$E$409="","","Contractor document")</f>
        <v/>
      </c>
      <c r="D407" s="43">
        <f>IF(_calc!$E$409="","",IF(ISNUMBER(INDEX('Documents'!$E$4:$E$503,_calc!$E$409)),TEXT(INDEX('Documents'!$E$4:$E$503,_calc!$E$409),"yyyy-mm-dd"),""))</f>
        <v/>
      </c>
      <c r="E407" s="43">
        <f>IF(_calc!$E$409="","",IF(LEN(INDEX('Documents'!$N$4:$N$503,_calc!$E$409))=0,"",INDEX('Documents'!$N$4:$N$503,_calc!$E$409)))</f>
        <v/>
      </c>
      <c r="F407" s="43">
        <f>IF(_calc!$E$409="","",TRIM(IF(LEN(IF(LEN(INDEX('Documents'!$B$4:$B$503,_calc!$E$409))=0,"",INDEX('Documents'!$B$4:$B$503,_calc!$E$409)))=0,"","Trade: "&amp;IF(LEN(INDEX('Documents'!$B$4:$B$503,_calc!$E$409))=0,"",INDEX('Documents'!$B$4:$B$503,_calc!$E$409))&amp;". ")&amp;IF(LEN(IF(LEN(INDEX('Documents'!$D$4:$D$503,_calc!$E$409))=0,"",INDEX('Documents'!$D$4:$D$503,_calc!$E$409)))=0,"","Ref: "&amp;IF(LEN(INDEX('Documents'!$D$4:$D$503,_calc!$E$409))=0,"",INDEX('Documents'!$D$4:$D$503,_calc!$E$409))&amp;". ")&amp;IF(LEN(IF(LEN(INDEX('Documents'!$K$4:$K$503,_calc!$E$409))=0,"",INDEX('Documents'!$K$4:$K$503,_calc!$E$409)))=0,"","On file: "&amp;IF(LEN(INDEX('Documents'!$K$4:$K$503,_calc!$E$409))=0,"",INDEX('Documents'!$K$4:$K$503,_calc!$E$409))&amp;". ")&amp;IF(LEN(IF(LEN(INDEX('Documents'!$L$4:$L$503,_calc!$E$409))=0,"",INDEX('Documents'!$L$4:$L$503,_calc!$E$409)))=0,"","Contractor email: "&amp;IF(LEN(INDEX('Documents'!$L$4:$L$503,_calc!$E$409))=0,"",INDEX('Documents'!$L$4:$L$503,_calc!$E$409))&amp;". ")&amp;IF(LEN(IF(LEN(INDEX('Documents'!$P$4:$P$503,_calc!$E$409))=0,"",INDEX('Documents'!$P$4:$P$503,_calc!$E$409)))=0,"",IF(LEN(INDEX('Documents'!$P$4:$P$503,_calc!$E$409))=0,"",INDEX('Documents'!$P$4:$P$503,_calc!$E$409)))))</f>
        <v/>
      </c>
      <c r="G407" s="43">
        <f>IF(_calc!$E$409="","",IF(LEN(INDEX('Documents'!$O$4:$O$503,_calc!$E$409))=0,"",INDEX('Documents'!$O$4:$O$503,_calc!$E$409)))</f>
        <v/>
      </c>
      <c r="K407" s="43">
        <f>IF(_calc!$E$409="","",IF(LEN(INDEX('Documents'!$M$4:$M$503,_calc!$E$409))=0,"",INDEX('Documents'!$M$4:$M$503,_calc!$E$409)))</f>
        <v/>
      </c>
    </row>
    <row r="408">
      <c r="A408" s="43">
        <f>IF(_calc!$E$410="","",IF(LEN(INDEX('Documents'!$C$4:$C$503,_calc!$E$410))=0,"",INDEX('Documents'!$C$4:$C$503,_calc!$E$410))&amp;" – "&amp;IF(LEN(INDEX('Documents'!$A$4:$A$503,_calc!$E$410))=0,"",INDEX('Documents'!$A$4:$A$503,_calc!$E$410)))</f>
        <v/>
      </c>
      <c r="B408" s="43">
        <f>IF(_calc!$E$410="","",IF(ISNUMBER(INDEX('Documents'!$F$4:$F$503,_calc!$E$410)),TEXT(INDEX('Documents'!$F$4:$F$503,_calc!$E$410),"yyyy-mm-dd"),""))</f>
        <v/>
      </c>
      <c r="C408" s="43">
        <f>IF(_calc!$E$410="","","Contractor document")</f>
        <v/>
      </c>
      <c r="D408" s="43">
        <f>IF(_calc!$E$410="","",IF(ISNUMBER(INDEX('Documents'!$E$4:$E$503,_calc!$E$410)),TEXT(INDEX('Documents'!$E$4:$E$503,_calc!$E$410),"yyyy-mm-dd"),""))</f>
        <v/>
      </c>
      <c r="E408" s="43">
        <f>IF(_calc!$E$410="","",IF(LEN(INDEX('Documents'!$N$4:$N$503,_calc!$E$410))=0,"",INDEX('Documents'!$N$4:$N$503,_calc!$E$410)))</f>
        <v/>
      </c>
      <c r="F408" s="43">
        <f>IF(_calc!$E$410="","",TRIM(IF(LEN(IF(LEN(INDEX('Documents'!$B$4:$B$503,_calc!$E$410))=0,"",INDEX('Documents'!$B$4:$B$503,_calc!$E$410)))=0,"","Trade: "&amp;IF(LEN(INDEX('Documents'!$B$4:$B$503,_calc!$E$410))=0,"",INDEX('Documents'!$B$4:$B$503,_calc!$E$410))&amp;". ")&amp;IF(LEN(IF(LEN(INDEX('Documents'!$D$4:$D$503,_calc!$E$410))=0,"",INDEX('Documents'!$D$4:$D$503,_calc!$E$410)))=0,"","Ref: "&amp;IF(LEN(INDEX('Documents'!$D$4:$D$503,_calc!$E$410))=0,"",INDEX('Documents'!$D$4:$D$503,_calc!$E$410))&amp;". ")&amp;IF(LEN(IF(LEN(INDEX('Documents'!$K$4:$K$503,_calc!$E$410))=0,"",INDEX('Documents'!$K$4:$K$503,_calc!$E$410)))=0,"","On file: "&amp;IF(LEN(INDEX('Documents'!$K$4:$K$503,_calc!$E$410))=0,"",INDEX('Documents'!$K$4:$K$503,_calc!$E$410))&amp;". ")&amp;IF(LEN(IF(LEN(INDEX('Documents'!$L$4:$L$503,_calc!$E$410))=0,"",INDEX('Documents'!$L$4:$L$503,_calc!$E$410)))=0,"","Contractor email: "&amp;IF(LEN(INDEX('Documents'!$L$4:$L$503,_calc!$E$410))=0,"",INDEX('Documents'!$L$4:$L$503,_calc!$E$410))&amp;". ")&amp;IF(LEN(IF(LEN(INDEX('Documents'!$P$4:$P$503,_calc!$E$410))=0,"",INDEX('Documents'!$P$4:$P$503,_calc!$E$410)))=0,"",IF(LEN(INDEX('Documents'!$P$4:$P$503,_calc!$E$410))=0,"",INDEX('Documents'!$P$4:$P$503,_calc!$E$410)))))</f>
        <v/>
      </c>
      <c r="G408" s="43">
        <f>IF(_calc!$E$410="","",IF(LEN(INDEX('Documents'!$O$4:$O$503,_calc!$E$410))=0,"",INDEX('Documents'!$O$4:$O$503,_calc!$E$410)))</f>
        <v/>
      </c>
      <c r="K408" s="43">
        <f>IF(_calc!$E$410="","",IF(LEN(INDEX('Documents'!$M$4:$M$503,_calc!$E$410))=0,"",INDEX('Documents'!$M$4:$M$503,_calc!$E$410)))</f>
        <v/>
      </c>
    </row>
    <row r="409">
      <c r="A409" s="43">
        <f>IF(_calc!$E$411="","",IF(LEN(INDEX('Documents'!$C$4:$C$503,_calc!$E$411))=0,"",INDEX('Documents'!$C$4:$C$503,_calc!$E$411))&amp;" – "&amp;IF(LEN(INDEX('Documents'!$A$4:$A$503,_calc!$E$411))=0,"",INDEX('Documents'!$A$4:$A$503,_calc!$E$411)))</f>
        <v/>
      </c>
      <c r="B409" s="43">
        <f>IF(_calc!$E$411="","",IF(ISNUMBER(INDEX('Documents'!$F$4:$F$503,_calc!$E$411)),TEXT(INDEX('Documents'!$F$4:$F$503,_calc!$E$411),"yyyy-mm-dd"),""))</f>
        <v/>
      </c>
      <c r="C409" s="43">
        <f>IF(_calc!$E$411="","","Contractor document")</f>
        <v/>
      </c>
      <c r="D409" s="43">
        <f>IF(_calc!$E$411="","",IF(ISNUMBER(INDEX('Documents'!$E$4:$E$503,_calc!$E$411)),TEXT(INDEX('Documents'!$E$4:$E$503,_calc!$E$411),"yyyy-mm-dd"),""))</f>
        <v/>
      </c>
      <c r="E409" s="43">
        <f>IF(_calc!$E$411="","",IF(LEN(INDEX('Documents'!$N$4:$N$503,_calc!$E$411))=0,"",INDEX('Documents'!$N$4:$N$503,_calc!$E$411)))</f>
        <v/>
      </c>
      <c r="F409" s="43">
        <f>IF(_calc!$E$411="","",TRIM(IF(LEN(IF(LEN(INDEX('Documents'!$B$4:$B$503,_calc!$E$411))=0,"",INDEX('Documents'!$B$4:$B$503,_calc!$E$411)))=0,"","Trade: "&amp;IF(LEN(INDEX('Documents'!$B$4:$B$503,_calc!$E$411))=0,"",INDEX('Documents'!$B$4:$B$503,_calc!$E$411))&amp;". ")&amp;IF(LEN(IF(LEN(INDEX('Documents'!$D$4:$D$503,_calc!$E$411))=0,"",INDEX('Documents'!$D$4:$D$503,_calc!$E$411)))=0,"","Ref: "&amp;IF(LEN(INDEX('Documents'!$D$4:$D$503,_calc!$E$411))=0,"",INDEX('Documents'!$D$4:$D$503,_calc!$E$411))&amp;". ")&amp;IF(LEN(IF(LEN(INDEX('Documents'!$K$4:$K$503,_calc!$E$411))=0,"",INDEX('Documents'!$K$4:$K$503,_calc!$E$411)))=0,"","On file: "&amp;IF(LEN(INDEX('Documents'!$K$4:$K$503,_calc!$E$411))=0,"",INDEX('Documents'!$K$4:$K$503,_calc!$E$411))&amp;". ")&amp;IF(LEN(IF(LEN(INDEX('Documents'!$L$4:$L$503,_calc!$E$411))=0,"",INDEX('Documents'!$L$4:$L$503,_calc!$E$411)))=0,"","Contractor email: "&amp;IF(LEN(INDEX('Documents'!$L$4:$L$503,_calc!$E$411))=0,"",INDEX('Documents'!$L$4:$L$503,_calc!$E$411))&amp;". ")&amp;IF(LEN(IF(LEN(INDEX('Documents'!$P$4:$P$503,_calc!$E$411))=0,"",INDEX('Documents'!$P$4:$P$503,_calc!$E$411)))=0,"",IF(LEN(INDEX('Documents'!$P$4:$P$503,_calc!$E$411))=0,"",INDEX('Documents'!$P$4:$P$503,_calc!$E$411)))))</f>
        <v/>
      </c>
      <c r="G409" s="43">
        <f>IF(_calc!$E$411="","",IF(LEN(INDEX('Documents'!$O$4:$O$503,_calc!$E$411))=0,"",INDEX('Documents'!$O$4:$O$503,_calc!$E$411)))</f>
        <v/>
      </c>
      <c r="K409" s="43">
        <f>IF(_calc!$E$411="","",IF(LEN(INDEX('Documents'!$M$4:$M$503,_calc!$E$411))=0,"",INDEX('Documents'!$M$4:$M$503,_calc!$E$411)))</f>
        <v/>
      </c>
    </row>
    <row r="410">
      <c r="A410" s="43">
        <f>IF(_calc!$E$412="","",IF(LEN(INDEX('Documents'!$C$4:$C$503,_calc!$E$412))=0,"",INDEX('Documents'!$C$4:$C$503,_calc!$E$412))&amp;" – "&amp;IF(LEN(INDEX('Documents'!$A$4:$A$503,_calc!$E$412))=0,"",INDEX('Documents'!$A$4:$A$503,_calc!$E$412)))</f>
        <v/>
      </c>
      <c r="B410" s="43">
        <f>IF(_calc!$E$412="","",IF(ISNUMBER(INDEX('Documents'!$F$4:$F$503,_calc!$E$412)),TEXT(INDEX('Documents'!$F$4:$F$503,_calc!$E$412),"yyyy-mm-dd"),""))</f>
        <v/>
      </c>
      <c r="C410" s="43">
        <f>IF(_calc!$E$412="","","Contractor document")</f>
        <v/>
      </c>
      <c r="D410" s="43">
        <f>IF(_calc!$E$412="","",IF(ISNUMBER(INDEX('Documents'!$E$4:$E$503,_calc!$E$412)),TEXT(INDEX('Documents'!$E$4:$E$503,_calc!$E$412),"yyyy-mm-dd"),""))</f>
        <v/>
      </c>
      <c r="E410" s="43">
        <f>IF(_calc!$E$412="","",IF(LEN(INDEX('Documents'!$N$4:$N$503,_calc!$E$412))=0,"",INDEX('Documents'!$N$4:$N$503,_calc!$E$412)))</f>
        <v/>
      </c>
      <c r="F410" s="43">
        <f>IF(_calc!$E$412="","",TRIM(IF(LEN(IF(LEN(INDEX('Documents'!$B$4:$B$503,_calc!$E$412))=0,"",INDEX('Documents'!$B$4:$B$503,_calc!$E$412)))=0,"","Trade: "&amp;IF(LEN(INDEX('Documents'!$B$4:$B$503,_calc!$E$412))=0,"",INDEX('Documents'!$B$4:$B$503,_calc!$E$412))&amp;". ")&amp;IF(LEN(IF(LEN(INDEX('Documents'!$D$4:$D$503,_calc!$E$412))=0,"",INDEX('Documents'!$D$4:$D$503,_calc!$E$412)))=0,"","Ref: "&amp;IF(LEN(INDEX('Documents'!$D$4:$D$503,_calc!$E$412))=0,"",INDEX('Documents'!$D$4:$D$503,_calc!$E$412))&amp;". ")&amp;IF(LEN(IF(LEN(INDEX('Documents'!$K$4:$K$503,_calc!$E$412))=0,"",INDEX('Documents'!$K$4:$K$503,_calc!$E$412)))=0,"","On file: "&amp;IF(LEN(INDEX('Documents'!$K$4:$K$503,_calc!$E$412))=0,"",INDEX('Documents'!$K$4:$K$503,_calc!$E$412))&amp;". ")&amp;IF(LEN(IF(LEN(INDEX('Documents'!$L$4:$L$503,_calc!$E$412))=0,"",INDEX('Documents'!$L$4:$L$503,_calc!$E$412)))=0,"","Contractor email: "&amp;IF(LEN(INDEX('Documents'!$L$4:$L$503,_calc!$E$412))=0,"",INDEX('Documents'!$L$4:$L$503,_calc!$E$412))&amp;". ")&amp;IF(LEN(IF(LEN(INDEX('Documents'!$P$4:$P$503,_calc!$E$412))=0,"",INDEX('Documents'!$P$4:$P$503,_calc!$E$412)))=0,"",IF(LEN(INDEX('Documents'!$P$4:$P$503,_calc!$E$412))=0,"",INDEX('Documents'!$P$4:$P$503,_calc!$E$412)))))</f>
        <v/>
      </c>
      <c r="G410" s="43">
        <f>IF(_calc!$E$412="","",IF(LEN(INDEX('Documents'!$O$4:$O$503,_calc!$E$412))=0,"",INDEX('Documents'!$O$4:$O$503,_calc!$E$412)))</f>
        <v/>
      </c>
      <c r="K410" s="43">
        <f>IF(_calc!$E$412="","",IF(LEN(INDEX('Documents'!$M$4:$M$503,_calc!$E$412))=0,"",INDEX('Documents'!$M$4:$M$503,_calc!$E$412)))</f>
        <v/>
      </c>
    </row>
    <row r="411">
      <c r="A411" s="43">
        <f>IF(_calc!$E$413="","",IF(LEN(INDEX('Documents'!$C$4:$C$503,_calc!$E$413))=0,"",INDEX('Documents'!$C$4:$C$503,_calc!$E$413))&amp;" – "&amp;IF(LEN(INDEX('Documents'!$A$4:$A$503,_calc!$E$413))=0,"",INDEX('Documents'!$A$4:$A$503,_calc!$E$413)))</f>
        <v/>
      </c>
      <c r="B411" s="43">
        <f>IF(_calc!$E$413="","",IF(ISNUMBER(INDEX('Documents'!$F$4:$F$503,_calc!$E$413)),TEXT(INDEX('Documents'!$F$4:$F$503,_calc!$E$413),"yyyy-mm-dd"),""))</f>
        <v/>
      </c>
      <c r="C411" s="43">
        <f>IF(_calc!$E$413="","","Contractor document")</f>
        <v/>
      </c>
      <c r="D411" s="43">
        <f>IF(_calc!$E$413="","",IF(ISNUMBER(INDEX('Documents'!$E$4:$E$503,_calc!$E$413)),TEXT(INDEX('Documents'!$E$4:$E$503,_calc!$E$413),"yyyy-mm-dd"),""))</f>
        <v/>
      </c>
      <c r="E411" s="43">
        <f>IF(_calc!$E$413="","",IF(LEN(INDEX('Documents'!$N$4:$N$503,_calc!$E$413))=0,"",INDEX('Documents'!$N$4:$N$503,_calc!$E$413)))</f>
        <v/>
      </c>
      <c r="F411" s="43">
        <f>IF(_calc!$E$413="","",TRIM(IF(LEN(IF(LEN(INDEX('Documents'!$B$4:$B$503,_calc!$E$413))=0,"",INDEX('Documents'!$B$4:$B$503,_calc!$E$413)))=0,"","Trade: "&amp;IF(LEN(INDEX('Documents'!$B$4:$B$503,_calc!$E$413))=0,"",INDEX('Documents'!$B$4:$B$503,_calc!$E$413))&amp;". ")&amp;IF(LEN(IF(LEN(INDEX('Documents'!$D$4:$D$503,_calc!$E$413))=0,"",INDEX('Documents'!$D$4:$D$503,_calc!$E$413)))=0,"","Ref: "&amp;IF(LEN(INDEX('Documents'!$D$4:$D$503,_calc!$E$413))=0,"",INDEX('Documents'!$D$4:$D$503,_calc!$E$413))&amp;". ")&amp;IF(LEN(IF(LEN(INDEX('Documents'!$K$4:$K$503,_calc!$E$413))=0,"",INDEX('Documents'!$K$4:$K$503,_calc!$E$413)))=0,"","On file: "&amp;IF(LEN(INDEX('Documents'!$K$4:$K$503,_calc!$E$413))=0,"",INDEX('Documents'!$K$4:$K$503,_calc!$E$413))&amp;". ")&amp;IF(LEN(IF(LEN(INDEX('Documents'!$L$4:$L$503,_calc!$E$413))=0,"",INDEX('Documents'!$L$4:$L$503,_calc!$E$413)))=0,"","Contractor email: "&amp;IF(LEN(INDEX('Documents'!$L$4:$L$503,_calc!$E$413))=0,"",INDEX('Documents'!$L$4:$L$503,_calc!$E$413))&amp;". ")&amp;IF(LEN(IF(LEN(INDEX('Documents'!$P$4:$P$503,_calc!$E$413))=0,"",INDEX('Documents'!$P$4:$P$503,_calc!$E$413)))=0,"",IF(LEN(INDEX('Documents'!$P$4:$P$503,_calc!$E$413))=0,"",INDEX('Documents'!$P$4:$P$503,_calc!$E$413)))))</f>
        <v/>
      </c>
      <c r="G411" s="43">
        <f>IF(_calc!$E$413="","",IF(LEN(INDEX('Documents'!$O$4:$O$503,_calc!$E$413))=0,"",INDEX('Documents'!$O$4:$O$503,_calc!$E$413)))</f>
        <v/>
      </c>
      <c r="K411" s="43">
        <f>IF(_calc!$E$413="","",IF(LEN(INDEX('Documents'!$M$4:$M$503,_calc!$E$413))=0,"",INDEX('Documents'!$M$4:$M$503,_calc!$E$413)))</f>
        <v/>
      </c>
    </row>
    <row r="412">
      <c r="A412" s="43">
        <f>IF(_calc!$E$414="","",IF(LEN(INDEX('Documents'!$C$4:$C$503,_calc!$E$414))=0,"",INDEX('Documents'!$C$4:$C$503,_calc!$E$414))&amp;" – "&amp;IF(LEN(INDEX('Documents'!$A$4:$A$503,_calc!$E$414))=0,"",INDEX('Documents'!$A$4:$A$503,_calc!$E$414)))</f>
        <v/>
      </c>
      <c r="B412" s="43">
        <f>IF(_calc!$E$414="","",IF(ISNUMBER(INDEX('Documents'!$F$4:$F$503,_calc!$E$414)),TEXT(INDEX('Documents'!$F$4:$F$503,_calc!$E$414),"yyyy-mm-dd"),""))</f>
        <v/>
      </c>
      <c r="C412" s="43">
        <f>IF(_calc!$E$414="","","Contractor document")</f>
        <v/>
      </c>
      <c r="D412" s="43">
        <f>IF(_calc!$E$414="","",IF(ISNUMBER(INDEX('Documents'!$E$4:$E$503,_calc!$E$414)),TEXT(INDEX('Documents'!$E$4:$E$503,_calc!$E$414),"yyyy-mm-dd"),""))</f>
        <v/>
      </c>
      <c r="E412" s="43">
        <f>IF(_calc!$E$414="","",IF(LEN(INDEX('Documents'!$N$4:$N$503,_calc!$E$414))=0,"",INDEX('Documents'!$N$4:$N$503,_calc!$E$414)))</f>
        <v/>
      </c>
      <c r="F412" s="43">
        <f>IF(_calc!$E$414="","",TRIM(IF(LEN(IF(LEN(INDEX('Documents'!$B$4:$B$503,_calc!$E$414))=0,"",INDEX('Documents'!$B$4:$B$503,_calc!$E$414)))=0,"","Trade: "&amp;IF(LEN(INDEX('Documents'!$B$4:$B$503,_calc!$E$414))=0,"",INDEX('Documents'!$B$4:$B$503,_calc!$E$414))&amp;". ")&amp;IF(LEN(IF(LEN(INDEX('Documents'!$D$4:$D$503,_calc!$E$414))=0,"",INDEX('Documents'!$D$4:$D$503,_calc!$E$414)))=0,"","Ref: "&amp;IF(LEN(INDEX('Documents'!$D$4:$D$503,_calc!$E$414))=0,"",INDEX('Documents'!$D$4:$D$503,_calc!$E$414))&amp;". ")&amp;IF(LEN(IF(LEN(INDEX('Documents'!$K$4:$K$503,_calc!$E$414))=0,"",INDEX('Documents'!$K$4:$K$503,_calc!$E$414)))=0,"","On file: "&amp;IF(LEN(INDEX('Documents'!$K$4:$K$503,_calc!$E$414))=0,"",INDEX('Documents'!$K$4:$K$503,_calc!$E$414))&amp;". ")&amp;IF(LEN(IF(LEN(INDEX('Documents'!$L$4:$L$503,_calc!$E$414))=0,"",INDEX('Documents'!$L$4:$L$503,_calc!$E$414)))=0,"","Contractor email: "&amp;IF(LEN(INDEX('Documents'!$L$4:$L$503,_calc!$E$414))=0,"",INDEX('Documents'!$L$4:$L$503,_calc!$E$414))&amp;". ")&amp;IF(LEN(IF(LEN(INDEX('Documents'!$P$4:$P$503,_calc!$E$414))=0,"",INDEX('Documents'!$P$4:$P$503,_calc!$E$414)))=0,"",IF(LEN(INDEX('Documents'!$P$4:$P$503,_calc!$E$414))=0,"",INDEX('Documents'!$P$4:$P$503,_calc!$E$414)))))</f>
        <v/>
      </c>
      <c r="G412" s="43">
        <f>IF(_calc!$E$414="","",IF(LEN(INDEX('Documents'!$O$4:$O$503,_calc!$E$414))=0,"",INDEX('Documents'!$O$4:$O$503,_calc!$E$414)))</f>
        <v/>
      </c>
      <c r="K412" s="43">
        <f>IF(_calc!$E$414="","",IF(LEN(INDEX('Documents'!$M$4:$M$503,_calc!$E$414))=0,"",INDEX('Documents'!$M$4:$M$503,_calc!$E$414)))</f>
        <v/>
      </c>
    </row>
    <row r="413">
      <c r="A413" s="43">
        <f>IF(_calc!$E$415="","",IF(LEN(INDEX('Documents'!$C$4:$C$503,_calc!$E$415))=0,"",INDEX('Documents'!$C$4:$C$503,_calc!$E$415))&amp;" – "&amp;IF(LEN(INDEX('Documents'!$A$4:$A$503,_calc!$E$415))=0,"",INDEX('Documents'!$A$4:$A$503,_calc!$E$415)))</f>
        <v/>
      </c>
      <c r="B413" s="43">
        <f>IF(_calc!$E$415="","",IF(ISNUMBER(INDEX('Documents'!$F$4:$F$503,_calc!$E$415)),TEXT(INDEX('Documents'!$F$4:$F$503,_calc!$E$415),"yyyy-mm-dd"),""))</f>
        <v/>
      </c>
      <c r="C413" s="43">
        <f>IF(_calc!$E$415="","","Contractor document")</f>
        <v/>
      </c>
      <c r="D413" s="43">
        <f>IF(_calc!$E$415="","",IF(ISNUMBER(INDEX('Documents'!$E$4:$E$503,_calc!$E$415)),TEXT(INDEX('Documents'!$E$4:$E$503,_calc!$E$415),"yyyy-mm-dd"),""))</f>
        <v/>
      </c>
      <c r="E413" s="43">
        <f>IF(_calc!$E$415="","",IF(LEN(INDEX('Documents'!$N$4:$N$503,_calc!$E$415))=0,"",INDEX('Documents'!$N$4:$N$503,_calc!$E$415)))</f>
        <v/>
      </c>
      <c r="F413" s="43">
        <f>IF(_calc!$E$415="","",TRIM(IF(LEN(IF(LEN(INDEX('Documents'!$B$4:$B$503,_calc!$E$415))=0,"",INDEX('Documents'!$B$4:$B$503,_calc!$E$415)))=0,"","Trade: "&amp;IF(LEN(INDEX('Documents'!$B$4:$B$503,_calc!$E$415))=0,"",INDEX('Documents'!$B$4:$B$503,_calc!$E$415))&amp;". ")&amp;IF(LEN(IF(LEN(INDEX('Documents'!$D$4:$D$503,_calc!$E$415))=0,"",INDEX('Documents'!$D$4:$D$503,_calc!$E$415)))=0,"","Ref: "&amp;IF(LEN(INDEX('Documents'!$D$4:$D$503,_calc!$E$415))=0,"",INDEX('Documents'!$D$4:$D$503,_calc!$E$415))&amp;". ")&amp;IF(LEN(IF(LEN(INDEX('Documents'!$K$4:$K$503,_calc!$E$415))=0,"",INDEX('Documents'!$K$4:$K$503,_calc!$E$415)))=0,"","On file: "&amp;IF(LEN(INDEX('Documents'!$K$4:$K$503,_calc!$E$415))=0,"",INDEX('Documents'!$K$4:$K$503,_calc!$E$415))&amp;". ")&amp;IF(LEN(IF(LEN(INDEX('Documents'!$L$4:$L$503,_calc!$E$415))=0,"",INDEX('Documents'!$L$4:$L$503,_calc!$E$415)))=0,"","Contractor email: "&amp;IF(LEN(INDEX('Documents'!$L$4:$L$503,_calc!$E$415))=0,"",INDEX('Documents'!$L$4:$L$503,_calc!$E$415))&amp;". ")&amp;IF(LEN(IF(LEN(INDEX('Documents'!$P$4:$P$503,_calc!$E$415))=0,"",INDEX('Documents'!$P$4:$P$503,_calc!$E$415)))=0,"",IF(LEN(INDEX('Documents'!$P$4:$P$503,_calc!$E$415))=0,"",INDEX('Documents'!$P$4:$P$503,_calc!$E$415)))))</f>
        <v/>
      </c>
      <c r="G413" s="43">
        <f>IF(_calc!$E$415="","",IF(LEN(INDEX('Documents'!$O$4:$O$503,_calc!$E$415))=0,"",INDEX('Documents'!$O$4:$O$503,_calc!$E$415)))</f>
        <v/>
      </c>
      <c r="K413" s="43">
        <f>IF(_calc!$E$415="","",IF(LEN(INDEX('Documents'!$M$4:$M$503,_calc!$E$415))=0,"",INDEX('Documents'!$M$4:$M$503,_calc!$E$415)))</f>
        <v/>
      </c>
    </row>
    <row r="414">
      <c r="A414" s="43">
        <f>IF(_calc!$E$416="","",IF(LEN(INDEX('Documents'!$C$4:$C$503,_calc!$E$416))=0,"",INDEX('Documents'!$C$4:$C$503,_calc!$E$416))&amp;" – "&amp;IF(LEN(INDEX('Documents'!$A$4:$A$503,_calc!$E$416))=0,"",INDEX('Documents'!$A$4:$A$503,_calc!$E$416)))</f>
        <v/>
      </c>
      <c r="B414" s="43">
        <f>IF(_calc!$E$416="","",IF(ISNUMBER(INDEX('Documents'!$F$4:$F$503,_calc!$E$416)),TEXT(INDEX('Documents'!$F$4:$F$503,_calc!$E$416),"yyyy-mm-dd"),""))</f>
        <v/>
      </c>
      <c r="C414" s="43">
        <f>IF(_calc!$E$416="","","Contractor document")</f>
        <v/>
      </c>
      <c r="D414" s="43">
        <f>IF(_calc!$E$416="","",IF(ISNUMBER(INDEX('Documents'!$E$4:$E$503,_calc!$E$416)),TEXT(INDEX('Documents'!$E$4:$E$503,_calc!$E$416),"yyyy-mm-dd"),""))</f>
        <v/>
      </c>
      <c r="E414" s="43">
        <f>IF(_calc!$E$416="","",IF(LEN(INDEX('Documents'!$N$4:$N$503,_calc!$E$416))=0,"",INDEX('Documents'!$N$4:$N$503,_calc!$E$416)))</f>
        <v/>
      </c>
      <c r="F414" s="43">
        <f>IF(_calc!$E$416="","",TRIM(IF(LEN(IF(LEN(INDEX('Documents'!$B$4:$B$503,_calc!$E$416))=0,"",INDEX('Documents'!$B$4:$B$503,_calc!$E$416)))=0,"","Trade: "&amp;IF(LEN(INDEX('Documents'!$B$4:$B$503,_calc!$E$416))=0,"",INDEX('Documents'!$B$4:$B$503,_calc!$E$416))&amp;". ")&amp;IF(LEN(IF(LEN(INDEX('Documents'!$D$4:$D$503,_calc!$E$416))=0,"",INDEX('Documents'!$D$4:$D$503,_calc!$E$416)))=0,"","Ref: "&amp;IF(LEN(INDEX('Documents'!$D$4:$D$503,_calc!$E$416))=0,"",INDEX('Documents'!$D$4:$D$503,_calc!$E$416))&amp;". ")&amp;IF(LEN(IF(LEN(INDEX('Documents'!$K$4:$K$503,_calc!$E$416))=0,"",INDEX('Documents'!$K$4:$K$503,_calc!$E$416)))=0,"","On file: "&amp;IF(LEN(INDEX('Documents'!$K$4:$K$503,_calc!$E$416))=0,"",INDEX('Documents'!$K$4:$K$503,_calc!$E$416))&amp;". ")&amp;IF(LEN(IF(LEN(INDEX('Documents'!$L$4:$L$503,_calc!$E$416))=0,"",INDEX('Documents'!$L$4:$L$503,_calc!$E$416)))=0,"","Contractor email: "&amp;IF(LEN(INDEX('Documents'!$L$4:$L$503,_calc!$E$416))=0,"",INDEX('Documents'!$L$4:$L$503,_calc!$E$416))&amp;". ")&amp;IF(LEN(IF(LEN(INDEX('Documents'!$P$4:$P$503,_calc!$E$416))=0,"",INDEX('Documents'!$P$4:$P$503,_calc!$E$416)))=0,"",IF(LEN(INDEX('Documents'!$P$4:$P$503,_calc!$E$416))=0,"",INDEX('Documents'!$P$4:$P$503,_calc!$E$416)))))</f>
        <v/>
      </c>
      <c r="G414" s="43">
        <f>IF(_calc!$E$416="","",IF(LEN(INDEX('Documents'!$O$4:$O$503,_calc!$E$416))=0,"",INDEX('Documents'!$O$4:$O$503,_calc!$E$416)))</f>
        <v/>
      </c>
      <c r="K414" s="43">
        <f>IF(_calc!$E$416="","",IF(LEN(INDEX('Documents'!$M$4:$M$503,_calc!$E$416))=0,"",INDEX('Documents'!$M$4:$M$503,_calc!$E$416)))</f>
        <v/>
      </c>
    </row>
    <row r="415">
      <c r="A415" s="43">
        <f>IF(_calc!$E$417="","",IF(LEN(INDEX('Documents'!$C$4:$C$503,_calc!$E$417))=0,"",INDEX('Documents'!$C$4:$C$503,_calc!$E$417))&amp;" – "&amp;IF(LEN(INDEX('Documents'!$A$4:$A$503,_calc!$E$417))=0,"",INDEX('Documents'!$A$4:$A$503,_calc!$E$417)))</f>
        <v/>
      </c>
      <c r="B415" s="43">
        <f>IF(_calc!$E$417="","",IF(ISNUMBER(INDEX('Documents'!$F$4:$F$503,_calc!$E$417)),TEXT(INDEX('Documents'!$F$4:$F$503,_calc!$E$417),"yyyy-mm-dd"),""))</f>
        <v/>
      </c>
      <c r="C415" s="43">
        <f>IF(_calc!$E$417="","","Contractor document")</f>
        <v/>
      </c>
      <c r="D415" s="43">
        <f>IF(_calc!$E$417="","",IF(ISNUMBER(INDEX('Documents'!$E$4:$E$503,_calc!$E$417)),TEXT(INDEX('Documents'!$E$4:$E$503,_calc!$E$417),"yyyy-mm-dd"),""))</f>
        <v/>
      </c>
      <c r="E415" s="43">
        <f>IF(_calc!$E$417="","",IF(LEN(INDEX('Documents'!$N$4:$N$503,_calc!$E$417))=0,"",INDEX('Documents'!$N$4:$N$503,_calc!$E$417)))</f>
        <v/>
      </c>
      <c r="F415" s="43">
        <f>IF(_calc!$E$417="","",TRIM(IF(LEN(IF(LEN(INDEX('Documents'!$B$4:$B$503,_calc!$E$417))=0,"",INDEX('Documents'!$B$4:$B$503,_calc!$E$417)))=0,"","Trade: "&amp;IF(LEN(INDEX('Documents'!$B$4:$B$503,_calc!$E$417))=0,"",INDEX('Documents'!$B$4:$B$503,_calc!$E$417))&amp;". ")&amp;IF(LEN(IF(LEN(INDEX('Documents'!$D$4:$D$503,_calc!$E$417))=0,"",INDEX('Documents'!$D$4:$D$503,_calc!$E$417)))=0,"","Ref: "&amp;IF(LEN(INDEX('Documents'!$D$4:$D$503,_calc!$E$417))=0,"",INDEX('Documents'!$D$4:$D$503,_calc!$E$417))&amp;". ")&amp;IF(LEN(IF(LEN(INDEX('Documents'!$K$4:$K$503,_calc!$E$417))=0,"",INDEX('Documents'!$K$4:$K$503,_calc!$E$417)))=0,"","On file: "&amp;IF(LEN(INDEX('Documents'!$K$4:$K$503,_calc!$E$417))=0,"",INDEX('Documents'!$K$4:$K$503,_calc!$E$417))&amp;". ")&amp;IF(LEN(IF(LEN(INDEX('Documents'!$L$4:$L$503,_calc!$E$417))=0,"",INDEX('Documents'!$L$4:$L$503,_calc!$E$417)))=0,"","Contractor email: "&amp;IF(LEN(INDEX('Documents'!$L$4:$L$503,_calc!$E$417))=0,"",INDEX('Documents'!$L$4:$L$503,_calc!$E$417))&amp;". ")&amp;IF(LEN(IF(LEN(INDEX('Documents'!$P$4:$P$503,_calc!$E$417))=0,"",INDEX('Documents'!$P$4:$P$503,_calc!$E$417)))=0,"",IF(LEN(INDEX('Documents'!$P$4:$P$503,_calc!$E$417))=0,"",INDEX('Documents'!$P$4:$P$503,_calc!$E$417)))))</f>
        <v/>
      </c>
      <c r="G415" s="43">
        <f>IF(_calc!$E$417="","",IF(LEN(INDEX('Documents'!$O$4:$O$503,_calc!$E$417))=0,"",INDEX('Documents'!$O$4:$O$503,_calc!$E$417)))</f>
        <v/>
      </c>
      <c r="K415" s="43">
        <f>IF(_calc!$E$417="","",IF(LEN(INDEX('Documents'!$M$4:$M$503,_calc!$E$417))=0,"",INDEX('Documents'!$M$4:$M$503,_calc!$E$417)))</f>
        <v/>
      </c>
    </row>
    <row r="416">
      <c r="A416" s="43">
        <f>IF(_calc!$E$418="","",IF(LEN(INDEX('Documents'!$C$4:$C$503,_calc!$E$418))=0,"",INDEX('Documents'!$C$4:$C$503,_calc!$E$418))&amp;" – "&amp;IF(LEN(INDEX('Documents'!$A$4:$A$503,_calc!$E$418))=0,"",INDEX('Documents'!$A$4:$A$503,_calc!$E$418)))</f>
        <v/>
      </c>
      <c r="B416" s="43">
        <f>IF(_calc!$E$418="","",IF(ISNUMBER(INDEX('Documents'!$F$4:$F$503,_calc!$E$418)),TEXT(INDEX('Documents'!$F$4:$F$503,_calc!$E$418),"yyyy-mm-dd"),""))</f>
        <v/>
      </c>
      <c r="C416" s="43">
        <f>IF(_calc!$E$418="","","Contractor document")</f>
        <v/>
      </c>
      <c r="D416" s="43">
        <f>IF(_calc!$E$418="","",IF(ISNUMBER(INDEX('Documents'!$E$4:$E$503,_calc!$E$418)),TEXT(INDEX('Documents'!$E$4:$E$503,_calc!$E$418),"yyyy-mm-dd"),""))</f>
        <v/>
      </c>
      <c r="E416" s="43">
        <f>IF(_calc!$E$418="","",IF(LEN(INDEX('Documents'!$N$4:$N$503,_calc!$E$418))=0,"",INDEX('Documents'!$N$4:$N$503,_calc!$E$418)))</f>
        <v/>
      </c>
      <c r="F416" s="43">
        <f>IF(_calc!$E$418="","",TRIM(IF(LEN(IF(LEN(INDEX('Documents'!$B$4:$B$503,_calc!$E$418))=0,"",INDEX('Documents'!$B$4:$B$503,_calc!$E$418)))=0,"","Trade: "&amp;IF(LEN(INDEX('Documents'!$B$4:$B$503,_calc!$E$418))=0,"",INDEX('Documents'!$B$4:$B$503,_calc!$E$418))&amp;". ")&amp;IF(LEN(IF(LEN(INDEX('Documents'!$D$4:$D$503,_calc!$E$418))=0,"",INDEX('Documents'!$D$4:$D$503,_calc!$E$418)))=0,"","Ref: "&amp;IF(LEN(INDEX('Documents'!$D$4:$D$503,_calc!$E$418))=0,"",INDEX('Documents'!$D$4:$D$503,_calc!$E$418))&amp;". ")&amp;IF(LEN(IF(LEN(INDEX('Documents'!$K$4:$K$503,_calc!$E$418))=0,"",INDEX('Documents'!$K$4:$K$503,_calc!$E$418)))=0,"","On file: "&amp;IF(LEN(INDEX('Documents'!$K$4:$K$503,_calc!$E$418))=0,"",INDEX('Documents'!$K$4:$K$503,_calc!$E$418))&amp;". ")&amp;IF(LEN(IF(LEN(INDEX('Documents'!$L$4:$L$503,_calc!$E$418))=0,"",INDEX('Documents'!$L$4:$L$503,_calc!$E$418)))=0,"","Contractor email: "&amp;IF(LEN(INDEX('Documents'!$L$4:$L$503,_calc!$E$418))=0,"",INDEX('Documents'!$L$4:$L$503,_calc!$E$418))&amp;". ")&amp;IF(LEN(IF(LEN(INDEX('Documents'!$P$4:$P$503,_calc!$E$418))=0,"",INDEX('Documents'!$P$4:$P$503,_calc!$E$418)))=0,"",IF(LEN(INDEX('Documents'!$P$4:$P$503,_calc!$E$418))=0,"",INDEX('Documents'!$P$4:$P$503,_calc!$E$418)))))</f>
        <v/>
      </c>
      <c r="G416" s="43">
        <f>IF(_calc!$E$418="","",IF(LEN(INDEX('Documents'!$O$4:$O$503,_calc!$E$418))=0,"",INDEX('Documents'!$O$4:$O$503,_calc!$E$418)))</f>
        <v/>
      </c>
      <c r="K416" s="43">
        <f>IF(_calc!$E$418="","",IF(LEN(INDEX('Documents'!$M$4:$M$503,_calc!$E$418))=0,"",INDEX('Documents'!$M$4:$M$503,_calc!$E$418)))</f>
        <v/>
      </c>
    </row>
    <row r="417">
      <c r="A417" s="43">
        <f>IF(_calc!$E$419="","",IF(LEN(INDEX('Documents'!$C$4:$C$503,_calc!$E$419))=0,"",INDEX('Documents'!$C$4:$C$503,_calc!$E$419))&amp;" – "&amp;IF(LEN(INDEX('Documents'!$A$4:$A$503,_calc!$E$419))=0,"",INDEX('Documents'!$A$4:$A$503,_calc!$E$419)))</f>
        <v/>
      </c>
      <c r="B417" s="43">
        <f>IF(_calc!$E$419="","",IF(ISNUMBER(INDEX('Documents'!$F$4:$F$503,_calc!$E$419)),TEXT(INDEX('Documents'!$F$4:$F$503,_calc!$E$419),"yyyy-mm-dd"),""))</f>
        <v/>
      </c>
      <c r="C417" s="43">
        <f>IF(_calc!$E$419="","","Contractor document")</f>
        <v/>
      </c>
      <c r="D417" s="43">
        <f>IF(_calc!$E$419="","",IF(ISNUMBER(INDEX('Documents'!$E$4:$E$503,_calc!$E$419)),TEXT(INDEX('Documents'!$E$4:$E$503,_calc!$E$419),"yyyy-mm-dd"),""))</f>
        <v/>
      </c>
      <c r="E417" s="43">
        <f>IF(_calc!$E$419="","",IF(LEN(INDEX('Documents'!$N$4:$N$503,_calc!$E$419))=0,"",INDEX('Documents'!$N$4:$N$503,_calc!$E$419)))</f>
        <v/>
      </c>
      <c r="F417" s="43">
        <f>IF(_calc!$E$419="","",TRIM(IF(LEN(IF(LEN(INDEX('Documents'!$B$4:$B$503,_calc!$E$419))=0,"",INDEX('Documents'!$B$4:$B$503,_calc!$E$419)))=0,"","Trade: "&amp;IF(LEN(INDEX('Documents'!$B$4:$B$503,_calc!$E$419))=0,"",INDEX('Documents'!$B$4:$B$503,_calc!$E$419))&amp;". ")&amp;IF(LEN(IF(LEN(INDEX('Documents'!$D$4:$D$503,_calc!$E$419))=0,"",INDEX('Documents'!$D$4:$D$503,_calc!$E$419)))=0,"","Ref: "&amp;IF(LEN(INDEX('Documents'!$D$4:$D$503,_calc!$E$419))=0,"",INDEX('Documents'!$D$4:$D$503,_calc!$E$419))&amp;". ")&amp;IF(LEN(IF(LEN(INDEX('Documents'!$K$4:$K$503,_calc!$E$419))=0,"",INDEX('Documents'!$K$4:$K$503,_calc!$E$419)))=0,"","On file: "&amp;IF(LEN(INDEX('Documents'!$K$4:$K$503,_calc!$E$419))=0,"",INDEX('Documents'!$K$4:$K$503,_calc!$E$419))&amp;". ")&amp;IF(LEN(IF(LEN(INDEX('Documents'!$L$4:$L$503,_calc!$E$419))=0,"",INDEX('Documents'!$L$4:$L$503,_calc!$E$419)))=0,"","Contractor email: "&amp;IF(LEN(INDEX('Documents'!$L$4:$L$503,_calc!$E$419))=0,"",INDEX('Documents'!$L$4:$L$503,_calc!$E$419))&amp;". ")&amp;IF(LEN(IF(LEN(INDEX('Documents'!$P$4:$P$503,_calc!$E$419))=0,"",INDEX('Documents'!$P$4:$P$503,_calc!$E$419)))=0,"",IF(LEN(INDEX('Documents'!$P$4:$P$503,_calc!$E$419))=0,"",INDEX('Documents'!$P$4:$P$503,_calc!$E$419)))))</f>
        <v/>
      </c>
      <c r="G417" s="43">
        <f>IF(_calc!$E$419="","",IF(LEN(INDEX('Documents'!$O$4:$O$503,_calc!$E$419))=0,"",INDEX('Documents'!$O$4:$O$503,_calc!$E$419)))</f>
        <v/>
      </c>
      <c r="K417" s="43">
        <f>IF(_calc!$E$419="","",IF(LEN(INDEX('Documents'!$M$4:$M$503,_calc!$E$419))=0,"",INDEX('Documents'!$M$4:$M$503,_calc!$E$419)))</f>
        <v/>
      </c>
    </row>
    <row r="418">
      <c r="A418" s="43">
        <f>IF(_calc!$E$420="","",IF(LEN(INDEX('Documents'!$C$4:$C$503,_calc!$E$420))=0,"",INDEX('Documents'!$C$4:$C$503,_calc!$E$420))&amp;" – "&amp;IF(LEN(INDEX('Documents'!$A$4:$A$503,_calc!$E$420))=0,"",INDEX('Documents'!$A$4:$A$503,_calc!$E$420)))</f>
        <v/>
      </c>
      <c r="B418" s="43">
        <f>IF(_calc!$E$420="","",IF(ISNUMBER(INDEX('Documents'!$F$4:$F$503,_calc!$E$420)),TEXT(INDEX('Documents'!$F$4:$F$503,_calc!$E$420),"yyyy-mm-dd"),""))</f>
        <v/>
      </c>
      <c r="C418" s="43">
        <f>IF(_calc!$E$420="","","Contractor document")</f>
        <v/>
      </c>
      <c r="D418" s="43">
        <f>IF(_calc!$E$420="","",IF(ISNUMBER(INDEX('Documents'!$E$4:$E$503,_calc!$E$420)),TEXT(INDEX('Documents'!$E$4:$E$503,_calc!$E$420),"yyyy-mm-dd"),""))</f>
        <v/>
      </c>
      <c r="E418" s="43">
        <f>IF(_calc!$E$420="","",IF(LEN(INDEX('Documents'!$N$4:$N$503,_calc!$E$420))=0,"",INDEX('Documents'!$N$4:$N$503,_calc!$E$420)))</f>
        <v/>
      </c>
      <c r="F418" s="43">
        <f>IF(_calc!$E$420="","",TRIM(IF(LEN(IF(LEN(INDEX('Documents'!$B$4:$B$503,_calc!$E$420))=0,"",INDEX('Documents'!$B$4:$B$503,_calc!$E$420)))=0,"","Trade: "&amp;IF(LEN(INDEX('Documents'!$B$4:$B$503,_calc!$E$420))=0,"",INDEX('Documents'!$B$4:$B$503,_calc!$E$420))&amp;". ")&amp;IF(LEN(IF(LEN(INDEX('Documents'!$D$4:$D$503,_calc!$E$420))=0,"",INDEX('Documents'!$D$4:$D$503,_calc!$E$420)))=0,"","Ref: "&amp;IF(LEN(INDEX('Documents'!$D$4:$D$503,_calc!$E$420))=0,"",INDEX('Documents'!$D$4:$D$503,_calc!$E$420))&amp;". ")&amp;IF(LEN(IF(LEN(INDEX('Documents'!$K$4:$K$503,_calc!$E$420))=0,"",INDEX('Documents'!$K$4:$K$503,_calc!$E$420)))=0,"","On file: "&amp;IF(LEN(INDEX('Documents'!$K$4:$K$503,_calc!$E$420))=0,"",INDEX('Documents'!$K$4:$K$503,_calc!$E$420))&amp;". ")&amp;IF(LEN(IF(LEN(INDEX('Documents'!$L$4:$L$503,_calc!$E$420))=0,"",INDEX('Documents'!$L$4:$L$503,_calc!$E$420)))=0,"","Contractor email: "&amp;IF(LEN(INDEX('Documents'!$L$4:$L$503,_calc!$E$420))=0,"",INDEX('Documents'!$L$4:$L$503,_calc!$E$420))&amp;". ")&amp;IF(LEN(IF(LEN(INDEX('Documents'!$P$4:$P$503,_calc!$E$420))=0,"",INDEX('Documents'!$P$4:$P$503,_calc!$E$420)))=0,"",IF(LEN(INDEX('Documents'!$P$4:$P$503,_calc!$E$420))=0,"",INDEX('Documents'!$P$4:$P$503,_calc!$E$420)))))</f>
        <v/>
      </c>
      <c r="G418" s="43">
        <f>IF(_calc!$E$420="","",IF(LEN(INDEX('Documents'!$O$4:$O$503,_calc!$E$420))=0,"",INDEX('Documents'!$O$4:$O$503,_calc!$E$420)))</f>
        <v/>
      </c>
      <c r="K418" s="43">
        <f>IF(_calc!$E$420="","",IF(LEN(INDEX('Documents'!$M$4:$M$503,_calc!$E$420))=0,"",INDEX('Documents'!$M$4:$M$503,_calc!$E$420)))</f>
        <v/>
      </c>
    </row>
    <row r="419">
      <c r="A419" s="43">
        <f>IF(_calc!$E$421="","",IF(LEN(INDEX('Documents'!$C$4:$C$503,_calc!$E$421))=0,"",INDEX('Documents'!$C$4:$C$503,_calc!$E$421))&amp;" – "&amp;IF(LEN(INDEX('Documents'!$A$4:$A$503,_calc!$E$421))=0,"",INDEX('Documents'!$A$4:$A$503,_calc!$E$421)))</f>
        <v/>
      </c>
      <c r="B419" s="43">
        <f>IF(_calc!$E$421="","",IF(ISNUMBER(INDEX('Documents'!$F$4:$F$503,_calc!$E$421)),TEXT(INDEX('Documents'!$F$4:$F$503,_calc!$E$421),"yyyy-mm-dd"),""))</f>
        <v/>
      </c>
      <c r="C419" s="43">
        <f>IF(_calc!$E$421="","","Contractor document")</f>
        <v/>
      </c>
      <c r="D419" s="43">
        <f>IF(_calc!$E$421="","",IF(ISNUMBER(INDEX('Documents'!$E$4:$E$503,_calc!$E$421)),TEXT(INDEX('Documents'!$E$4:$E$503,_calc!$E$421),"yyyy-mm-dd"),""))</f>
        <v/>
      </c>
      <c r="E419" s="43">
        <f>IF(_calc!$E$421="","",IF(LEN(INDEX('Documents'!$N$4:$N$503,_calc!$E$421))=0,"",INDEX('Documents'!$N$4:$N$503,_calc!$E$421)))</f>
        <v/>
      </c>
      <c r="F419" s="43">
        <f>IF(_calc!$E$421="","",TRIM(IF(LEN(IF(LEN(INDEX('Documents'!$B$4:$B$503,_calc!$E$421))=0,"",INDEX('Documents'!$B$4:$B$503,_calc!$E$421)))=0,"","Trade: "&amp;IF(LEN(INDEX('Documents'!$B$4:$B$503,_calc!$E$421))=0,"",INDEX('Documents'!$B$4:$B$503,_calc!$E$421))&amp;". ")&amp;IF(LEN(IF(LEN(INDEX('Documents'!$D$4:$D$503,_calc!$E$421))=0,"",INDEX('Documents'!$D$4:$D$503,_calc!$E$421)))=0,"","Ref: "&amp;IF(LEN(INDEX('Documents'!$D$4:$D$503,_calc!$E$421))=0,"",INDEX('Documents'!$D$4:$D$503,_calc!$E$421))&amp;". ")&amp;IF(LEN(IF(LEN(INDEX('Documents'!$K$4:$K$503,_calc!$E$421))=0,"",INDEX('Documents'!$K$4:$K$503,_calc!$E$421)))=0,"","On file: "&amp;IF(LEN(INDEX('Documents'!$K$4:$K$503,_calc!$E$421))=0,"",INDEX('Documents'!$K$4:$K$503,_calc!$E$421))&amp;". ")&amp;IF(LEN(IF(LEN(INDEX('Documents'!$L$4:$L$503,_calc!$E$421))=0,"",INDEX('Documents'!$L$4:$L$503,_calc!$E$421)))=0,"","Contractor email: "&amp;IF(LEN(INDEX('Documents'!$L$4:$L$503,_calc!$E$421))=0,"",INDEX('Documents'!$L$4:$L$503,_calc!$E$421))&amp;". ")&amp;IF(LEN(IF(LEN(INDEX('Documents'!$P$4:$P$503,_calc!$E$421))=0,"",INDEX('Documents'!$P$4:$P$503,_calc!$E$421)))=0,"",IF(LEN(INDEX('Documents'!$P$4:$P$503,_calc!$E$421))=0,"",INDEX('Documents'!$P$4:$P$503,_calc!$E$421)))))</f>
        <v/>
      </c>
      <c r="G419" s="43">
        <f>IF(_calc!$E$421="","",IF(LEN(INDEX('Documents'!$O$4:$O$503,_calc!$E$421))=0,"",INDEX('Documents'!$O$4:$O$503,_calc!$E$421)))</f>
        <v/>
      </c>
      <c r="K419" s="43">
        <f>IF(_calc!$E$421="","",IF(LEN(INDEX('Documents'!$M$4:$M$503,_calc!$E$421))=0,"",INDEX('Documents'!$M$4:$M$503,_calc!$E$421)))</f>
        <v/>
      </c>
    </row>
    <row r="420">
      <c r="A420" s="43">
        <f>IF(_calc!$E$422="","",IF(LEN(INDEX('Documents'!$C$4:$C$503,_calc!$E$422))=0,"",INDEX('Documents'!$C$4:$C$503,_calc!$E$422))&amp;" – "&amp;IF(LEN(INDEX('Documents'!$A$4:$A$503,_calc!$E$422))=0,"",INDEX('Documents'!$A$4:$A$503,_calc!$E$422)))</f>
        <v/>
      </c>
      <c r="B420" s="43">
        <f>IF(_calc!$E$422="","",IF(ISNUMBER(INDEX('Documents'!$F$4:$F$503,_calc!$E$422)),TEXT(INDEX('Documents'!$F$4:$F$503,_calc!$E$422),"yyyy-mm-dd"),""))</f>
        <v/>
      </c>
      <c r="C420" s="43">
        <f>IF(_calc!$E$422="","","Contractor document")</f>
        <v/>
      </c>
      <c r="D420" s="43">
        <f>IF(_calc!$E$422="","",IF(ISNUMBER(INDEX('Documents'!$E$4:$E$503,_calc!$E$422)),TEXT(INDEX('Documents'!$E$4:$E$503,_calc!$E$422),"yyyy-mm-dd"),""))</f>
        <v/>
      </c>
      <c r="E420" s="43">
        <f>IF(_calc!$E$422="","",IF(LEN(INDEX('Documents'!$N$4:$N$503,_calc!$E$422))=0,"",INDEX('Documents'!$N$4:$N$503,_calc!$E$422)))</f>
        <v/>
      </c>
      <c r="F420" s="43">
        <f>IF(_calc!$E$422="","",TRIM(IF(LEN(IF(LEN(INDEX('Documents'!$B$4:$B$503,_calc!$E$422))=0,"",INDEX('Documents'!$B$4:$B$503,_calc!$E$422)))=0,"","Trade: "&amp;IF(LEN(INDEX('Documents'!$B$4:$B$503,_calc!$E$422))=0,"",INDEX('Documents'!$B$4:$B$503,_calc!$E$422))&amp;". ")&amp;IF(LEN(IF(LEN(INDEX('Documents'!$D$4:$D$503,_calc!$E$422))=0,"",INDEX('Documents'!$D$4:$D$503,_calc!$E$422)))=0,"","Ref: "&amp;IF(LEN(INDEX('Documents'!$D$4:$D$503,_calc!$E$422))=0,"",INDEX('Documents'!$D$4:$D$503,_calc!$E$422))&amp;". ")&amp;IF(LEN(IF(LEN(INDEX('Documents'!$K$4:$K$503,_calc!$E$422))=0,"",INDEX('Documents'!$K$4:$K$503,_calc!$E$422)))=0,"","On file: "&amp;IF(LEN(INDEX('Documents'!$K$4:$K$503,_calc!$E$422))=0,"",INDEX('Documents'!$K$4:$K$503,_calc!$E$422))&amp;". ")&amp;IF(LEN(IF(LEN(INDEX('Documents'!$L$4:$L$503,_calc!$E$422))=0,"",INDEX('Documents'!$L$4:$L$503,_calc!$E$422)))=0,"","Contractor email: "&amp;IF(LEN(INDEX('Documents'!$L$4:$L$503,_calc!$E$422))=0,"",INDEX('Documents'!$L$4:$L$503,_calc!$E$422))&amp;". ")&amp;IF(LEN(IF(LEN(INDEX('Documents'!$P$4:$P$503,_calc!$E$422))=0,"",INDEX('Documents'!$P$4:$P$503,_calc!$E$422)))=0,"",IF(LEN(INDEX('Documents'!$P$4:$P$503,_calc!$E$422))=0,"",INDEX('Documents'!$P$4:$P$503,_calc!$E$422)))))</f>
        <v/>
      </c>
      <c r="G420" s="43">
        <f>IF(_calc!$E$422="","",IF(LEN(INDEX('Documents'!$O$4:$O$503,_calc!$E$422))=0,"",INDEX('Documents'!$O$4:$O$503,_calc!$E$422)))</f>
        <v/>
      </c>
      <c r="K420" s="43">
        <f>IF(_calc!$E$422="","",IF(LEN(INDEX('Documents'!$M$4:$M$503,_calc!$E$422))=0,"",INDEX('Documents'!$M$4:$M$503,_calc!$E$422)))</f>
        <v/>
      </c>
    </row>
    <row r="421">
      <c r="A421" s="43">
        <f>IF(_calc!$E$423="","",IF(LEN(INDEX('Documents'!$C$4:$C$503,_calc!$E$423))=0,"",INDEX('Documents'!$C$4:$C$503,_calc!$E$423))&amp;" – "&amp;IF(LEN(INDEX('Documents'!$A$4:$A$503,_calc!$E$423))=0,"",INDEX('Documents'!$A$4:$A$503,_calc!$E$423)))</f>
        <v/>
      </c>
      <c r="B421" s="43">
        <f>IF(_calc!$E$423="","",IF(ISNUMBER(INDEX('Documents'!$F$4:$F$503,_calc!$E$423)),TEXT(INDEX('Documents'!$F$4:$F$503,_calc!$E$423),"yyyy-mm-dd"),""))</f>
        <v/>
      </c>
      <c r="C421" s="43">
        <f>IF(_calc!$E$423="","","Contractor document")</f>
        <v/>
      </c>
      <c r="D421" s="43">
        <f>IF(_calc!$E$423="","",IF(ISNUMBER(INDEX('Documents'!$E$4:$E$503,_calc!$E$423)),TEXT(INDEX('Documents'!$E$4:$E$503,_calc!$E$423),"yyyy-mm-dd"),""))</f>
        <v/>
      </c>
      <c r="E421" s="43">
        <f>IF(_calc!$E$423="","",IF(LEN(INDEX('Documents'!$N$4:$N$503,_calc!$E$423))=0,"",INDEX('Documents'!$N$4:$N$503,_calc!$E$423)))</f>
        <v/>
      </c>
      <c r="F421" s="43">
        <f>IF(_calc!$E$423="","",TRIM(IF(LEN(IF(LEN(INDEX('Documents'!$B$4:$B$503,_calc!$E$423))=0,"",INDEX('Documents'!$B$4:$B$503,_calc!$E$423)))=0,"","Trade: "&amp;IF(LEN(INDEX('Documents'!$B$4:$B$503,_calc!$E$423))=0,"",INDEX('Documents'!$B$4:$B$503,_calc!$E$423))&amp;". ")&amp;IF(LEN(IF(LEN(INDEX('Documents'!$D$4:$D$503,_calc!$E$423))=0,"",INDEX('Documents'!$D$4:$D$503,_calc!$E$423)))=0,"","Ref: "&amp;IF(LEN(INDEX('Documents'!$D$4:$D$503,_calc!$E$423))=0,"",INDEX('Documents'!$D$4:$D$503,_calc!$E$423))&amp;". ")&amp;IF(LEN(IF(LEN(INDEX('Documents'!$K$4:$K$503,_calc!$E$423))=0,"",INDEX('Documents'!$K$4:$K$503,_calc!$E$423)))=0,"","On file: "&amp;IF(LEN(INDEX('Documents'!$K$4:$K$503,_calc!$E$423))=0,"",INDEX('Documents'!$K$4:$K$503,_calc!$E$423))&amp;". ")&amp;IF(LEN(IF(LEN(INDEX('Documents'!$L$4:$L$503,_calc!$E$423))=0,"",INDEX('Documents'!$L$4:$L$503,_calc!$E$423)))=0,"","Contractor email: "&amp;IF(LEN(INDEX('Documents'!$L$4:$L$503,_calc!$E$423))=0,"",INDEX('Documents'!$L$4:$L$503,_calc!$E$423))&amp;". ")&amp;IF(LEN(IF(LEN(INDEX('Documents'!$P$4:$P$503,_calc!$E$423))=0,"",INDEX('Documents'!$P$4:$P$503,_calc!$E$423)))=0,"",IF(LEN(INDEX('Documents'!$P$4:$P$503,_calc!$E$423))=0,"",INDEX('Documents'!$P$4:$P$503,_calc!$E$423)))))</f>
        <v/>
      </c>
      <c r="G421" s="43">
        <f>IF(_calc!$E$423="","",IF(LEN(INDEX('Documents'!$O$4:$O$503,_calc!$E$423))=0,"",INDEX('Documents'!$O$4:$O$503,_calc!$E$423)))</f>
        <v/>
      </c>
      <c r="K421" s="43">
        <f>IF(_calc!$E$423="","",IF(LEN(INDEX('Documents'!$M$4:$M$503,_calc!$E$423))=0,"",INDEX('Documents'!$M$4:$M$503,_calc!$E$423)))</f>
        <v/>
      </c>
    </row>
    <row r="422">
      <c r="A422" s="43">
        <f>IF(_calc!$E$424="","",IF(LEN(INDEX('Documents'!$C$4:$C$503,_calc!$E$424))=0,"",INDEX('Documents'!$C$4:$C$503,_calc!$E$424))&amp;" – "&amp;IF(LEN(INDEX('Documents'!$A$4:$A$503,_calc!$E$424))=0,"",INDEX('Documents'!$A$4:$A$503,_calc!$E$424)))</f>
        <v/>
      </c>
      <c r="B422" s="43">
        <f>IF(_calc!$E$424="","",IF(ISNUMBER(INDEX('Documents'!$F$4:$F$503,_calc!$E$424)),TEXT(INDEX('Documents'!$F$4:$F$503,_calc!$E$424),"yyyy-mm-dd"),""))</f>
        <v/>
      </c>
      <c r="C422" s="43">
        <f>IF(_calc!$E$424="","","Contractor document")</f>
        <v/>
      </c>
      <c r="D422" s="43">
        <f>IF(_calc!$E$424="","",IF(ISNUMBER(INDEX('Documents'!$E$4:$E$503,_calc!$E$424)),TEXT(INDEX('Documents'!$E$4:$E$503,_calc!$E$424),"yyyy-mm-dd"),""))</f>
        <v/>
      </c>
      <c r="E422" s="43">
        <f>IF(_calc!$E$424="","",IF(LEN(INDEX('Documents'!$N$4:$N$503,_calc!$E$424))=0,"",INDEX('Documents'!$N$4:$N$503,_calc!$E$424)))</f>
        <v/>
      </c>
      <c r="F422" s="43">
        <f>IF(_calc!$E$424="","",TRIM(IF(LEN(IF(LEN(INDEX('Documents'!$B$4:$B$503,_calc!$E$424))=0,"",INDEX('Documents'!$B$4:$B$503,_calc!$E$424)))=0,"","Trade: "&amp;IF(LEN(INDEX('Documents'!$B$4:$B$503,_calc!$E$424))=0,"",INDEX('Documents'!$B$4:$B$503,_calc!$E$424))&amp;". ")&amp;IF(LEN(IF(LEN(INDEX('Documents'!$D$4:$D$503,_calc!$E$424))=0,"",INDEX('Documents'!$D$4:$D$503,_calc!$E$424)))=0,"","Ref: "&amp;IF(LEN(INDEX('Documents'!$D$4:$D$503,_calc!$E$424))=0,"",INDEX('Documents'!$D$4:$D$503,_calc!$E$424))&amp;". ")&amp;IF(LEN(IF(LEN(INDEX('Documents'!$K$4:$K$503,_calc!$E$424))=0,"",INDEX('Documents'!$K$4:$K$503,_calc!$E$424)))=0,"","On file: "&amp;IF(LEN(INDEX('Documents'!$K$4:$K$503,_calc!$E$424))=0,"",INDEX('Documents'!$K$4:$K$503,_calc!$E$424))&amp;". ")&amp;IF(LEN(IF(LEN(INDEX('Documents'!$L$4:$L$503,_calc!$E$424))=0,"",INDEX('Documents'!$L$4:$L$503,_calc!$E$424)))=0,"","Contractor email: "&amp;IF(LEN(INDEX('Documents'!$L$4:$L$503,_calc!$E$424))=0,"",INDEX('Documents'!$L$4:$L$503,_calc!$E$424))&amp;". ")&amp;IF(LEN(IF(LEN(INDEX('Documents'!$P$4:$P$503,_calc!$E$424))=0,"",INDEX('Documents'!$P$4:$P$503,_calc!$E$424)))=0,"",IF(LEN(INDEX('Documents'!$P$4:$P$503,_calc!$E$424))=0,"",INDEX('Documents'!$P$4:$P$503,_calc!$E$424)))))</f>
        <v/>
      </c>
      <c r="G422" s="43">
        <f>IF(_calc!$E$424="","",IF(LEN(INDEX('Documents'!$O$4:$O$503,_calc!$E$424))=0,"",INDEX('Documents'!$O$4:$O$503,_calc!$E$424)))</f>
        <v/>
      </c>
      <c r="K422" s="43">
        <f>IF(_calc!$E$424="","",IF(LEN(INDEX('Documents'!$M$4:$M$503,_calc!$E$424))=0,"",INDEX('Documents'!$M$4:$M$503,_calc!$E$424)))</f>
        <v/>
      </c>
    </row>
    <row r="423">
      <c r="A423" s="43">
        <f>IF(_calc!$E$425="","",IF(LEN(INDEX('Documents'!$C$4:$C$503,_calc!$E$425))=0,"",INDEX('Documents'!$C$4:$C$503,_calc!$E$425))&amp;" – "&amp;IF(LEN(INDEX('Documents'!$A$4:$A$503,_calc!$E$425))=0,"",INDEX('Documents'!$A$4:$A$503,_calc!$E$425)))</f>
        <v/>
      </c>
      <c r="B423" s="43">
        <f>IF(_calc!$E$425="","",IF(ISNUMBER(INDEX('Documents'!$F$4:$F$503,_calc!$E$425)),TEXT(INDEX('Documents'!$F$4:$F$503,_calc!$E$425),"yyyy-mm-dd"),""))</f>
        <v/>
      </c>
      <c r="C423" s="43">
        <f>IF(_calc!$E$425="","","Contractor document")</f>
        <v/>
      </c>
      <c r="D423" s="43">
        <f>IF(_calc!$E$425="","",IF(ISNUMBER(INDEX('Documents'!$E$4:$E$503,_calc!$E$425)),TEXT(INDEX('Documents'!$E$4:$E$503,_calc!$E$425),"yyyy-mm-dd"),""))</f>
        <v/>
      </c>
      <c r="E423" s="43">
        <f>IF(_calc!$E$425="","",IF(LEN(INDEX('Documents'!$N$4:$N$503,_calc!$E$425))=0,"",INDEX('Documents'!$N$4:$N$503,_calc!$E$425)))</f>
        <v/>
      </c>
      <c r="F423" s="43">
        <f>IF(_calc!$E$425="","",TRIM(IF(LEN(IF(LEN(INDEX('Documents'!$B$4:$B$503,_calc!$E$425))=0,"",INDEX('Documents'!$B$4:$B$503,_calc!$E$425)))=0,"","Trade: "&amp;IF(LEN(INDEX('Documents'!$B$4:$B$503,_calc!$E$425))=0,"",INDEX('Documents'!$B$4:$B$503,_calc!$E$425))&amp;". ")&amp;IF(LEN(IF(LEN(INDEX('Documents'!$D$4:$D$503,_calc!$E$425))=0,"",INDEX('Documents'!$D$4:$D$503,_calc!$E$425)))=0,"","Ref: "&amp;IF(LEN(INDEX('Documents'!$D$4:$D$503,_calc!$E$425))=0,"",INDEX('Documents'!$D$4:$D$503,_calc!$E$425))&amp;". ")&amp;IF(LEN(IF(LEN(INDEX('Documents'!$K$4:$K$503,_calc!$E$425))=0,"",INDEX('Documents'!$K$4:$K$503,_calc!$E$425)))=0,"","On file: "&amp;IF(LEN(INDEX('Documents'!$K$4:$K$503,_calc!$E$425))=0,"",INDEX('Documents'!$K$4:$K$503,_calc!$E$425))&amp;". ")&amp;IF(LEN(IF(LEN(INDEX('Documents'!$L$4:$L$503,_calc!$E$425))=0,"",INDEX('Documents'!$L$4:$L$503,_calc!$E$425)))=0,"","Contractor email: "&amp;IF(LEN(INDEX('Documents'!$L$4:$L$503,_calc!$E$425))=0,"",INDEX('Documents'!$L$4:$L$503,_calc!$E$425))&amp;". ")&amp;IF(LEN(IF(LEN(INDEX('Documents'!$P$4:$P$503,_calc!$E$425))=0,"",INDEX('Documents'!$P$4:$P$503,_calc!$E$425)))=0,"",IF(LEN(INDEX('Documents'!$P$4:$P$503,_calc!$E$425))=0,"",INDEX('Documents'!$P$4:$P$503,_calc!$E$425)))))</f>
        <v/>
      </c>
      <c r="G423" s="43">
        <f>IF(_calc!$E$425="","",IF(LEN(INDEX('Documents'!$O$4:$O$503,_calc!$E$425))=0,"",INDEX('Documents'!$O$4:$O$503,_calc!$E$425)))</f>
        <v/>
      </c>
      <c r="K423" s="43">
        <f>IF(_calc!$E$425="","",IF(LEN(INDEX('Documents'!$M$4:$M$503,_calc!$E$425))=0,"",INDEX('Documents'!$M$4:$M$503,_calc!$E$425)))</f>
        <v/>
      </c>
    </row>
    <row r="424">
      <c r="A424" s="43">
        <f>IF(_calc!$E$426="","",IF(LEN(INDEX('Documents'!$C$4:$C$503,_calc!$E$426))=0,"",INDEX('Documents'!$C$4:$C$503,_calc!$E$426))&amp;" – "&amp;IF(LEN(INDEX('Documents'!$A$4:$A$503,_calc!$E$426))=0,"",INDEX('Documents'!$A$4:$A$503,_calc!$E$426)))</f>
        <v/>
      </c>
      <c r="B424" s="43">
        <f>IF(_calc!$E$426="","",IF(ISNUMBER(INDEX('Documents'!$F$4:$F$503,_calc!$E$426)),TEXT(INDEX('Documents'!$F$4:$F$503,_calc!$E$426),"yyyy-mm-dd"),""))</f>
        <v/>
      </c>
      <c r="C424" s="43">
        <f>IF(_calc!$E$426="","","Contractor document")</f>
        <v/>
      </c>
      <c r="D424" s="43">
        <f>IF(_calc!$E$426="","",IF(ISNUMBER(INDEX('Documents'!$E$4:$E$503,_calc!$E$426)),TEXT(INDEX('Documents'!$E$4:$E$503,_calc!$E$426),"yyyy-mm-dd"),""))</f>
        <v/>
      </c>
      <c r="E424" s="43">
        <f>IF(_calc!$E$426="","",IF(LEN(INDEX('Documents'!$N$4:$N$503,_calc!$E$426))=0,"",INDEX('Documents'!$N$4:$N$503,_calc!$E$426)))</f>
        <v/>
      </c>
      <c r="F424" s="43">
        <f>IF(_calc!$E$426="","",TRIM(IF(LEN(IF(LEN(INDEX('Documents'!$B$4:$B$503,_calc!$E$426))=0,"",INDEX('Documents'!$B$4:$B$503,_calc!$E$426)))=0,"","Trade: "&amp;IF(LEN(INDEX('Documents'!$B$4:$B$503,_calc!$E$426))=0,"",INDEX('Documents'!$B$4:$B$503,_calc!$E$426))&amp;". ")&amp;IF(LEN(IF(LEN(INDEX('Documents'!$D$4:$D$503,_calc!$E$426))=0,"",INDEX('Documents'!$D$4:$D$503,_calc!$E$426)))=0,"","Ref: "&amp;IF(LEN(INDEX('Documents'!$D$4:$D$503,_calc!$E$426))=0,"",INDEX('Documents'!$D$4:$D$503,_calc!$E$426))&amp;". ")&amp;IF(LEN(IF(LEN(INDEX('Documents'!$K$4:$K$503,_calc!$E$426))=0,"",INDEX('Documents'!$K$4:$K$503,_calc!$E$426)))=0,"","On file: "&amp;IF(LEN(INDEX('Documents'!$K$4:$K$503,_calc!$E$426))=0,"",INDEX('Documents'!$K$4:$K$503,_calc!$E$426))&amp;". ")&amp;IF(LEN(IF(LEN(INDEX('Documents'!$L$4:$L$503,_calc!$E$426))=0,"",INDEX('Documents'!$L$4:$L$503,_calc!$E$426)))=0,"","Contractor email: "&amp;IF(LEN(INDEX('Documents'!$L$4:$L$503,_calc!$E$426))=0,"",INDEX('Documents'!$L$4:$L$503,_calc!$E$426))&amp;". ")&amp;IF(LEN(IF(LEN(INDEX('Documents'!$P$4:$P$503,_calc!$E$426))=0,"",INDEX('Documents'!$P$4:$P$503,_calc!$E$426)))=0,"",IF(LEN(INDEX('Documents'!$P$4:$P$503,_calc!$E$426))=0,"",INDEX('Documents'!$P$4:$P$503,_calc!$E$426)))))</f>
        <v/>
      </c>
      <c r="G424" s="43">
        <f>IF(_calc!$E$426="","",IF(LEN(INDEX('Documents'!$O$4:$O$503,_calc!$E$426))=0,"",INDEX('Documents'!$O$4:$O$503,_calc!$E$426)))</f>
        <v/>
      </c>
      <c r="K424" s="43">
        <f>IF(_calc!$E$426="","",IF(LEN(INDEX('Documents'!$M$4:$M$503,_calc!$E$426))=0,"",INDEX('Documents'!$M$4:$M$503,_calc!$E$426)))</f>
        <v/>
      </c>
    </row>
    <row r="425">
      <c r="A425" s="43">
        <f>IF(_calc!$E$427="","",IF(LEN(INDEX('Documents'!$C$4:$C$503,_calc!$E$427))=0,"",INDEX('Documents'!$C$4:$C$503,_calc!$E$427))&amp;" – "&amp;IF(LEN(INDEX('Documents'!$A$4:$A$503,_calc!$E$427))=0,"",INDEX('Documents'!$A$4:$A$503,_calc!$E$427)))</f>
        <v/>
      </c>
      <c r="B425" s="43">
        <f>IF(_calc!$E$427="","",IF(ISNUMBER(INDEX('Documents'!$F$4:$F$503,_calc!$E$427)),TEXT(INDEX('Documents'!$F$4:$F$503,_calc!$E$427),"yyyy-mm-dd"),""))</f>
        <v/>
      </c>
      <c r="C425" s="43">
        <f>IF(_calc!$E$427="","","Contractor document")</f>
        <v/>
      </c>
      <c r="D425" s="43">
        <f>IF(_calc!$E$427="","",IF(ISNUMBER(INDEX('Documents'!$E$4:$E$503,_calc!$E$427)),TEXT(INDEX('Documents'!$E$4:$E$503,_calc!$E$427),"yyyy-mm-dd"),""))</f>
        <v/>
      </c>
      <c r="E425" s="43">
        <f>IF(_calc!$E$427="","",IF(LEN(INDEX('Documents'!$N$4:$N$503,_calc!$E$427))=0,"",INDEX('Documents'!$N$4:$N$503,_calc!$E$427)))</f>
        <v/>
      </c>
      <c r="F425" s="43">
        <f>IF(_calc!$E$427="","",TRIM(IF(LEN(IF(LEN(INDEX('Documents'!$B$4:$B$503,_calc!$E$427))=0,"",INDEX('Documents'!$B$4:$B$503,_calc!$E$427)))=0,"","Trade: "&amp;IF(LEN(INDEX('Documents'!$B$4:$B$503,_calc!$E$427))=0,"",INDEX('Documents'!$B$4:$B$503,_calc!$E$427))&amp;". ")&amp;IF(LEN(IF(LEN(INDEX('Documents'!$D$4:$D$503,_calc!$E$427))=0,"",INDEX('Documents'!$D$4:$D$503,_calc!$E$427)))=0,"","Ref: "&amp;IF(LEN(INDEX('Documents'!$D$4:$D$503,_calc!$E$427))=0,"",INDEX('Documents'!$D$4:$D$503,_calc!$E$427))&amp;". ")&amp;IF(LEN(IF(LEN(INDEX('Documents'!$K$4:$K$503,_calc!$E$427))=0,"",INDEX('Documents'!$K$4:$K$503,_calc!$E$427)))=0,"","On file: "&amp;IF(LEN(INDEX('Documents'!$K$4:$K$503,_calc!$E$427))=0,"",INDEX('Documents'!$K$4:$K$503,_calc!$E$427))&amp;". ")&amp;IF(LEN(IF(LEN(INDEX('Documents'!$L$4:$L$503,_calc!$E$427))=0,"",INDEX('Documents'!$L$4:$L$503,_calc!$E$427)))=0,"","Contractor email: "&amp;IF(LEN(INDEX('Documents'!$L$4:$L$503,_calc!$E$427))=0,"",INDEX('Documents'!$L$4:$L$503,_calc!$E$427))&amp;". ")&amp;IF(LEN(IF(LEN(INDEX('Documents'!$P$4:$P$503,_calc!$E$427))=0,"",INDEX('Documents'!$P$4:$P$503,_calc!$E$427)))=0,"",IF(LEN(INDEX('Documents'!$P$4:$P$503,_calc!$E$427))=0,"",INDEX('Documents'!$P$4:$P$503,_calc!$E$427)))))</f>
        <v/>
      </c>
      <c r="G425" s="43">
        <f>IF(_calc!$E$427="","",IF(LEN(INDEX('Documents'!$O$4:$O$503,_calc!$E$427))=0,"",INDEX('Documents'!$O$4:$O$503,_calc!$E$427)))</f>
        <v/>
      </c>
      <c r="K425" s="43">
        <f>IF(_calc!$E$427="","",IF(LEN(INDEX('Documents'!$M$4:$M$503,_calc!$E$427))=0,"",INDEX('Documents'!$M$4:$M$503,_calc!$E$427)))</f>
        <v/>
      </c>
    </row>
    <row r="426">
      <c r="A426" s="43">
        <f>IF(_calc!$E$428="","",IF(LEN(INDEX('Documents'!$C$4:$C$503,_calc!$E$428))=0,"",INDEX('Documents'!$C$4:$C$503,_calc!$E$428))&amp;" – "&amp;IF(LEN(INDEX('Documents'!$A$4:$A$503,_calc!$E$428))=0,"",INDEX('Documents'!$A$4:$A$503,_calc!$E$428)))</f>
        <v/>
      </c>
      <c r="B426" s="43">
        <f>IF(_calc!$E$428="","",IF(ISNUMBER(INDEX('Documents'!$F$4:$F$503,_calc!$E$428)),TEXT(INDEX('Documents'!$F$4:$F$503,_calc!$E$428),"yyyy-mm-dd"),""))</f>
        <v/>
      </c>
      <c r="C426" s="43">
        <f>IF(_calc!$E$428="","","Contractor document")</f>
        <v/>
      </c>
      <c r="D426" s="43">
        <f>IF(_calc!$E$428="","",IF(ISNUMBER(INDEX('Documents'!$E$4:$E$503,_calc!$E$428)),TEXT(INDEX('Documents'!$E$4:$E$503,_calc!$E$428),"yyyy-mm-dd"),""))</f>
        <v/>
      </c>
      <c r="E426" s="43">
        <f>IF(_calc!$E$428="","",IF(LEN(INDEX('Documents'!$N$4:$N$503,_calc!$E$428))=0,"",INDEX('Documents'!$N$4:$N$503,_calc!$E$428)))</f>
        <v/>
      </c>
      <c r="F426" s="43">
        <f>IF(_calc!$E$428="","",TRIM(IF(LEN(IF(LEN(INDEX('Documents'!$B$4:$B$503,_calc!$E$428))=0,"",INDEX('Documents'!$B$4:$B$503,_calc!$E$428)))=0,"","Trade: "&amp;IF(LEN(INDEX('Documents'!$B$4:$B$503,_calc!$E$428))=0,"",INDEX('Documents'!$B$4:$B$503,_calc!$E$428))&amp;". ")&amp;IF(LEN(IF(LEN(INDEX('Documents'!$D$4:$D$503,_calc!$E$428))=0,"",INDEX('Documents'!$D$4:$D$503,_calc!$E$428)))=0,"","Ref: "&amp;IF(LEN(INDEX('Documents'!$D$4:$D$503,_calc!$E$428))=0,"",INDEX('Documents'!$D$4:$D$503,_calc!$E$428))&amp;". ")&amp;IF(LEN(IF(LEN(INDEX('Documents'!$K$4:$K$503,_calc!$E$428))=0,"",INDEX('Documents'!$K$4:$K$503,_calc!$E$428)))=0,"","On file: "&amp;IF(LEN(INDEX('Documents'!$K$4:$K$503,_calc!$E$428))=0,"",INDEX('Documents'!$K$4:$K$503,_calc!$E$428))&amp;". ")&amp;IF(LEN(IF(LEN(INDEX('Documents'!$L$4:$L$503,_calc!$E$428))=0,"",INDEX('Documents'!$L$4:$L$503,_calc!$E$428)))=0,"","Contractor email: "&amp;IF(LEN(INDEX('Documents'!$L$4:$L$503,_calc!$E$428))=0,"",INDEX('Documents'!$L$4:$L$503,_calc!$E$428))&amp;". ")&amp;IF(LEN(IF(LEN(INDEX('Documents'!$P$4:$P$503,_calc!$E$428))=0,"",INDEX('Documents'!$P$4:$P$503,_calc!$E$428)))=0,"",IF(LEN(INDEX('Documents'!$P$4:$P$503,_calc!$E$428))=0,"",INDEX('Documents'!$P$4:$P$503,_calc!$E$428)))))</f>
        <v/>
      </c>
      <c r="G426" s="43">
        <f>IF(_calc!$E$428="","",IF(LEN(INDEX('Documents'!$O$4:$O$503,_calc!$E$428))=0,"",INDEX('Documents'!$O$4:$O$503,_calc!$E$428)))</f>
        <v/>
      </c>
      <c r="K426" s="43">
        <f>IF(_calc!$E$428="","",IF(LEN(INDEX('Documents'!$M$4:$M$503,_calc!$E$428))=0,"",INDEX('Documents'!$M$4:$M$503,_calc!$E$428)))</f>
        <v/>
      </c>
    </row>
    <row r="427">
      <c r="A427" s="43">
        <f>IF(_calc!$E$429="","",IF(LEN(INDEX('Documents'!$C$4:$C$503,_calc!$E$429))=0,"",INDEX('Documents'!$C$4:$C$503,_calc!$E$429))&amp;" – "&amp;IF(LEN(INDEX('Documents'!$A$4:$A$503,_calc!$E$429))=0,"",INDEX('Documents'!$A$4:$A$503,_calc!$E$429)))</f>
        <v/>
      </c>
      <c r="B427" s="43">
        <f>IF(_calc!$E$429="","",IF(ISNUMBER(INDEX('Documents'!$F$4:$F$503,_calc!$E$429)),TEXT(INDEX('Documents'!$F$4:$F$503,_calc!$E$429),"yyyy-mm-dd"),""))</f>
        <v/>
      </c>
      <c r="C427" s="43">
        <f>IF(_calc!$E$429="","","Contractor document")</f>
        <v/>
      </c>
      <c r="D427" s="43">
        <f>IF(_calc!$E$429="","",IF(ISNUMBER(INDEX('Documents'!$E$4:$E$503,_calc!$E$429)),TEXT(INDEX('Documents'!$E$4:$E$503,_calc!$E$429),"yyyy-mm-dd"),""))</f>
        <v/>
      </c>
      <c r="E427" s="43">
        <f>IF(_calc!$E$429="","",IF(LEN(INDEX('Documents'!$N$4:$N$503,_calc!$E$429))=0,"",INDEX('Documents'!$N$4:$N$503,_calc!$E$429)))</f>
        <v/>
      </c>
      <c r="F427" s="43">
        <f>IF(_calc!$E$429="","",TRIM(IF(LEN(IF(LEN(INDEX('Documents'!$B$4:$B$503,_calc!$E$429))=0,"",INDEX('Documents'!$B$4:$B$503,_calc!$E$429)))=0,"","Trade: "&amp;IF(LEN(INDEX('Documents'!$B$4:$B$503,_calc!$E$429))=0,"",INDEX('Documents'!$B$4:$B$503,_calc!$E$429))&amp;". ")&amp;IF(LEN(IF(LEN(INDEX('Documents'!$D$4:$D$503,_calc!$E$429))=0,"",INDEX('Documents'!$D$4:$D$503,_calc!$E$429)))=0,"","Ref: "&amp;IF(LEN(INDEX('Documents'!$D$4:$D$503,_calc!$E$429))=0,"",INDEX('Documents'!$D$4:$D$503,_calc!$E$429))&amp;". ")&amp;IF(LEN(IF(LEN(INDEX('Documents'!$K$4:$K$503,_calc!$E$429))=0,"",INDEX('Documents'!$K$4:$K$503,_calc!$E$429)))=0,"","On file: "&amp;IF(LEN(INDEX('Documents'!$K$4:$K$503,_calc!$E$429))=0,"",INDEX('Documents'!$K$4:$K$503,_calc!$E$429))&amp;". ")&amp;IF(LEN(IF(LEN(INDEX('Documents'!$L$4:$L$503,_calc!$E$429))=0,"",INDEX('Documents'!$L$4:$L$503,_calc!$E$429)))=0,"","Contractor email: "&amp;IF(LEN(INDEX('Documents'!$L$4:$L$503,_calc!$E$429))=0,"",INDEX('Documents'!$L$4:$L$503,_calc!$E$429))&amp;". ")&amp;IF(LEN(IF(LEN(INDEX('Documents'!$P$4:$P$503,_calc!$E$429))=0,"",INDEX('Documents'!$P$4:$P$503,_calc!$E$429)))=0,"",IF(LEN(INDEX('Documents'!$P$4:$P$503,_calc!$E$429))=0,"",INDEX('Documents'!$P$4:$P$503,_calc!$E$429)))))</f>
        <v/>
      </c>
      <c r="G427" s="43">
        <f>IF(_calc!$E$429="","",IF(LEN(INDEX('Documents'!$O$4:$O$503,_calc!$E$429))=0,"",INDEX('Documents'!$O$4:$O$503,_calc!$E$429)))</f>
        <v/>
      </c>
      <c r="K427" s="43">
        <f>IF(_calc!$E$429="","",IF(LEN(INDEX('Documents'!$M$4:$M$503,_calc!$E$429))=0,"",INDEX('Documents'!$M$4:$M$503,_calc!$E$429)))</f>
        <v/>
      </c>
    </row>
    <row r="428">
      <c r="A428" s="43">
        <f>IF(_calc!$E$430="","",IF(LEN(INDEX('Documents'!$C$4:$C$503,_calc!$E$430))=0,"",INDEX('Documents'!$C$4:$C$503,_calc!$E$430))&amp;" – "&amp;IF(LEN(INDEX('Documents'!$A$4:$A$503,_calc!$E$430))=0,"",INDEX('Documents'!$A$4:$A$503,_calc!$E$430)))</f>
        <v/>
      </c>
      <c r="B428" s="43">
        <f>IF(_calc!$E$430="","",IF(ISNUMBER(INDEX('Documents'!$F$4:$F$503,_calc!$E$430)),TEXT(INDEX('Documents'!$F$4:$F$503,_calc!$E$430),"yyyy-mm-dd"),""))</f>
        <v/>
      </c>
      <c r="C428" s="43">
        <f>IF(_calc!$E$430="","","Contractor document")</f>
        <v/>
      </c>
      <c r="D428" s="43">
        <f>IF(_calc!$E$430="","",IF(ISNUMBER(INDEX('Documents'!$E$4:$E$503,_calc!$E$430)),TEXT(INDEX('Documents'!$E$4:$E$503,_calc!$E$430),"yyyy-mm-dd"),""))</f>
        <v/>
      </c>
      <c r="E428" s="43">
        <f>IF(_calc!$E$430="","",IF(LEN(INDEX('Documents'!$N$4:$N$503,_calc!$E$430))=0,"",INDEX('Documents'!$N$4:$N$503,_calc!$E$430)))</f>
        <v/>
      </c>
      <c r="F428" s="43">
        <f>IF(_calc!$E$430="","",TRIM(IF(LEN(IF(LEN(INDEX('Documents'!$B$4:$B$503,_calc!$E$430))=0,"",INDEX('Documents'!$B$4:$B$503,_calc!$E$430)))=0,"","Trade: "&amp;IF(LEN(INDEX('Documents'!$B$4:$B$503,_calc!$E$430))=0,"",INDEX('Documents'!$B$4:$B$503,_calc!$E$430))&amp;". ")&amp;IF(LEN(IF(LEN(INDEX('Documents'!$D$4:$D$503,_calc!$E$430))=0,"",INDEX('Documents'!$D$4:$D$503,_calc!$E$430)))=0,"","Ref: "&amp;IF(LEN(INDEX('Documents'!$D$4:$D$503,_calc!$E$430))=0,"",INDEX('Documents'!$D$4:$D$503,_calc!$E$430))&amp;". ")&amp;IF(LEN(IF(LEN(INDEX('Documents'!$K$4:$K$503,_calc!$E$430))=0,"",INDEX('Documents'!$K$4:$K$503,_calc!$E$430)))=0,"","On file: "&amp;IF(LEN(INDEX('Documents'!$K$4:$K$503,_calc!$E$430))=0,"",INDEX('Documents'!$K$4:$K$503,_calc!$E$430))&amp;". ")&amp;IF(LEN(IF(LEN(INDEX('Documents'!$L$4:$L$503,_calc!$E$430))=0,"",INDEX('Documents'!$L$4:$L$503,_calc!$E$430)))=0,"","Contractor email: "&amp;IF(LEN(INDEX('Documents'!$L$4:$L$503,_calc!$E$430))=0,"",INDEX('Documents'!$L$4:$L$503,_calc!$E$430))&amp;". ")&amp;IF(LEN(IF(LEN(INDEX('Documents'!$P$4:$P$503,_calc!$E$430))=0,"",INDEX('Documents'!$P$4:$P$503,_calc!$E$430)))=0,"",IF(LEN(INDEX('Documents'!$P$4:$P$503,_calc!$E$430))=0,"",INDEX('Documents'!$P$4:$P$503,_calc!$E$430)))))</f>
        <v/>
      </c>
      <c r="G428" s="43">
        <f>IF(_calc!$E$430="","",IF(LEN(INDEX('Documents'!$O$4:$O$503,_calc!$E$430))=0,"",INDEX('Documents'!$O$4:$O$503,_calc!$E$430)))</f>
        <v/>
      </c>
      <c r="K428" s="43">
        <f>IF(_calc!$E$430="","",IF(LEN(INDEX('Documents'!$M$4:$M$503,_calc!$E$430))=0,"",INDEX('Documents'!$M$4:$M$503,_calc!$E$430)))</f>
        <v/>
      </c>
    </row>
    <row r="429">
      <c r="A429" s="43">
        <f>IF(_calc!$E$431="","",IF(LEN(INDEX('Documents'!$C$4:$C$503,_calc!$E$431))=0,"",INDEX('Documents'!$C$4:$C$503,_calc!$E$431))&amp;" – "&amp;IF(LEN(INDEX('Documents'!$A$4:$A$503,_calc!$E$431))=0,"",INDEX('Documents'!$A$4:$A$503,_calc!$E$431)))</f>
        <v/>
      </c>
      <c r="B429" s="43">
        <f>IF(_calc!$E$431="","",IF(ISNUMBER(INDEX('Documents'!$F$4:$F$503,_calc!$E$431)),TEXT(INDEX('Documents'!$F$4:$F$503,_calc!$E$431),"yyyy-mm-dd"),""))</f>
        <v/>
      </c>
      <c r="C429" s="43">
        <f>IF(_calc!$E$431="","","Contractor document")</f>
        <v/>
      </c>
      <c r="D429" s="43">
        <f>IF(_calc!$E$431="","",IF(ISNUMBER(INDEX('Documents'!$E$4:$E$503,_calc!$E$431)),TEXT(INDEX('Documents'!$E$4:$E$503,_calc!$E$431),"yyyy-mm-dd"),""))</f>
        <v/>
      </c>
      <c r="E429" s="43">
        <f>IF(_calc!$E$431="","",IF(LEN(INDEX('Documents'!$N$4:$N$503,_calc!$E$431))=0,"",INDEX('Documents'!$N$4:$N$503,_calc!$E$431)))</f>
        <v/>
      </c>
      <c r="F429" s="43">
        <f>IF(_calc!$E$431="","",TRIM(IF(LEN(IF(LEN(INDEX('Documents'!$B$4:$B$503,_calc!$E$431))=0,"",INDEX('Documents'!$B$4:$B$503,_calc!$E$431)))=0,"","Trade: "&amp;IF(LEN(INDEX('Documents'!$B$4:$B$503,_calc!$E$431))=0,"",INDEX('Documents'!$B$4:$B$503,_calc!$E$431))&amp;". ")&amp;IF(LEN(IF(LEN(INDEX('Documents'!$D$4:$D$503,_calc!$E$431))=0,"",INDEX('Documents'!$D$4:$D$503,_calc!$E$431)))=0,"","Ref: "&amp;IF(LEN(INDEX('Documents'!$D$4:$D$503,_calc!$E$431))=0,"",INDEX('Documents'!$D$4:$D$503,_calc!$E$431))&amp;". ")&amp;IF(LEN(IF(LEN(INDEX('Documents'!$K$4:$K$503,_calc!$E$431))=0,"",INDEX('Documents'!$K$4:$K$503,_calc!$E$431)))=0,"","On file: "&amp;IF(LEN(INDEX('Documents'!$K$4:$K$503,_calc!$E$431))=0,"",INDEX('Documents'!$K$4:$K$503,_calc!$E$431))&amp;". ")&amp;IF(LEN(IF(LEN(INDEX('Documents'!$L$4:$L$503,_calc!$E$431))=0,"",INDEX('Documents'!$L$4:$L$503,_calc!$E$431)))=0,"","Contractor email: "&amp;IF(LEN(INDEX('Documents'!$L$4:$L$503,_calc!$E$431))=0,"",INDEX('Documents'!$L$4:$L$503,_calc!$E$431))&amp;". ")&amp;IF(LEN(IF(LEN(INDEX('Documents'!$P$4:$P$503,_calc!$E$431))=0,"",INDEX('Documents'!$P$4:$P$503,_calc!$E$431)))=0,"",IF(LEN(INDEX('Documents'!$P$4:$P$503,_calc!$E$431))=0,"",INDEX('Documents'!$P$4:$P$503,_calc!$E$431)))))</f>
        <v/>
      </c>
      <c r="G429" s="43">
        <f>IF(_calc!$E$431="","",IF(LEN(INDEX('Documents'!$O$4:$O$503,_calc!$E$431))=0,"",INDEX('Documents'!$O$4:$O$503,_calc!$E$431)))</f>
        <v/>
      </c>
      <c r="K429" s="43">
        <f>IF(_calc!$E$431="","",IF(LEN(INDEX('Documents'!$M$4:$M$503,_calc!$E$431))=0,"",INDEX('Documents'!$M$4:$M$503,_calc!$E$431)))</f>
        <v/>
      </c>
    </row>
    <row r="430">
      <c r="A430" s="43">
        <f>IF(_calc!$E$432="","",IF(LEN(INDEX('Documents'!$C$4:$C$503,_calc!$E$432))=0,"",INDEX('Documents'!$C$4:$C$503,_calc!$E$432))&amp;" – "&amp;IF(LEN(INDEX('Documents'!$A$4:$A$503,_calc!$E$432))=0,"",INDEX('Documents'!$A$4:$A$503,_calc!$E$432)))</f>
        <v/>
      </c>
      <c r="B430" s="43">
        <f>IF(_calc!$E$432="","",IF(ISNUMBER(INDEX('Documents'!$F$4:$F$503,_calc!$E$432)),TEXT(INDEX('Documents'!$F$4:$F$503,_calc!$E$432),"yyyy-mm-dd"),""))</f>
        <v/>
      </c>
      <c r="C430" s="43">
        <f>IF(_calc!$E$432="","","Contractor document")</f>
        <v/>
      </c>
      <c r="D430" s="43">
        <f>IF(_calc!$E$432="","",IF(ISNUMBER(INDEX('Documents'!$E$4:$E$503,_calc!$E$432)),TEXT(INDEX('Documents'!$E$4:$E$503,_calc!$E$432),"yyyy-mm-dd"),""))</f>
        <v/>
      </c>
      <c r="E430" s="43">
        <f>IF(_calc!$E$432="","",IF(LEN(INDEX('Documents'!$N$4:$N$503,_calc!$E$432))=0,"",INDEX('Documents'!$N$4:$N$503,_calc!$E$432)))</f>
        <v/>
      </c>
      <c r="F430" s="43">
        <f>IF(_calc!$E$432="","",TRIM(IF(LEN(IF(LEN(INDEX('Documents'!$B$4:$B$503,_calc!$E$432))=0,"",INDEX('Documents'!$B$4:$B$503,_calc!$E$432)))=0,"","Trade: "&amp;IF(LEN(INDEX('Documents'!$B$4:$B$503,_calc!$E$432))=0,"",INDEX('Documents'!$B$4:$B$503,_calc!$E$432))&amp;". ")&amp;IF(LEN(IF(LEN(INDEX('Documents'!$D$4:$D$503,_calc!$E$432))=0,"",INDEX('Documents'!$D$4:$D$503,_calc!$E$432)))=0,"","Ref: "&amp;IF(LEN(INDEX('Documents'!$D$4:$D$503,_calc!$E$432))=0,"",INDEX('Documents'!$D$4:$D$503,_calc!$E$432))&amp;". ")&amp;IF(LEN(IF(LEN(INDEX('Documents'!$K$4:$K$503,_calc!$E$432))=0,"",INDEX('Documents'!$K$4:$K$503,_calc!$E$432)))=0,"","On file: "&amp;IF(LEN(INDEX('Documents'!$K$4:$K$503,_calc!$E$432))=0,"",INDEX('Documents'!$K$4:$K$503,_calc!$E$432))&amp;". ")&amp;IF(LEN(IF(LEN(INDEX('Documents'!$L$4:$L$503,_calc!$E$432))=0,"",INDEX('Documents'!$L$4:$L$503,_calc!$E$432)))=0,"","Contractor email: "&amp;IF(LEN(INDEX('Documents'!$L$4:$L$503,_calc!$E$432))=0,"",INDEX('Documents'!$L$4:$L$503,_calc!$E$432))&amp;". ")&amp;IF(LEN(IF(LEN(INDEX('Documents'!$P$4:$P$503,_calc!$E$432))=0,"",INDEX('Documents'!$P$4:$P$503,_calc!$E$432)))=0,"",IF(LEN(INDEX('Documents'!$P$4:$P$503,_calc!$E$432))=0,"",INDEX('Documents'!$P$4:$P$503,_calc!$E$432)))))</f>
        <v/>
      </c>
      <c r="G430" s="43">
        <f>IF(_calc!$E$432="","",IF(LEN(INDEX('Documents'!$O$4:$O$503,_calc!$E$432))=0,"",INDEX('Documents'!$O$4:$O$503,_calc!$E$432)))</f>
        <v/>
      </c>
      <c r="K430" s="43">
        <f>IF(_calc!$E$432="","",IF(LEN(INDEX('Documents'!$M$4:$M$503,_calc!$E$432))=0,"",INDEX('Documents'!$M$4:$M$503,_calc!$E$432)))</f>
        <v/>
      </c>
    </row>
    <row r="431">
      <c r="A431" s="43">
        <f>IF(_calc!$E$433="","",IF(LEN(INDEX('Documents'!$C$4:$C$503,_calc!$E$433))=0,"",INDEX('Documents'!$C$4:$C$503,_calc!$E$433))&amp;" – "&amp;IF(LEN(INDEX('Documents'!$A$4:$A$503,_calc!$E$433))=0,"",INDEX('Documents'!$A$4:$A$503,_calc!$E$433)))</f>
        <v/>
      </c>
      <c r="B431" s="43">
        <f>IF(_calc!$E$433="","",IF(ISNUMBER(INDEX('Documents'!$F$4:$F$503,_calc!$E$433)),TEXT(INDEX('Documents'!$F$4:$F$503,_calc!$E$433),"yyyy-mm-dd"),""))</f>
        <v/>
      </c>
      <c r="C431" s="43">
        <f>IF(_calc!$E$433="","","Contractor document")</f>
        <v/>
      </c>
      <c r="D431" s="43">
        <f>IF(_calc!$E$433="","",IF(ISNUMBER(INDEX('Documents'!$E$4:$E$503,_calc!$E$433)),TEXT(INDEX('Documents'!$E$4:$E$503,_calc!$E$433),"yyyy-mm-dd"),""))</f>
        <v/>
      </c>
      <c r="E431" s="43">
        <f>IF(_calc!$E$433="","",IF(LEN(INDEX('Documents'!$N$4:$N$503,_calc!$E$433))=0,"",INDEX('Documents'!$N$4:$N$503,_calc!$E$433)))</f>
        <v/>
      </c>
      <c r="F431" s="43">
        <f>IF(_calc!$E$433="","",TRIM(IF(LEN(IF(LEN(INDEX('Documents'!$B$4:$B$503,_calc!$E$433))=0,"",INDEX('Documents'!$B$4:$B$503,_calc!$E$433)))=0,"","Trade: "&amp;IF(LEN(INDEX('Documents'!$B$4:$B$503,_calc!$E$433))=0,"",INDEX('Documents'!$B$4:$B$503,_calc!$E$433))&amp;". ")&amp;IF(LEN(IF(LEN(INDEX('Documents'!$D$4:$D$503,_calc!$E$433))=0,"",INDEX('Documents'!$D$4:$D$503,_calc!$E$433)))=0,"","Ref: "&amp;IF(LEN(INDEX('Documents'!$D$4:$D$503,_calc!$E$433))=0,"",INDEX('Documents'!$D$4:$D$503,_calc!$E$433))&amp;". ")&amp;IF(LEN(IF(LEN(INDEX('Documents'!$K$4:$K$503,_calc!$E$433))=0,"",INDEX('Documents'!$K$4:$K$503,_calc!$E$433)))=0,"","On file: "&amp;IF(LEN(INDEX('Documents'!$K$4:$K$503,_calc!$E$433))=0,"",INDEX('Documents'!$K$4:$K$503,_calc!$E$433))&amp;". ")&amp;IF(LEN(IF(LEN(INDEX('Documents'!$L$4:$L$503,_calc!$E$433))=0,"",INDEX('Documents'!$L$4:$L$503,_calc!$E$433)))=0,"","Contractor email: "&amp;IF(LEN(INDEX('Documents'!$L$4:$L$503,_calc!$E$433))=0,"",INDEX('Documents'!$L$4:$L$503,_calc!$E$433))&amp;". ")&amp;IF(LEN(IF(LEN(INDEX('Documents'!$P$4:$P$503,_calc!$E$433))=0,"",INDEX('Documents'!$P$4:$P$503,_calc!$E$433)))=0,"",IF(LEN(INDEX('Documents'!$P$4:$P$503,_calc!$E$433))=0,"",INDEX('Documents'!$P$4:$P$503,_calc!$E$433)))))</f>
        <v/>
      </c>
      <c r="G431" s="43">
        <f>IF(_calc!$E$433="","",IF(LEN(INDEX('Documents'!$O$4:$O$503,_calc!$E$433))=0,"",INDEX('Documents'!$O$4:$O$503,_calc!$E$433)))</f>
        <v/>
      </c>
      <c r="K431" s="43">
        <f>IF(_calc!$E$433="","",IF(LEN(INDEX('Documents'!$M$4:$M$503,_calc!$E$433))=0,"",INDEX('Documents'!$M$4:$M$503,_calc!$E$433)))</f>
        <v/>
      </c>
    </row>
    <row r="432">
      <c r="A432" s="43">
        <f>IF(_calc!$E$434="","",IF(LEN(INDEX('Documents'!$C$4:$C$503,_calc!$E$434))=0,"",INDEX('Documents'!$C$4:$C$503,_calc!$E$434))&amp;" – "&amp;IF(LEN(INDEX('Documents'!$A$4:$A$503,_calc!$E$434))=0,"",INDEX('Documents'!$A$4:$A$503,_calc!$E$434)))</f>
        <v/>
      </c>
      <c r="B432" s="43">
        <f>IF(_calc!$E$434="","",IF(ISNUMBER(INDEX('Documents'!$F$4:$F$503,_calc!$E$434)),TEXT(INDEX('Documents'!$F$4:$F$503,_calc!$E$434),"yyyy-mm-dd"),""))</f>
        <v/>
      </c>
      <c r="C432" s="43">
        <f>IF(_calc!$E$434="","","Contractor document")</f>
        <v/>
      </c>
      <c r="D432" s="43">
        <f>IF(_calc!$E$434="","",IF(ISNUMBER(INDEX('Documents'!$E$4:$E$503,_calc!$E$434)),TEXT(INDEX('Documents'!$E$4:$E$503,_calc!$E$434),"yyyy-mm-dd"),""))</f>
        <v/>
      </c>
      <c r="E432" s="43">
        <f>IF(_calc!$E$434="","",IF(LEN(INDEX('Documents'!$N$4:$N$503,_calc!$E$434))=0,"",INDEX('Documents'!$N$4:$N$503,_calc!$E$434)))</f>
        <v/>
      </c>
      <c r="F432" s="43">
        <f>IF(_calc!$E$434="","",TRIM(IF(LEN(IF(LEN(INDEX('Documents'!$B$4:$B$503,_calc!$E$434))=0,"",INDEX('Documents'!$B$4:$B$503,_calc!$E$434)))=0,"","Trade: "&amp;IF(LEN(INDEX('Documents'!$B$4:$B$503,_calc!$E$434))=0,"",INDEX('Documents'!$B$4:$B$503,_calc!$E$434))&amp;". ")&amp;IF(LEN(IF(LEN(INDEX('Documents'!$D$4:$D$503,_calc!$E$434))=0,"",INDEX('Documents'!$D$4:$D$503,_calc!$E$434)))=0,"","Ref: "&amp;IF(LEN(INDEX('Documents'!$D$4:$D$503,_calc!$E$434))=0,"",INDEX('Documents'!$D$4:$D$503,_calc!$E$434))&amp;". ")&amp;IF(LEN(IF(LEN(INDEX('Documents'!$K$4:$K$503,_calc!$E$434))=0,"",INDEX('Documents'!$K$4:$K$503,_calc!$E$434)))=0,"","On file: "&amp;IF(LEN(INDEX('Documents'!$K$4:$K$503,_calc!$E$434))=0,"",INDEX('Documents'!$K$4:$K$503,_calc!$E$434))&amp;". ")&amp;IF(LEN(IF(LEN(INDEX('Documents'!$L$4:$L$503,_calc!$E$434))=0,"",INDEX('Documents'!$L$4:$L$503,_calc!$E$434)))=0,"","Contractor email: "&amp;IF(LEN(INDEX('Documents'!$L$4:$L$503,_calc!$E$434))=0,"",INDEX('Documents'!$L$4:$L$503,_calc!$E$434))&amp;". ")&amp;IF(LEN(IF(LEN(INDEX('Documents'!$P$4:$P$503,_calc!$E$434))=0,"",INDEX('Documents'!$P$4:$P$503,_calc!$E$434)))=0,"",IF(LEN(INDEX('Documents'!$P$4:$P$503,_calc!$E$434))=0,"",INDEX('Documents'!$P$4:$P$503,_calc!$E$434)))))</f>
        <v/>
      </c>
      <c r="G432" s="43">
        <f>IF(_calc!$E$434="","",IF(LEN(INDEX('Documents'!$O$4:$O$503,_calc!$E$434))=0,"",INDEX('Documents'!$O$4:$O$503,_calc!$E$434)))</f>
        <v/>
      </c>
      <c r="K432" s="43">
        <f>IF(_calc!$E$434="","",IF(LEN(INDEX('Documents'!$M$4:$M$503,_calc!$E$434))=0,"",INDEX('Documents'!$M$4:$M$503,_calc!$E$434)))</f>
        <v/>
      </c>
    </row>
    <row r="433">
      <c r="A433" s="43">
        <f>IF(_calc!$E$435="","",IF(LEN(INDEX('Documents'!$C$4:$C$503,_calc!$E$435))=0,"",INDEX('Documents'!$C$4:$C$503,_calc!$E$435))&amp;" – "&amp;IF(LEN(INDEX('Documents'!$A$4:$A$503,_calc!$E$435))=0,"",INDEX('Documents'!$A$4:$A$503,_calc!$E$435)))</f>
        <v/>
      </c>
      <c r="B433" s="43">
        <f>IF(_calc!$E$435="","",IF(ISNUMBER(INDEX('Documents'!$F$4:$F$503,_calc!$E$435)),TEXT(INDEX('Documents'!$F$4:$F$503,_calc!$E$435),"yyyy-mm-dd"),""))</f>
        <v/>
      </c>
      <c r="C433" s="43">
        <f>IF(_calc!$E$435="","","Contractor document")</f>
        <v/>
      </c>
      <c r="D433" s="43">
        <f>IF(_calc!$E$435="","",IF(ISNUMBER(INDEX('Documents'!$E$4:$E$503,_calc!$E$435)),TEXT(INDEX('Documents'!$E$4:$E$503,_calc!$E$435),"yyyy-mm-dd"),""))</f>
        <v/>
      </c>
      <c r="E433" s="43">
        <f>IF(_calc!$E$435="","",IF(LEN(INDEX('Documents'!$N$4:$N$503,_calc!$E$435))=0,"",INDEX('Documents'!$N$4:$N$503,_calc!$E$435)))</f>
        <v/>
      </c>
      <c r="F433" s="43">
        <f>IF(_calc!$E$435="","",TRIM(IF(LEN(IF(LEN(INDEX('Documents'!$B$4:$B$503,_calc!$E$435))=0,"",INDEX('Documents'!$B$4:$B$503,_calc!$E$435)))=0,"","Trade: "&amp;IF(LEN(INDEX('Documents'!$B$4:$B$503,_calc!$E$435))=0,"",INDEX('Documents'!$B$4:$B$503,_calc!$E$435))&amp;". ")&amp;IF(LEN(IF(LEN(INDEX('Documents'!$D$4:$D$503,_calc!$E$435))=0,"",INDEX('Documents'!$D$4:$D$503,_calc!$E$435)))=0,"","Ref: "&amp;IF(LEN(INDEX('Documents'!$D$4:$D$503,_calc!$E$435))=0,"",INDEX('Documents'!$D$4:$D$503,_calc!$E$435))&amp;". ")&amp;IF(LEN(IF(LEN(INDEX('Documents'!$K$4:$K$503,_calc!$E$435))=0,"",INDEX('Documents'!$K$4:$K$503,_calc!$E$435)))=0,"","On file: "&amp;IF(LEN(INDEX('Documents'!$K$4:$K$503,_calc!$E$435))=0,"",INDEX('Documents'!$K$4:$K$503,_calc!$E$435))&amp;". ")&amp;IF(LEN(IF(LEN(INDEX('Documents'!$L$4:$L$503,_calc!$E$435))=0,"",INDEX('Documents'!$L$4:$L$503,_calc!$E$435)))=0,"","Contractor email: "&amp;IF(LEN(INDEX('Documents'!$L$4:$L$503,_calc!$E$435))=0,"",INDEX('Documents'!$L$4:$L$503,_calc!$E$435))&amp;". ")&amp;IF(LEN(IF(LEN(INDEX('Documents'!$P$4:$P$503,_calc!$E$435))=0,"",INDEX('Documents'!$P$4:$P$503,_calc!$E$435)))=0,"",IF(LEN(INDEX('Documents'!$P$4:$P$503,_calc!$E$435))=0,"",INDEX('Documents'!$P$4:$P$503,_calc!$E$435)))))</f>
        <v/>
      </c>
      <c r="G433" s="43">
        <f>IF(_calc!$E$435="","",IF(LEN(INDEX('Documents'!$O$4:$O$503,_calc!$E$435))=0,"",INDEX('Documents'!$O$4:$O$503,_calc!$E$435)))</f>
        <v/>
      </c>
      <c r="K433" s="43">
        <f>IF(_calc!$E$435="","",IF(LEN(INDEX('Documents'!$M$4:$M$503,_calc!$E$435))=0,"",INDEX('Documents'!$M$4:$M$503,_calc!$E$435)))</f>
        <v/>
      </c>
    </row>
    <row r="434">
      <c r="A434" s="43">
        <f>IF(_calc!$E$436="","",IF(LEN(INDEX('Documents'!$C$4:$C$503,_calc!$E$436))=0,"",INDEX('Documents'!$C$4:$C$503,_calc!$E$436))&amp;" – "&amp;IF(LEN(INDEX('Documents'!$A$4:$A$503,_calc!$E$436))=0,"",INDEX('Documents'!$A$4:$A$503,_calc!$E$436)))</f>
        <v/>
      </c>
      <c r="B434" s="43">
        <f>IF(_calc!$E$436="","",IF(ISNUMBER(INDEX('Documents'!$F$4:$F$503,_calc!$E$436)),TEXT(INDEX('Documents'!$F$4:$F$503,_calc!$E$436),"yyyy-mm-dd"),""))</f>
        <v/>
      </c>
      <c r="C434" s="43">
        <f>IF(_calc!$E$436="","","Contractor document")</f>
        <v/>
      </c>
      <c r="D434" s="43">
        <f>IF(_calc!$E$436="","",IF(ISNUMBER(INDEX('Documents'!$E$4:$E$503,_calc!$E$436)),TEXT(INDEX('Documents'!$E$4:$E$503,_calc!$E$436),"yyyy-mm-dd"),""))</f>
        <v/>
      </c>
      <c r="E434" s="43">
        <f>IF(_calc!$E$436="","",IF(LEN(INDEX('Documents'!$N$4:$N$503,_calc!$E$436))=0,"",INDEX('Documents'!$N$4:$N$503,_calc!$E$436)))</f>
        <v/>
      </c>
      <c r="F434" s="43">
        <f>IF(_calc!$E$436="","",TRIM(IF(LEN(IF(LEN(INDEX('Documents'!$B$4:$B$503,_calc!$E$436))=0,"",INDEX('Documents'!$B$4:$B$503,_calc!$E$436)))=0,"","Trade: "&amp;IF(LEN(INDEX('Documents'!$B$4:$B$503,_calc!$E$436))=0,"",INDEX('Documents'!$B$4:$B$503,_calc!$E$436))&amp;". ")&amp;IF(LEN(IF(LEN(INDEX('Documents'!$D$4:$D$503,_calc!$E$436))=0,"",INDEX('Documents'!$D$4:$D$503,_calc!$E$436)))=0,"","Ref: "&amp;IF(LEN(INDEX('Documents'!$D$4:$D$503,_calc!$E$436))=0,"",INDEX('Documents'!$D$4:$D$503,_calc!$E$436))&amp;". ")&amp;IF(LEN(IF(LEN(INDEX('Documents'!$K$4:$K$503,_calc!$E$436))=0,"",INDEX('Documents'!$K$4:$K$503,_calc!$E$436)))=0,"","On file: "&amp;IF(LEN(INDEX('Documents'!$K$4:$K$503,_calc!$E$436))=0,"",INDEX('Documents'!$K$4:$K$503,_calc!$E$436))&amp;". ")&amp;IF(LEN(IF(LEN(INDEX('Documents'!$L$4:$L$503,_calc!$E$436))=0,"",INDEX('Documents'!$L$4:$L$503,_calc!$E$436)))=0,"","Contractor email: "&amp;IF(LEN(INDEX('Documents'!$L$4:$L$503,_calc!$E$436))=0,"",INDEX('Documents'!$L$4:$L$503,_calc!$E$436))&amp;". ")&amp;IF(LEN(IF(LEN(INDEX('Documents'!$P$4:$P$503,_calc!$E$436))=0,"",INDEX('Documents'!$P$4:$P$503,_calc!$E$436)))=0,"",IF(LEN(INDEX('Documents'!$P$4:$P$503,_calc!$E$436))=0,"",INDEX('Documents'!$P$4:$P$503,_calc!$E$436)))))</f>
        <v/>
      </c>
      <c r="G434" s="43">
        <f>IF(_calc!$E$436="","",IF(LEN(INDEX('Documents'!$O$4:$O$503,_calc!$E$436))=0,"",INDEX('Documents'!$O$4:$O$503,_calc!$E$436)))</f>
        <v/>
      </c>
      <c r="K434" s="43">
        <f>IF(_calc!$E$436="","",IF(LEN(INDEX('Documents'!$M$4:$M$503,_calc!$E$436))=0,"",INDEX('Documents'!$M$4:$M$503,_calc!$E$436)))</f>
        <v/>
      </c>
    </row>
    <row r="435">
      <c r="A435" s="43">
        <f>IF(_calc!$E$437="","",IF(LEN(INDEX('Documents'!$C$4:$C$503,_calc!$E$437))=0,"",INDEX('Documents'!$C$4:$C$503,_calc!$E$437))&amp;" – "&amp;IF(LEN(INDEX('Documents'!$A$4:$A$503,_calc!$E$437))=0,"",INDEX('Documents'!$A$4:$A$503,_calc!$E$437)))</f>
        <v/>
      </c>
      <c r="B435" s="43">
        <f>IF(_calc!$E$437="","",IF(ISNUMBER(INDEX('Documents'!$F$4:$F$503,_calc!$E$437)),TEXT(INDEX('Documents'!$F$4:$F$503,_calc!$E$437),"yyyy-mm-dd"),""))</f>
        <v/>
      </c>
      <c r="C435" s="43">
        <f>IF(_calc!$E$437="","","Contractor document")</f>
        <v/>
      </c>
      <c r="D435" s="43">
        <f>IF(_calc!$E$437="","",IF(ISNUMBER(INDEX('Documents'!$E$4:$E$503,_calc!$E$437)),TEXT(INDEX('Documents'!$E$4:$E$503,_calc!$E$437),"yyyy-mm-dd"),""))</f>
        <v/>
      </c>
      <c r="E435" s="43">
        <f>IF(_calc!$E$437="","",IF(LEN(INDEX('Documents'!$N$4:$N$503,_calc!$E$437))=0,"",INDEX('Documents'!$N$4:$N$503,_calc!$E$437)))</f>
        <v/>
      </c>
      <c r="F435" s="43">
        <f>IF(_calc!$E$437="","",TRIM(IF(LEN(IF(LEN(INDEX('Documents'!$B$4:$B$503,_calc!$E$437))=0,"",INDEX('Documents'!$B$4:$B$503,_calc!$E$437)))=0,"","Trade: "&amp;IF(LEN(INDEX('Documents'!$B$4:$B$503,_calc!$E$437))=0,"",INDEX('Documents'!$B$4:$B$503,_calc!$E$437))&amp;". ")&amp;IF(LEN(IF(LEN(INDEX('Documents'!$D$4:$D$503,_calc!$E$437))=0,"",INDEX('Documents'!$D$4:$D$503,_calc!$E$437)))=0,"","Ref: "&amp;IF(LEN(INDEX('Documents'!$D$4:$D$503,_calc!$E$437))=0,"",INDEX('Documents'!$D$4:$D$503,_calc!$E$437))&amp;". ")&amp;IF(LEN(IF(LEN(INDEX('Documents'!$K$4:$K$503,_calc!$E$437))=0,"",INDEX('Documents'!$K$4:$K$503,_calc!$E$437)))=0,"","On file: "&amp;IF(LEN(INDEX('Documents'!$K$4:$K$503,_calc!$E$437))=0,"",INDEX('Documents'!$K$4:$K$503,_calc!$E$437))&amp;". ")&amp;IF(LEN(IF(LEN(INDEX('Documents'!$L$4:$L$503,_calc!$E$437))=0,"",INDEX('Documents'!$L$4:$L$503,_calc!$E$437)))=0,"","Contractor email: "&amp;IF(LEN(INDEX('Documents'!$L$4:$L$503,_calc!$E$437))=0,"",INDEX('Documents'!$L$4:$L$503,_calc!$E$437))&amp;". ")&amp;IF(LEN(IF(LEN(INDEX('Documents'!$P$4:$P$503,_calc!$E$437))=0,"",INDEX('Documents'!$P$4:$P$503,_calc!$E$437)))=0,"",IF(LEN(INDEX('Documents'!$P$4:$P$503,_calc!$E$437))=0,"",INDEX('Documents'!$P$4:$P$503,_calc!$E$437)))))</f>
        <v/>
      </c>
      <c r="G435" s="43">
        <f>IF(_calc!$E$437="","",IF(LEN(INDEX('Documents'!$O$4:$O$503,_calc!$E$437))=0,"",INDEX('Documents'!$O$4:$O$503,_calc!$E$437)))</f>
        <v/>
      </c>
      <c r="K435" s="43">
        <f>IF(_calc!$E$437="","",IF(LEN(INDEX('Documents'!$M$4:$M$503,_calc!$E$437))=0,"",INDEX('Documents'!$M$4:$M$503,_calc!$E$437)))</f>
        <v/>
      </c>
    </row>
    <row r="436">
      <c r="A436" s="43">
        <f>IF(_calc!$E$438="","",IF(LEN(INDEX('Documents'!$C$4:$C$503,_calc!$E$438))=0,"",INDEX('Documents'!$C$4:$C$503,_calc!$E$438))&amp;" – "&amp;IF(LEN(INDEX('Documents'!$A$4:$A$503,_calc!$E$438))=0,"",INDEX('Documents'!$A$4:$A$503,_calc!$E$438)))</f>
        <v/>
      </c>
      <c r="B436" s="43">
        <f>IF(_calc!$E$438="","",IF(ISNUMBER(INDEX('Documents'!$F$4:$F$503,_calc!$E$438)),TEXT(INDEX('Documents'!$F$4:$F$503,_calc!$E$438),"yyyy-mm-dd"),""))</f>
        <v/>
      </c>
      <c r="C436" s="43">
        <f>IF(_calc!$E$438="","","Contractor document")</f>
        <v/>
      </c>
      <c r="D436" s="43">
        <f>IF(_calc!$E$438="","",IF(ISNUMBER(INDEX('Documents'!$E$4:$E$503,_calc!$E$438)),TEXT(INDEX('Documents'!$E$4:$E$503,_calc!$E$438),"yyyy-mm-dd"),""))</f>
        <v/>
      </c>
      <c r="E436" s="43">
        <f>IF(_calc!$E$438="","",IF(LEN(INDEX('Documents'!$N$4:$N$503,_calc!$E$438))=0,"",INDEX('Documents'!$N$4:$N$503,_calc!$E$438)))</f>
        <v/>
      </c>
      <c r="F436" s="43">
        <f>IF(_calc!$E$438="","",TRIM(IF(LEN(IF(LEN(INDEX('Documents'!$B$4:$B$503,_calc!$E$438))=0,"",INDEX('Documents'!$B$4:$B$503,_calc!$E$438)))=0,"","Trade: "&amp;IF(LEN(INDEX('Documents'!$B$4:$B$503,_calc!$E$438))=0,"",INDEX('Documents'!$B$4:$B$503,_calc!$E$438))&amp;". ")&amp;IF(LEN(IF(LEN(INDEX('Documents'!$D$4:$D$503,_calc!$E$438))=0,"",INDEX('Documents'!$D$4:$D$503,_calc!$E$438)))=0,"","Ref: "&amp;IF(LEN(INDEX('Documents'!$D$4:$D$503,_calc!$E$438))=0,"",INDEX('Documents'!$D$4:$D$503,_calc!$E$438))&amp;". ")&amp;IF(LEN(IF(LEN(INDEX('Documents'!$K$4:$K$503,_calc!$E$438))=0,"",INDEX('Documents'!$K$4:$K$503,_calc!$E$438)))=0,"","On file: "&amp;IF(LEN(INDEX('Documents'!$K$4:$K$503,_calc!$E$438))=0,"",INDEX('Documents'!$K$4:$K$503,_calc!$E$438))&amp;". ")&amp;IF(LEN(IF(LEN(INDEX('Documents'!$L$4:$L$503,_calc!$E$438))=0,"",INDEX('Documents'!$L$4:$L$503,_calc!$E$438)))=0,"","Contractor email: "&amp;IF(LEN(INDEX('Documents'!$L$4:$L$503,_calc!$E$438))=0,"",INDEX('Documents'!$L$4:$L$503,_calc!$E$438))&amp;". ")&amp;IF(LEN(IF(LEN(INDEX('Documents'!$P$4:$P$503,_calc!$E$438))=0,"",INDEX('Documents'!$P$4:$P$503,_calc!$E$438)))=0,"",IF(LEN(INDEX('Documents'!$P$4:$P$503,_calc!$E$438))=0,"",INDEX('Documents'!$P$4:$P$503,_calc!$E$438)))))</f>
        <v/>
      </c>
      <c r="G436" s="43">
        <f>IF(_calc!$E$438="","",IF(LEN(INDEX('Documents'!$O$4:$O$503,_calc!$E$438))=0,"",INDEX('Documents'!$O$4:$O$503,_calc!$E$438)))</f>
        <v/>
      </c>
      <c r="K436" s="43">
        <f>IF(_calc!$E$438="","",IF(LEN(INDEX('Documents'!$M$4:$M$503,_calc!$E$438))=0,"",INDEX('Documents'!$M$4:$M$503,_calc!$E$438)))</f>
        <v/>
      </c>
    </row>
    <row r="437">
      <c r="A437" s="43">
        <f>IF(_calc!$E$439="","",IF(LEN(INDEX('Documents'!$C$4:$C$503,_calc!$E$439))=0,"",INDEX('Documents'!$C$4:$C$503,_calc!$E$439))&amp;" – "&amp;IF(LEN(INDEX('Documents'!$A$4:$A$503,_calc!$E$439))=0,"",INDEX('Documents'!$A$4:$A$503,_calc!$E$439)))</f>
        <v/>
      </c>
      <c r="B437" s="43">
        <f>IF(_calc!$E$439="","",IF(ISNUMBER(INDEX('Documents'!$F$4:$F$503,_calc!$E$439)),TEXT(INDEX('Documents'!$F$4:$F$503,_calc!$E$439),"yyyy-mm-dd"),""))</f>
        <v/>
      </c>
      <c r="C437" s="43">
        <f>IF(_calc!$E$439="","","Contractor document")</f>
        <v/>
      </c>
      <c r="D437" s="43">
        <f>IF(_calc!$E$439="","",IF(ISNUMBER(INDEX('Documents'!$E$4:$E$503,_calc!$E$439)),TEXT(INDEX('Documents'!$E$4:$E$503,_calc!$E$439),"yyyy-mm-dd"),""))</f>
        <v/>
      </c>
      <c r="E437" s="43">
        <f>IF(_calc!$E$439="","",IF(LEN(INDEX('Documents'!$N$4:$N$503,_calc!$E$439))=0,"",INDEX('Documents'!$N$4:$N$503,_calc!$E$439)))</f>
        <v/>
      </c>
      <c r="F437" s="43">
        <f>IF(_calc!$E$439="","",TRIM(IF(LEN(IF(LEN(INDEX('Documents'!$B$4:$B$503,_calc!$E$439))=0,"",INDEX('Documents'!$B$4:$B$503,_calc!$E$439)))=0,"","Trade: "&amp;IF(LEN(INDEX('Documents'!$B$4:$B$503,_calc!$E$439))=0,"",INDEX('Documents'!$B$4:$B$503,_calc!$E$439))&amp;". ")&amp;IF(LEN(IF(LEN(INDEX('Documents'!$D$4:$D$503,_calc!$E$439))=0,"",INDEX('Documents'!$D$4:$D$503,_calc!$E$439)))=0,"","Ref: "&amp;IF(LEN(INDEX('Documents'!$D$4:$D$503,_calc!$E$439))=0,"",INDEX('Documents'!$D$4:$D$503,_calc!$E$439))&amp;". ")&amp;IF(LEN(IF(LEN(INDEX('Documents'!$K$4:$K$503,_calc!$E$439))=0,"",INDEX('Documents'!$K$4:$K$503,_calc!$E$439)))=0,"","On file: "&amp;IF(LEN(INDEX('Documents'!$K$4:$K$503,_calc!$E$439))=0,"",INDEX('Documents'!$K$4:$K$503,_calc!$E$439))&amp;". ")&amp;IF(LEN(IF(LEN(INDEX('Documents'!$L$4:$L$503,_calc!$E$439))=0,"",INDEX('Documents'!$L$4:$L$503,_calc!$E$439)))=0,"","Contractor email: "&amp;IF(LEN(INDEX('Documents'!$L$4:$L$503,_calc!$E$439))=0,"",INDEX('Documents'!$L$4:$L$503,_calc!$E$439))&amp;". ")&amp;IF(LEN(IF(LEN(INDEX('Documents'!$P$4:$P$503,_calc!$E$439))=0,"",INDEX('Documents'!$P$4:$P$503,_calc!$E$439)))=0,"",IF(LEN(INDEX('Documents'!$P$4:$P$503,_calc!$E$439))=0,"",INDEX('Documents'!$P$4:$P$503,_calc!$E$439)))))</f>
        <v/>
      </c>
      <c r="G437" s="43">
        <f>IF(_calc!$E$439="","",IF(LEN(INDEX('Documents'!$O$4:$O$503,_calc!$E$439))=0,"",INDEX('Documents'!$O$4:$O$503,_calc!$E$439)))</f>
        <v/>
      </c>
      <c r="K437" s="43">
        <f>IF(_calc!$E$439="","",IF(LEN(INDEX('Documents'!$M$4:$M$503,_calc!$E$439))=0,"",INDEX('Documents'!$M$4:$M$503,_calc!$E$439)))</f>
        <v/>
      </c>
    </row>
    <row r="438">
      <c r="A438" s="43">
        <f>IF(_calc!$E$440="","",IF(LEN(INDEX('Documents'!$C$4:$C$503,_calc!$E$440))=0,"",INDEX('Documents'!$C$4:$C$503,_calc!$E$440))&amp;" – "&amp;IF(LEN(INDEX('Documents'!$A$4:$A$503,_calc!$E$440))=0,"",INDEX('Documents'!$A$4:$A$503,_calc!$E$440)))</f>
        <v/>
      </c>
      <c r="B438" s="43">
        <f>IF(_calc!$E$440="","",IF(ISNUMBER(INDEX('Documents'!$F$4:$F$503,_calc!$E$440)),TEXT(INDEX('Documents'!$F$4:$F$503,_calc!$E$440),"yyyy-mm-dd"),""))</f>
        <v/>
      </c>
      <c r="C438" s="43">
        <f>IF(_calc!$E$440="","","Contractor document")</f>
        <v/>
      </c>
      <c r="D438" s="43">
        <f>IF(_calc!$E$440="","",IF(ISNUMBER(INDEX('Documents'!$E$4:$E$503,_calc!$E$440)),TEXT(INDEX('Documents'!$E$4:$E$503,_calc!$E$440),"yyyy-mm-dd"),""))</f>
        <v/>
      </c>
      <c r="E438" s="43">
        <f>IF(_calc!$E$440="","",IF(LEN(INDEX('Documents'!$N$4:$N$503,_calc!$E$440))=0,"",INDEX('Documents'!$N$4:$N$503,_calc!$E$440)))</f>
        <v/>
      </c>
      <c r="F438" s="43">
        <f>IF(_calc!$E$440="","",TRIM(IF(LEN(IF(LEN(INDEX('Documents'!$B$4:$B$503,_calc!$E$440))=0,"",INDEX('Documents'!$B$4:$B$503,_calc!$E$440)))=0,"","Trade: "&amp;IF(LEN(INDEX('Documents'!$B$4:$B$503,_calc!$E$440))=0,"",INDEX('Documents'!$B$4:$B$503,_calc!$E$440))&amp;". ")&amp;IF(LEN(IF(LEN(INDEX('Documents'!$D$4:$D$503,_calc!$E$440))=0,"",INDEX('Documents'!$D$4:$D$503,_calc!$E$440)))=0,"","Ref: "&amp;IF(LEN(INDEX('Documents'!$D$4:$D$503,_calc!$E$440))=0,"",INDEX('Documents'!$D$4:$D$503,_calc!$E$440))&amp;". ")&amp;IF(LEN(IF(LEN(INDEX('Documents'!$K$4:$K$503,_calc!$E$440))=0,"",INDEX('Documents'!$K$4:$K$503,_calc!$E$440)))=0,"","On file: "&amp;IF(LEN(INDEX('Documents'!$K$4:$K$503,_calc!$E$440))=0,"",INDEX('Documents'!$K$4:$K$503,_calc!$E$440))&amp;". ")&amp;IF(LEN(IF(LEN(INDEX('Documents'!$L$4:$L$503,_calc!$E$440))=0,"",INDEX('Documents'!$L$4:$L$503,_calc!$E$440)))=0,"","Contractor email: "&amp;IF(LEN(INDEX('Documents'!$L$4:$L$503,_calc!$E$440))=0,"",INDEX('Documents'!$L$4:$L$503,_calc!$E$440))&amp;". ")&amp;IF(LEN(IF(LEN(INDEX('Documents'!$P$4:$P$503,_calc!$E$440))=0,"",INDEX('Documents'!$P$4:$P$503,_calc!$E$440)))=0,"",IF(LEN(INDEX('Documents'!$P$4:$P$503,_calc!$E$440))=0,"",INDEX('Documents'!$P$4:$P$503,_calc!$E$440)))))</f>
        <v/>
      </c>
      <c r="G438" s="43">
        <f>IF(_calc!$E$440="","",IF(LEN(INDEX('Documents'!$O$4:$O$503,_calc!$E$440))=0,"",INDEX('Documents'!$O$4:$O$503,_calc!$E$440)))</f>
        <v/>
      </c>
      <c r="K438" s="43">
        <f>IF(_calc!$E$440="","",IF(LEN(INDEX('Documents'!$M$4:$M$503,_calc!$E$440))=0,"",INDEX('Documents'!$M$4:$M$503,_calc!$E$440)))</f>
        <v/>
      </c>
    </row>
    <row r="439">
      <c r="A439" s="43">
        <f>IF(_calc!$E$441="","",IF(LEN(INDEX('Documents'!$C$4:$C$503,_calc!$E$441))=0,"",INDEX('Documents'!$C$4:$C$503,_calc!$E$441))&amp;" – "&amp;IF(LEN(INDEX('Documents'!$A$4:$A$503,_calc!$E$441))=0,"",INDEX('Documents'!$A$4:$A$503,_calc!$E$441)))</f>
        <v/>
      </c>
      <c r="B439" s="43">
        <f>IF(_calc!$E$441="","",IF(ISNUMBER(INDEX('Documents'!$F$4:$F$503,_calc!$E$441)),TEXT(INDEX('Documents'!$F$4:$F$503,_calc!$E$441),"yyyy-mm-dd"),""))</f>
        <v/>
      </c>
      <c r="C439" s="43">
        <f>IF(_calc!$E$441="","","Contractor document")</f>
        <v/>
      </c>
      <c r="D439" s="43">
        <f>IF(_calc!$E$441="","",IF(ISNUMBER(INDEX('Documents'!$E$4:$E$503,_calc!$E$441)),TEXT(INDEX('Documents'!$E$4:$E$503,_calc!$E$441),"yyyy-mm-dd"),""))</f>
        <v/>
      </c>
      <c r="E439" s="43">
        <f>IF(_calc!$E$441="","",IF(LEN(INDEX('Documents'!$N$4:$N$503,_calc!$E$441))=0,"",INDEX('Documents'!$N$4:$N$503,_calc!$E$441)))</f>
        <v/>
      </c>
      <c r="F439" s="43">
        <f>IF(_calc!$E$441="","",TRIM(IF(LEN(IF(LEN(INDEX('Documents'!$B$4:$B$503,_calc!$E$441))=0,"",INDEX('Documents'!$B$4:$B$503,_calc!$E$441)))=0,"","Trade: "&amp;IF(LEN(INDEX('Documents'!$B$4:$B$503,_calc!$E$441))=0,"",INDEX('Documents'!$B$4:$B$503,_calc!$E$441))&amp;". ")&amp;IF(LEN(IF(LEN(INDEX('Documents'!$D$4:$D$503,_calc!$E$441))=0,"",INDEX('Documents'!$D$4:$D$503,_calc!$E$441)))=0,"","Ref: "&amp;IF(LEN(INDEX('Documents'!$D$4:$D$503,_calc!$E$441))=0,"",INDEX('Documents'!$D$4:$D$503,_calc!$E$441))&amp;". ")&amp;IF(LEN(IF(LEN(INDEX('Documents'!$K$4:$K$503,_calc!$E$441))=0,"",INDEX('Documents'!$K$4:$K$503,_calc!$E$441)))=0,"","On file: "&amp;IF(LEN(INDEX('Documents'!$K$4:$K$503,_calc!$E$441))=0,"",INDEX('Documents'!$K$4:$K$503,_calc!$E$441))&amp;". ")&amp;IF(LEN(IF(LEN(INDEX('Documents'!$L$4:$L$503,_calc!$E$441))=0,"",INDEX('Documents'!$L$4:$L$503,_calc!$E$441)))=0,"","Contractor email: "&amp;IF(LEN(INDEX('Documents'!$L$4:$L$503,_calc!$E$441))=0,"",INDEX('Documents'!$L$4:$L$503,_calc!$E$441))&amp;". ")&amp;IF(LEN(IF(LEN(INDEX('Documents'!$P$4:$P$503,_calc!$E$441))=0,"",INDEX('Documents'!$P$4:$P$503,_calc!$E$441)))=0,"",IF(LEN(INDEX('Documents'!$P$4:$P$503,_calc!$E$441))=0,"",INDEX('Documents'!$P$4:$P$503,_calc!$E$441)))))</f>
        <v/>
      </c>
      <c r="G439" s="43">
        <f>IF(_calc!$E$441="","",IF(LEN(INDEX('Documents'!$O$4:$O$503,_calc!$E$441))=0,"",INDEX('Documents'!$O$4:$O$503,_calc!$E$441)))</f>
        <v/>
      </c>
      <c r="K439" s="43">
        <f>IF(_calc!$E$441="","",IF(LEN(INDEX('Documents'!$M$4:$M$503,_calc!$E$441))=0,"",INDEX('Documents'!$M$4:$M$503,_calc!$E$441)))</f>
        <v/>
      </c>
    </row>
    <row r="440">
      <c r="A440" s="43">
        <f>IF(_calc!$E$442="","",IF(LEN(INDEX('Documents'!$C$4:$C$503,_calc!$E$442))=0,"",INDEX('Documents'!$C$4:$C$503,_calc!$E$442))&amp;" – "&amp;IF(LEN(INDEX('Documents'!$A$4:$A$503,_calc!$E$442))=0,"",INDEX('Documents'!$A$4:$A$503,_calc!$E$442)))</f>
        <v/>
      </c>
      <c r="B440" s="43">
        <f>IF(_calc!$E$442="","",IF(ISNUMBER(INDEX('Documents'!$F$4:$F$503,_calc!$E$442)),TEXT(INDEX('Documents'!$F$4:$F$503,_calc!$E$442),"yyyy-mm-dd"),""))</f>
        <v/>
      </c>
      <c r="C440" s="43">
        <f>IF(_calc!$E$442="","","Contractor document")</f>
        <v/>
      </c>
      <c r="D440" s="43">
        <f>IF(_calc!$E$442="","",IF(ISNUMBER(INDEX('Documents'!$E$4:$E$503,_calc!$E$442)),TEXT(INDEX('Documents'!$E$4:$E$503,_calc!$E$442),"yyyy-mm-dd"),""))</f>
        <v/>
      </c>
      <c r="E440" s="43">
        <f>IF(_calc!$E$442="","",IF(LEN(INDEX('Documents'!$N$4:$N$503,_calc!$E$442))=0,"",INDEX('Documents'!$N$4:$N$503,_calc!$E$442)))</f>
        <v/>
      </c>
      <c r="F440" s="43">
        <f>IF(_calc!$E$442="","",TRIM(IF(LEN(IF(LEN(INDEX('Documents'!$B$4:$B$503,_calc!$E$442))=0,"",INDEX('Documents'!$B$4:$B$503,_calc!$E$442)))=0,"","Trade: "&amp;IF(LEN(INDEX('Documents'!$B$4:$B$503,_calc!$E$442))=0,"",INDEX('Documents'!$B$4:$B$503,_calc!$E$442))&amp;". ")&amp;IF(LEN(IF(LEN(INDEX('Documents'!$D$4:$D$503,_calc!$E$442))=0,"",INDEX('Documents'!$D$4:$D$503,_calc!$E$442)))=0,"","Ref: "&amp;IF(LEN(INDEX('Documents'!$D$4:$D$503,_calc!$E$442))=0,"",INDEX('Documents'!$D$4:$D$503,_calc!$E$442))&amp;". ")&amp;IF(LEN(IF(LEN(INDEX('Documents'!$K$4:$K$503,_calc!$E$442))=0,"",INDEX('Documents'!$K$4:$K$503,_calc!$E$442)))=0,"","On file: "&amp;IF(LEN(INDEX('Documents'!$K$4:$K$503,_calc!$E$442))=0,"",INDEX('Documents'!$K$4:$K$503,_calc!$E$442))&amp;". ")&amp;IF(LEN(IF(LEN(INDEX('Documents'!$L$4:$L$503,_calc!$E$442))=0,"",INDEX('Documents'!$L$4:$L$503,_calc!$E$442)))=0,"","Contractor email: "&amp;IF(LEN(INDEX('Documents'!$L$4:$L$503,_calc!$E$442))=0,"",INDEX('Documents'!$L$4:$L$503,_calc!$E$442))&amp;". ")&amp;IF(LEN(IF(LEN(INDEX('Documents'!$P$4:$P$503,_calc!$E$442))=0,"",INDEX('Documents'!$P$4:$P$503,_calc!$E$442)))=0,"",IF(LEN(INDEX('Documents'!$P$4:$P$503,_calc!$E$442))=0,"",INDEX('Documents'!$P$4:$P$503,_calc!$E$442)))))</f>
        <v/>
      </c>
      <c r="G440" s="43">
        <f>IF(_calc!$E$442="","",IF(LEN(INDEX('Documents'!$O$4:$O$503,_calc!$E$442))=0,"",INDEX('Documents'!$O$4:$O$503,_calc!$E$442)))</f>
        <v/>
      </c>
      <c r="K440" s="43">
        <f>IF(_calc!$E$442="","",IF(LEN(INDEX('Documents'!$M$4:$M$503,_calc!$E$442))=0,"",INDEX('Documents'!$M$4:$M$503,_calc!$E$442)))</f>
        <v/>
      </c>
    </row>
    <row r="441">
      <c r="A441" s="43">
        <f>IF(_calc!$E$443="","",IF(LEN(INDEX('Documents'!$C$4:$C$503,_calc!$E$443))=0,"",INDEX('Documents'!$C$4:$C$503,_calc!$E$443))&amp;" – "&amp;IF(LEN(INDEX('Documents'!$A$4:$A$503,_calc!$E$443))=0,"",INDEX('Documents'!$A$4:$A$503,_calc!$E$443)))</f>
        <v/>
      </c>
      <c r="B441" s="43">
        <f>IF(_calc!$E$443="","",IF(ISNUMBER(INDEX('Documents'!$F$4:$F$503,_calc!$E$443)),TEXT(INDEX('Documents'!$F$4:$F$503,_calc!$E$443),"yyyy-mm-dd"),""))</f>
        <v/>
      </c>
      <c r="C441" s="43">
        <f>IF(_calc!$E$443="","","Contractor document")</f>
        <v/>
      </c>
      <c r="D441" s="43">
        <f>IF(_calc!$E$443="","",IF(ISNUMBER(INDEX('Documents'!$E$4:$E$503,_calc!$E$443)),TEXT(INDEX('Documents'!$E$4:$E$503,_calc!$E$443),"yyyy-mm-dd"),""))</f>
        <v/>
      </c>
      <c r="E441" s="43">
        <f>IF(_calc!$E$443="","",IF(LEN(INDEX('Documents'!$N$4:$N$503,_calc!$E$443))=0,"",INDEX('Documents'!$N$4:$N$503,_calc!$E$443)))</f>
        <v/>
      </c>
      <c r="F441" s="43">
        <f>IF(_calc!$E$443="","",TRIM(IF(LEN(IF(LEN(INDEX('Documents'!$B$4:$B$503,_calc!$E$443))=0,"",INDEX('Documents'!$B$4:$B$503,_calc!$E$443)))=0,"","Trade: "&amp;IF(LEN(INDEX('Documents'!$B$4:$B$503,_calc!$E$443))=0,"",INDEX('Documents'!$B$4:$B$503,_calc!$E$443))&amp;". ")&amp;IF(LEN(IF(LEN(INDEX('Documents'!$D$4:$D$503,_calc!$E$443))=0,"",INDEX('Documents'!$D$4:$D$503,_calc!$E$443)))=0,"","Ref: "&amp;IF(LEN(INDEX('Documents'!$D$4:$D$503,_calc!$E$443))=0,"",INDEX('Documents'!$D$4:$D$503,_calc!$E$443))&amp;". ")&amp;IF(LEN(IF(LEN(INDEX('Documents'!$K$4:$K$503,_calc!$E$443))=0,"",INDEX('Documents'!$K$4:$K$503,_calc!$E$443)))=0,"","On file: "&amp;IF(LEN(INDEX('Documents'!$K$4:$K$503,_calc!$E$443))=0,"",INDEX('Documents'!$K$4:$K$503,_calc!$E$443))&amp;". ")&amp;IF(LEN(IF(LEN(INDEX('Documents'!$L$4:$L$503,_calc!$E$443))=0,"",INDEX('Documents'!$L$4:$L$503,_calc!$E$443)))=0,"","Contractor email: "&amp;IF(LEN(INDEX('Documents'!$L$4:$L$503,_calc!$E$443))=0,"",INDEX('Documents'!$L$4:$L$503,_calc!$E$443))&amp;". ")&amp;IF(LEN(IF(LEN(INDEX('Documents'!$P$4:$P$503,_calc!$E$443))=0,"",INDEX('Documents'!$P$4:$P$503,_calc!$E$443)))=0,"",IF(LEN(INDEX('Documents'!$P$4:$P$503,_calc!$E$443))=0,"",INDEX('Documents'!$P$4:$P$503,_calc!$E$443)))))</f>
        <v/>
      </c>
      <c r="G441" s="43">
        <f>IF(_calc!$E$443="","",IF(LEN(INDEX('Documents'!$O$4:$O$503,_calc!$E$443))=0,"",INDEX('Documents'!$O$4:$O$503,_calc!$E$443)))</f>
        <v/>
      </c>
      <c r="K441" s="43">
        <f>IF(_calc!$E$443="","",IF(LEN(INDEX('Documents'!$M$4:$M$503,_calc!$E$443))=0,"",INDEX('Documents'!$M$4:$M$503,_calc!$E$443)))</f>
        <v/>
      </c>
    </row>
    <row r="442">
      <c r="A442" s="43">
        <f>IF(_calc!$E$444="","",IF(LEN(INDEX('Documents'!$C$4:$C$503,_calc!$E$444))=0,"",INDEX('Documents'!$C$4:$C$503,_calc!$E$444))&amp;" – "&amp;IF(LEN(INDEX('Documents'!$A$4:$A$503,_calc!$E$444))=0,"",INDEX('Documents'!$A$4:$A$503,_calc!$E$444)))</f>
        <v/>
      </c>
      <c r="B442" s="43">
        <f>IF(_calc!$E$444="","",IF(ISNUMBER(INDEX('Documents'!$F$4:$F$503,_calc!$E$444)),TEXT(INDEX('Documents'!$F$4:$F$503,_calc!$E$444),"yyyy-mm-dd"),""))</f>
        <v/>
      </c>
      <c r="C442" s="43">
        <f>IF(_calc!$E$444="","","Contractor document")</f>
        <v/>
      </c>
      <c r="D442" s="43">
        <f>IF(_calc!$E$444="","",IF(ISNUMBER(INDEX('Documents'!$E$4:$E$503,_calc!$E$444)),TEXT(INDEX('Documents'!$E$4:$E$503,_calc!$E$444),"yyyy-mm-dd"),""))</f>
        <v/>
      </c>
      <c r="E442" s="43">
        <f>IF(_calc!$E$444="","",IF(LEN(INDEX('Documents'!$N$4:$N$503,_calc!$E$444))=0,"",INDEX('Documents'!$N$4:$N$503,_calc!$E$444)))</f>
        <v/>
      </c>
      <c r="F442" s="43">
        <f>IF(_calc!$E$444="","",TRIM(IF(LEN(IF(LEN(INDEX('Documents'!$B$4:$B$503,_calc!$E$444))=0,"",INDEX('Documents'!$B$4:$B$503,_calc!$E$444)))=0,"","Trade: "&amp;IF(LEN(INDEX('Documents'!$B$4:$B$503,_calc!$E$444))=0,"",INDEX('Documents'!$B$4:$B$503,_calc!$E$444))&amp;". ")&amp;IF(LEN(IF(LEN(INDEX('Documents'!$D$4:$D$503,_calc!$E$444))=0,"",INDEX('Documents'!$D$4:$D$503,_calc!$E$444)))=0,"","Ref: "&amp;IF(LEN(INDEX('Documents'!$D$4:$D$503,_calc!$E$444))=0,"",INDEX('Documents'!$D$4:$D$503,_calc!$E$444))&amp;". ")&amp;IF(LEN(IF(LEN(INDEX('Documents'!$K$4:$K$503,_calc!$E$444))=0,"",INDEX('Documents'!$K$4:$K$503,_calc!$E$444)))=0,"","On file: "&amp;IF(LEN(INDEX('Documents'!$K$4:$K$503,_calc!$E$444))=0,"",INDEX('Documents'!$K$4:$K$503,_calc!$E$444))&amp;". ")&amp;IF(LEN(IF(LEN(INDEX('Documents'!$L$4:$L$503,_calc!$E$444))=0,"",INDEX('Documents'!$L$4:$L$503,_calc!$E$444)))=0,"","Contractor email: "&amp;IF(LEN(INDEX('Documents'!$L$4:$L$503,_calc!$E$444))=0,"",INDEX('Documents'!$L$4:$L$503,_calc!$E$444))&amp;". ")&amp;IF(LEN(IF(LEN(INDEX('Documents'!$P$4:$P$503,_calc!$E$444))=0,"",INDEX('Documents'!$P$4:$P$503,_calc!$E$444)))=0,"",IF(LEN(INDEX('Documents'!$P$4:$P$503,_calc!$E$444))=0,"",INDEX('Documents'!$P$4:$P$503,_calc!$E$444)))))</f>
        <v/>
      </c>
      <c r="G442" s="43">
        <f>IF(_calc!$E$444="","",IF(LEN(INDEX('Documents'!$O$4:$O$503,_calc!$E$444))=0,"",INDEX('Documents'!$O$4:$O$503,_calc!$E$444)))</f>
        <v/>
      </c>
      <c r="K442" s="43">
        <f>IF(_calc!$E$444="","",IF(LEN(INDEX('Documents'!$M$4:$M$503,_calc!$E$444))=0,"",INDEX('Documents'!$M$4:$M$503,_calc!$E$444)))</f>
        <v/>
      </c>
    </row>
    <row r="443">
      <c r="A443" s="43">
        <f>IF(_calc!$E$445="","",IF(LEN(INDEX('Documents'!$C$4:$C$503,_calc!$E$445))=0,"",INDEX('Documents'!$C$4:$C$503,_calc!$E$445))&amp;" – "&amp;IF(LEN(INDEX('Documents'!$A$4:$A$503,_calc!$E$445))=0,"",INDEX('Documents'!$A$4:$A$503,_calc!$E$445)))</f>
        <v/>
      </c>
      <c r="B443" s="43">
        <f>IF(_calc!$E$445="","",IF(ISNUMBER(INDEX('Documents'!$F$4:$F$503,_calc!$E$445)),TEXT(INDEX('Documents'!$F$4:$F$503,_calc!$E$445),"yyyy-mm-dd"),""))</f>
        <v/>
      </c>
      <c r="C443" s="43">
        <f>IF(_calc!$E$445="","","Contractor document")</f>
        <v/>
      </c>
      <c r="D443" s="43">
        <f>IF(_calc!$E$445="","",IF(ISNUMBER(INDEX('Documents'!$E$4:$E$503,_calc!$E$445)),TEXT(INDEX('Documents'!$E$4:$E$503,_calc!$E$445),"yyyy-mm-dd"),""))</f>
        <v/>
      </c>
      <c r="E443" s="43">
        <f>IF(_calc!$E$445="","",IF(LEN(INDEX('Documents'!$N$4:$N$503,_calc!$E$445))=0,"",INDEX('Documents'!$N$4:$N$503,_calc!$E$445)))</f>
        <v/>
      </c>
      <c r="F443" s="43">
        <f>IF(_calc!$E$445="","",TRIM(IF(LEN(IF(LEN(INDEX('Documents'!$B$4:$B$503,_calc!$E$445))=0,"",INDEX('Documents'!$B$4:$B$503,_calc!$E$445)))=0,"","Trade: "&amp;IF(LEN(INDEX('Documents'!$B$4:$B$503,_calc!$E$445))=0,"",INDEX('Documents'!$B$4:$B$503,_calc!$E$445))&amp;". ")&amp;IF(LEN(IF(LEN(INDEX('Documents'!$D$4:$D$503,_calc!$E$445))=0,"",INDEX('Documents'!$D$4:$D$503,_calc!$E$445)))=0,"","Ref: "&amp;IF(LEN(INDEX('Documents'!$D$4:$D$503,_calc!$E$445))=0,"",INDEX('Documents'!$D$4:$D$503,_calc!$E$445))&amp;". ")&amp;IF(LEN(IF(LEN(INDEX('Documents'!$K$4:$K$503,_calc!$E$445))=0,"",INDEX('Documents'!$K$4:$K$503,_calc!$E$445)))=0,"","On file: "&amp;IF(LEN(INDEX('Documents'!$K$4:$K$503,_calc!$E$445))=0,"",INDEX('Documents'!$K$4:$K$503,_calc!$E$445))&amp;". ")&amp;IF(LEN(IF(LEN(INDEX('Documents'!$L$4:$L$503,_calc!$E$445))=0,"",INDEX('Documents'!$L$4:$L$503,_calc!$E$445)))=0,"","Contractor email: "&amp;IF(LEN(INDEX('Documents'!$L$4:$L$503,_calc!$E$445))=0,"",INDEX('Documents'!$L$4:$L$503,_calc!$E$445))&amp;". ")&amp;IF(LEN(IF(LEN(INDEX('Documents'!$P$4:$P$503,_calc!$E$445))=0,"",INDEX('Documents'!$P$4:$P$503,_calc!$E$445)))=0,"",IF(LEN(INDEX('Documents'!$P$4:$P$503,_calc!$E$445))=0,"",INDEX('Documents'!$P$4:$P$503,_calc!$E$445)))))</f>
        <v/>
      </c>
      <c r="G443" s="43">
        <f>IF(_calc!$E$445="","",IF(LEN(INDEX('Documents'!$O$4:$O$503,_calc!$E$445))=0,"",INDEX('Documents'!$O$4:$O$503,_calc!$E$445)))</f>
        <v/>
      </c>
      <c r="K443" s="43">
        <f>IF(_calc!$E$445="","",IF(LEN(INDEX('Documents'!$M$4:$M$503,_calc!$E$445))=0,"",INDEX('Documents'!$M$4:$M$503,_calc!$E$445)))</f>
        <v/>
      </c>
    </row>
    <row r="444">
      <c r="A444" s="43">
        <f>IF(_calc!$E$446="","",IF(LEN(INDEX('Documents'!$C$4:$C$503,_calc!$E$446))=0,"",INDEX('Documents'!$C$4:$C$503,_calc!$E$446))&amp;" – "&amp;IF(LEN(INDEX('Documents'!$A$4:$A$503,_calc!$E$446))=0,"",INDEX('Documents'!$A$4:$A$503,_calc!$E$446)))</f>
        <v/>
      </c>
      <c r="B444" s="43">
        <f>IF(_calc!$E$446="","",IF(ISNUMBER(INDEX('Documents'!$F$4:$F$503,_calc!$E$446)),TEXT(INDEX('Documents'!$F$4:$F$503,_calc!$E$446),"yyyy-mm-dd"),""))</f>
        <v/>
      </c>
      <c r="C444" s="43">
        <f>IF(_calc!$E$446="","","Contractor document")</f>
        <v/>
      </c>
      <c r="D444" s="43">
        <f>IF(_calc!$E$446="","",IF(ISNUMBER(INDEX('Documents'!$E$4:$E$503,_calc!$E$446)),TEXT(INDEX('Documents'!$E$4:$E$503,_calc!$E$446),"yyyy-mm-dd"),""))</f>
        <v/>
      </c>
      <c r="E444" s="43">
        <f>IF(_calc!$E$446="","",IF(LEN(INDEX('Documents'!$N$4:$N$503,_calc!$E$446))=0,"",INDEX('Documents'!$N$4:$N$503,_calc!$E$446)))</f>
        <v/>
      </c>
      <c r="F444" s="43">
        <f>IF(_calc!$E$446="","",TRIM(IF(LEN(IF(LEN(INDEX('Documents'!$B$4:$B$503,_calc!$E$446))=0,"",INDEX('Documents'!$B$4:$B$503,_calc!$E$446)))=0,"","Trade: "&amp;IF(LEN(INDEX('Documents'!$B$4:$B$503,_calc!$E$446))=0,"",INDEX('Documents'!$B$4:$B$503,_calc!$E$446))&amp;". ")&amp;IF(LEN(IF(LEN(INDEX('Documents'!$D$4:$D$503,_calc!$E$446))=0,"",INDEX('Documents'!$D$4:$D$503,_calc!$E$446)))=0,"","Ref: "&amp;IF(LEN(INDEX('Documents'!$D$4:$D$503,_calc!$E$446))=0,"",INDEX('Documents'!$D$4:$D$503,_calc!$E$446))&amp;". ")&amp;IF(LEN(IF(LEN(INDEX('Documents'!$K$4:$K$503,_calc!$E$446))=0,"",INDEX('Documents'!$K$4:$K$503,_calc!$E$446)))=0,"","On file: "&amp;IF(LEN(INDEX('Documents'!$K$4:$K$503,_calc!$E$446))=0,"",INDEX('Documents'!$K$4:$K$503,_calc!$E$446))&amp;". ")&amp;IF(LEN(IF(LEN(INDEX('Documents'!$L$4:$L$503,_calc!$E$446))=0,"",INDEX('Documents'!$L$4:$L$503,_calc!$E$446)))=0,"","Contractor email: "&amp;IF(LEN(INDEX('Documents'!$L$4:$L$503,_calc!$E$446))=0,"",INDEX('Documents'!$L$4:$L$503,_calc!$E$446))&amp;". ")&amp;IF(LEN(IF(LEN(INDEX('Documents'!$P$4:$P$503,_calc!$E$446))=0,"",INDEX('Documents'!$P$4:$P$503,_calc!$E$446)))=0,"",IF(LEN(INDEX('Documents'!$P$4:$P$503,_calc!$E$446))=0,"",INDEX('Documents'!$P$4:$P$503,_calc!$E$446)))))</f>
        <v/>
      </c>
      <c r="G444" s="43">
        <f>IF(_calc!$E$446="","",IF(LEN(INDEX('Documents'!$O$4:$O$503,_calc!$E$446))=0,"",INDEX('Documents'!$O$4:$O$503,_calc!$E$446)))</f>
        <v/>
      </c>
      <c r="K444" s="43">
        <f>IF(_calc!$E$446="","",IF(LEN(INDEX('Documents'!$M$4:$M$503,_calc!$E$446))=0,"",INDEX('Documents'!$M$4:$M$503,_calc!$E$446)))</f>
        <v/>
      </c>
    </row>
    <row r="445">
      <c r="A445" s="43">
        <f>IF(_calc!$E$447="","",IF(LEN(INDEX('Documents'!$C$4:$C$503,_calc!$E$447))=0,"",INDEX('Documents'!$C$4:$C$503,_calc!$E$447))&amp;" – "&amp;IF(LEN(INDEX('Documents'!$A$4:$A$503,_calc!$E$447))=0,"",INDEX('Documents'!$A$4:$A$503,_calc!$E$447)))</f>
        <v/>
      </c>
      <c r="B445" s="43">
        <f>IF(_calc!$E$447="","",IF(ISNUMBER(INDEX('Documents'!$F$4:$F$503,_calc!$E$447)),TEXT(INDEX('Documents'!$F$4:$F$503,_calc!$E$447),"yyyy-mm-dd"),""))</f>
        <v/>
      </c>
      <c r="C445" s="43">
        <f>IF(_calc!$E$447="","","Contractor document")</f>
        <v/>
      </c>
      <c r="D445" s="43">
        <f>IF(_calc!$E$447="","",IF(ISNUMBER(INDEX('Documents'!$E$4:$E$503,_calc!$E$447)),TEXT(INDEX('Documents'!$E$4:$E$503,_calc!$E$447),"yyyy-mm-dd"),""))</f>
        <v/>
      </c>
      <c r="E445" s="43">
        <f>IF(_calc!$E$447="","",IF(LEN(INDEX('Documents'!$N$4:$N$503,_calc!$E$447))=0,"",INDEX('Documents'!$N$4:$N$503,_calc!$E$447)))</f>
        <v/>
      </c>
      <c r="F445" s="43">
        <f>IF(_calc!$E$447="","",TRIM(IF(LEN(IF(LEN(INDEX('Documents'!$B$4:$B$503,_calc!$E$447))=0,"",INDEX('Documents'!$B$4:$B$503,_calc!$E$447)))=0,"","Trade: "&amp;IF(LEN(INDEX('Documents'!$B$4:$B$503,_calc!$E$447))=0,"",INDEX('Documents'!$B$4:$B$503,_calc!$E$447))&amp;". ")&amp;IF(LEN(IF(LEN(INDEX('Documents'!$D$4:$D$503,_calc!$E$447))=0,"",INDEX('Documents'!$D$4:$D$503,_calc!$E$447)))=0,"","Ref: "&amp;IF(LEN(INDEX('Documents'!$D$4:$D$503,_calc!$E$447))=0,"",INDEX('Documents'!$D$4:$D$503,_calc!$E$447))&amp;". ")&amp;IF(LEN(IF(LEN(INDEX('Documents'!$K$4:$K$503,_calc!$E$447))=0,"",INDEX('Documents'!$K$4:$K$503,_calc!$E$447)))=0,"","On file: "&amp;IF(LEN(INDEX('Documents'!$K$4:$K$503,_calc!$E$447))=0,"",INDEX('Documents'!$K$4:$K$503,_calc!$E$447))&amp;". ")&amp;IF(LEN(IF(LEN(INDEX('Documents'!$L$4:$L$503,_calc!$E$447))=0,"",INDEX('Documents'!$L$4:$L$503,_calc!$E$447)))=0,"","Contractor email: "&amp;IF(LEN(INDEX('Documents'!$L$4:$L$503,_calc!$E$447))=0,"",INDEX('Documents'!$L$4:$L$503,_calc!$E$447))&amp;". ")&amp;IF(LEN(IF(LEN(INDEX('Documents'!$P$4:$P$503,_calc!$E$447))=0,"",INDEX('Documents'!$P$4:$P$503,_calc!$E$447)))=0,"",IF(LEN(INDEX('Documents'!$P$4:$P$503,_calc!$E$447))=0,"",INDEX('Documents'!$P$4:$P$503,_calc!$E$447)))))</f>
        <v/>
      </c>
      <c r="G445" s="43">
        <f>IF(_calc!$E$447="","",IF(LEN(INDEX('Documents'!$O$4:$O$503,_calc!$E$447))=0,"",INDEX('Documents'!$O$4:$O$503,_calc!$E$447)))</f>
        <v/>
      </c>
      <c r="K445" s="43">
        <f>IF(_calc!$E$447="","",IF(LEN(INDEX('Documents'!$M$4:$M$503,_calc!$E$447))=0,"",INDEX('Documents'!$M$4:$M$503,_calc!$E$447)))</f>
        <v/>
      </c>
    </row>
    <row r="446">
      <c r="A446" s="43">
        <f>IF(_calc!$E$448="","",IF(LEN(INDEX('Documents'!$C$4:$C$503,_calc!$E$448))=0,"",INDEX('Documents'!$C$4:$C$503,_calc!$E$448))&amp;" – "&amp;IF(LEN(INDEX('Documents'!$A$4:$A$503,_calc!$E$448))=0,"",INDEX('Documents'!$A$4:$A$503,_calc!$E$448)))</f>
        <v/>
      </c>
      <c r="B446" s="43">
        <f>IF(_calc!$E$448="","",IF(ISNUMBER(INDEX('Documents'!$F$4:$F$503,_calc!$E$448)),TEXT(INDEX('Documents'!$F$4:$F$503,_calc!$E$448),"yyyy-mm-dd"),""))</f>
        <v/>
      </c>
      <c r="C446" s="43">
        <f>IF(_calc!$E$448="","","Contractor document")</f>
        <v/>
      </c>
      <c r="D446" s="43">
        <f>IF(_calc!$E$448="","",IF(ISNUMBER(INDEX('Documents'!$E$4:$E$503,_calc!$E$448)),TEXT(INDEX('Documents'!$E$4:$E$503,_calc!$E$448),"yyyy-mm-dd"),""))</f>
        <v/>
      </c>
      <c r="E446" s="43">
        <f>IF(_calc!$E$448="","",IF(LEN(INDEX('Documents'!$N$4:$N$503,_calc!$E$448))=0,"",INDEX('Documents'!$N$4:$N$503,_calc!$E$448)))</f>
        <v/>
      </c>
      <c r="F446" s="43">
        <f>IF(_calc!$E$448="","",TRIM(IF(LEN(IF(LEN(INDEX('Documents'!$B$4:$B$503,_calc!$E$448))=0,"",INDEX('Documents'!$B$4:$B$503,_calc!$E$448)))=0,"","Trade: "&amp;IF(LEN(INDEX('Documents'!$B$4:$B$503,_calc!$E$448))=0,"",INDEX('Documents'!$B$4:$B$503,_calc!$E$448))&amp;". ")&amp;IF(LEN(IF(LEN(INDEX('Documents'!$D$4:$D$503,_calc!$E$448))=0,"",INDEX('Documents'!$D$4:$D$503,_calc!$E$448)))=0,"","Ref: "&amp;IF(LEN(INDEX('Documents'!$D$4:$D$503,_calc!$E$448))=0,"",INDEX('Documents'!$D$4:$D$503,_calc!$E$448))&amp;". ")&amp;IF(LEN(IF(LEN(INDEX('Documents'!$K$4:$K$503,_calc!$E$448))=0,"",INDEX('Documents'!$K$4:$K$503,_calc!$E$448)))=0,"","On file: "&amp;IF(LEN(INDEX('Documents'!$K$4:$K$503,_calc!$E$448))=0,"",INDEX('Documents'!$K$4:$K$503,_calc!$E$448))&amp;". ")&amp;IF(LEN(IF(LEN(INDEX('Documents'!$L$4:$L$503,_calc!$E$448))=0,"",INDEX('Documents'!$L$4:$L$503,_calc!$E$448)))=0,"","Contractor email: "&amp;IF(LEN(INDEX('Documents'!$L$4:$L$503,_calc!$E$448))=0,"",INDEX('Documents'!$L$4:$L$503,_calc!$E$448))&amp;". ")&amp;IF(LEN(IF(LEN(INDEX('Documents'!$P$4:$P$503,_calc!$E$448))=0,"",INDEX('Documents'!$P$4:$P$503,_calc!$E$448)))=0,"",IF(LEN(INDEX('Documents'!$P$4:$P$503,_calc!$E$448))=0,"",INDEX('Documents'!$P$4:$P$503,_calc!$E$448)))))</f>
        <v/>
      </c>
      <c r="G446" s="43">
        <f>IF(_calc!$E$448="","",IF(LEN(INDEX('Documents'!$O$4:$O$503,_calc!$E$448))=0,"",INDEX('Documents'!$O$4:$O$503,_calc!$E$448)))</f>
        <v/>
      </c>
      <c r="K446" s="43">
        <f>IF(_calc!$E$448="","",IF(LEN(INDEX('Documents'!$M$4:$M$503,_calc!$E$448))=0,"",INDEX('Documents'!$M$4:$M$503,_calc!$E$448)))</f>
        <v/>
      </c>
    </row>
    <row r="447">
      <c r="A447" s="43">
        <f>IF(_calc!$E$449="","",IF(LEN(INDEX('Documents'!$C$4:$C$503,_calc!$E$449))=0,"",INDEX('Documents'!$C$4:$C$503,_calc!$E$449))&amp;" – "&amp;IF(LEN(INDEX('Documents'!$A$4:$A$503,_calc!$E$449))=0,"",INDEX('Documents'!$A$4:$A$503,_calc!$E$449)))</f>
        <v/>
      </c>
      <c r="B447" s="43">
        <f>IF(_calc!$E$449="","",IF(ISNUMBER(INDEX('Documents'!$F$4:$F$503,_calc!$E$449)),TEXT(INDEX('Documents'!$F$4:$F$503,_calc!$E$449),"yyyy-mm-dd"),""))</f>
        <v/>
      </c>
      <c r="C447" s="43">
        <f>IF(_calc!$E$449="","","Contractor document")</f>
        <v/>
      </c>
      <c r="D447" s="43">
        <f>IF(_calc!$E$449="","",IF(ISNUMBER(INDEX('Documents'!$E$4:$E$503,_calc!$E$449)),TEXT(INDEX('Documents'!$E$4:$E$503,_calc!$E$449),"yyyy-mm-dd"),""))</f>
        <v/>
      </c>
      <c r="E447" s="43">
        <f>IF(_calc!$E$449="","",IF(LEN(INDEX('Documents'!$N$4:$N$503,_calc!$E$449))=0,"",INDEX('Documents'!$N$4:$N$503,_calc!$E$449)))</f>
        <v/>
      </c>
      <c r="F447" s="43">
        <f>IF(_calc!$E$449="","",TRIM(IF(LEN(IF(LEN(INDEX('Documents'!$B$4:$B$503,_calc!$E$449))=0,"",INDEX('Documents'!$B$4:$B$503,_calc!$E$449)))=0,"","Trade: "&amp;IF(LEN(INDEX('Documents'!$B$4:$B$503,_calc!$E$449))=0,"",INDEX('Documents'!$B$4:$B$503,_calc!$E$449))&amp;". ")&amp;IF(LEN(IF(LEN(INDEX('Documents'!$D$4:$D$503,_calc!$E$449))=0,"",INDEX('Documents'!$D$4:$D$503,_calc!$E$449)))=0,"","Ref: "&amp;IF(LEN(INDEX('Documents'!$D$4:$D$503,_calc!$E$449))=0,"",INDEX('Documents'!$D$4:$D$503,_calc!$E$449))&amp;". ")&amp;IF(LEN(IF(LEN(INDEX('Documents'!$K$4:$K$503,_calc!$E$449))=0,"",INDEX('Documents'!$K$4:$K$503,_calc!$E$449)))=0,"","On file: "&amp;IF(LEN(INDEX('Documents'!$K$4:$K$503,_calc!$E$449))=0,"",INDEX('Documents'!$K$4:$K$503,_calc!$E$449))&amp;". ")&amp;IF(LEN(IF(LEN(INDEX('Documents'!$L$4:$L$503,_calc!$E$449))=0,"",INDEX('Documents'!$L$4:$L$503,_calc!$E$449)))=0,"","Contractor email: "&amp;IF(LEN(INDEX('Documents'!$L$4:$L$503,_calc!$E$449))=0,"",INDEX('Documents'!$L$4:$L$503,_calc!$E$449))&amp;". ")&amp;IF(LEN(IF(LEN(INDEX('Documents'!$P$4:$P$503,_calc!$E$449))=0,"",INDEX('Documents'!$P$4:$P$503,_calc!$E$449)))=0,"",IF(LEN(INDEX('Documents'!$P$4:$P$503,_calc!$E$449))=0,"",INDEX('Documents'!$P$4:$P$503,_calc!$E$449)))))</f>
        <v/>
      </c>
      <c r="G447" s="43">
        <f>IF(_calc!$E$449="","",IF(LEN(INDEX('Documents'!$O$4:$O$503,_calc!$E$449))=0,"",INDEX('Documents'!$O$4:$O$503,_calc!$E$449)))</f>
        <v/>
      </c>
      <c r="K447" s="43">
        <f>IF(_calc!$E$449="","",IF(LEN(INDEX('Documents'!$M$4:$M$503,_calc!$E$449))=0,"",INDEX('Documents'!$M$4:$M$503,_calc!$E$449)))</f>
        <v/>
      </c>
    </row>
    <row r="448">
      <c r="A448" s="43">
        <f>IF(_calc!$E$450="","",IF(LEN(INDEX('Documents'!$C$4:$C$503,_calc!$E$450))=0,"",INDEX('Documents'!$C$4:$C$503,_calc!$E$450))&amp;" – "&amp;IF(LEN(INDEX('Documents'!$A$4:$A$503,_calc!$E$450))=0,"",INDEX('Documents'!$A$4:$A$503,_calc!$E$450)))</f>
        <v/>
      </c>
      <c r="B448" s="43">
        <f>IF(_calc!$E$450="","",IF(ISNUMBER(INDEX('Documents'!$F$4:$F$503,_calc!$E$450)),TEXT(INDEX('Documents'!$F$4:$F$503,_calc!$E$450),"yyyy-mm-dd"),""))</f>
        <v/>
      </c>
      <c r="C448" s="43">
        <f>IF(_calc!$E$450="","","Contractor document")</f>
        <v/>
      </c>
      <c r="D448" s="43">
        <f>IF(_calc!$E$450="","",IF(ISNUMBER(INDEX('Documents'!$E$4:$E$503,_calc!$E$450)),TEXT(INDEX('Documents'!$E$4:$E$503,_calc!$E$450),"yyyy-mm-dd"),""))</f>
        <v/>
      </c>
      <c r="E448" s="43">
        <f>IF(_calc!$E$450="","",IF(LEN(INDEX('Documents'!$N$4:$N$503,_calc!$E$450))=0,"",INDEX('Documents'!$N$4:$N$503,_calc!$E$450)))</f>
        <v/>
      </c>
      <c r="F448" s="43">
        <f>IF(_calc!$E$450="","",TRIM(IF(LEN(IF(LEN(INDEX('Documents'!$B$4:$B$503,_calc!$E$450))=0,"",INDEX('Documents'!$B$4:$B$503,_calc!$E$450)))=0,"","Trade: "&amp;IF(LEN(INDEX('Documents'!$B$4:$B$503,_calc!$E$450))=0,"",INDEX('Documents'!$B$4:$B$503,_calc!$E$450))&amp;". ")&amp;IF(LEN(IF(LEN(INDEX('Documents'!$D$4:$D$503,_calc!$E$450))=0,"",INDEX('Documents'!$D$4:$D$503,_calc!$E$450)))=0,"","Ref: "&amp;IF(LEN(INDEX('Documents'!$D$4:$D$503,_calc!$E$450))=0,"",INDEX('Documents'!$D$4:$D$503,_calc!$E$450))&amp;". ")&amp;IF(LEN(IF(LEN(INDEX('Documents'!$K$4:$K$503,_calc!$E$450))=0,"",INDEX('Documents'!$K$4:$K$503,_calc!$E$450)))=0,"","On file: "&amp;IF(LEN(INDEX('Documents'!$K$4:$K$503,_calc!$E$450))=0,"",INDEX('Documents'!$K$4:$K$503,_calc!$E$450))&amp;". ")&amp;IF(LEN(IF(LEN(INDEX('Documents'!$L$4:$L$503,_calc!$E$450))=0,"",INDEX('Documents'!$L$4:$L$503,_calc!$E$450)))=0,"","Contractor email: "&amp;IF(LEN(INDEX('Documents'!$L$4:$L$503,_calc!$E$450))=0,"",INDEX('Documents'!$L$4:$L$503,_calc!$E$450))&amp;". ")&amp;IF(LEN(IF(LEN(INDEX('Documents'!$P$4:$P$503,_calc!$E$450))=0,"",INDEX('Documents'!$P$4:$P$503,_calc!$E$450)))=0,"",IF(LEN(INDEX('Documents'!$P$4:$P$503,_calc!$E$450))=0,"",INDEX('Documents'!$P$4:$P$503,_calc!$E$450)))))</f>
        <v/>
      </c>
      <c r="G448" s="43">
        <f>IF(_calc!$E$450="","",IF(LEN(INDEX('Documents'!$O$4:$O$503,_calc!$E$450))=0,"",INDEX('Documents'!$O$4:$O$503,_calc!$E$450)))</f>
        <v/>
      </c>
      <c r="K448" s="43">
        <f>IF(_calc!$E$450="","",IF(LEN(INDEX('Documents'!$M$4:$M$503,_calc!$E$450))=0,"",INDEX('Documents'!$M$4:$M$503,_calc!$E$450)))</f>
        <v/>
      </c>
    </row>
    <row r="449">
      <c r="A449" s="43">
        <f>IF(_calc!$E$451="","",IF(LEN(INDEX('Documents'!$C$4:$C$503,_calc!$E$451))=0,"",INDEX('Documents'!$C$4:$C$503,_calc!$E$451))&amp;" – "&amp;IF(LEN(INDEX('Documents'!$A$4:$A$503,_calc!$E$451))=0,"",INDEX('Documents'!$A$4:$A$503,_calc!$E$451)))</f>
        <v/>
      </c>
      <c r="B449" s="43">
        <f>IF(_calc!$E$451="","",IF(ISNUMBER(INDEX('Documents'!$F$4:$F$503,_calc!$E$451)),TEXT(INDEX('Documents'!$F$4:$F$503,_calc!$E$451),"yyyy-mm-dd"),""))</f>
        <v/>
      </c>
      <c r="C449" s="43">
        <f>IF(_calc!$E$451="","","Contractor document")</f>
        <v/>
      </c>
      <c r="D449" s="43">
        <f>IF(_calc!$E$451="","",IF(ISNUMBER(INDEX('Documents'!$E$4:$E$503,_calc!$E$451)),TEXT(INDEX('Documents'!$E$4:$E$503,_calc!$E$451),"yyyy-mm-dd"),""))</f>
        <v/>
      </c>
      <c r="E449" s="43">
        <f>IF(_calc!$E$451="","",IF(LEN(INDEX('Documents'!$N$4:$N$503,_calc!$E$451))=0,"",INDEX('Documents'!$N$4:$N$503,_calc!$E$451)))</f>
        <v/>
      </c>
      <c r="F449" s="43">
        <f>IF(_calc!$E$451="","",TRIM(IF(LEN(IF(LEN(INDEX('Documents'!$B$4:$B$503,_calc!$E$451))=0,"",INDEX('Documents'!$B$4:$B$503,_calc!$E$451)))=0,"","Trade: "&amp;IF(LEN(INDEX('Documents'!$B$4:$B$503,_calc!$E$451))=0,"",INDEX('Documents'!$B$4:$B$503,_calc!$E$451))&amp;". ")&amp;IF(LEN(IF(LEN(INDEX('Documents'!$D$4:$D$503,_calc!$E$451))=0,"",INDEX('Documents'!$D$4:$D$503,_calc!$E$451)))=0,"","Ref: "&amp;IF(LEN(INDEX('Documents'!$D$4:$D$503,_calc!$E$451))=0,"",INDEX('Documents'!$D$4:$D$503,_calc!$E$451))&amp;". ")&amp;IF(LEN(IF(LEN(INDEX('Documents'!$K$4:$K$503,_calc!$E$451))=0,"",INDEX('Documents'!$K$4:$K$503,_calc!$E$451)))=0,"","On file: "&amp;IF(LEN(INDEX('Documents'!$K$4:$K$503,_calc!$E$451))=0,"",INDEX('Documents'!$K$4:$K$503,_calc!$E$451))&amp;". ")&amp;IF(LEN(IF(LEN(INDEX('Documents'!$L$4:$L$503,_calc!$E$451))=0,"",INDEX('Documents'!$L$4:$L$503,_calc!$E$451)))=0,"","Contractor email: "&amp;IF(LEN(INDEX('Documents'!$L$4:$L$503,_calc!$E$451))=0,"",INDEX('Documents'!$L$4:$L$503,_calc!$E$451))&amp;". ")&amp;IF(LEN(IF(LEN(INDEX('Documents'!$P$4:$P$503,_calc!$E$451))=0,"",INDEX('Documents'!$P$4:$P$503,_calc!$E$451)))=0,"",IF(LEN(INDEX('Documents'!$P$4:$P$503,_calc!$E$451))=0,"",INDEX('Documents'!$P$4:$P$503,_calc!$E$451)))))</f>
        <v/>
      </c>
      <c r="G449" s="43">
        <f>IF(_calc!$E$451="","",IF(LEN(INDEX('Documents'!$O$4:$O$503,_calc!$E$451))=0,"",INDEX('Documents'!$O$4:$O$503,_calc!$E$451)))</f>
        <v/>
      </c>
      <c r="K449" s="43">
        <f>IF(_calc!$E$451="","",IF(LEN(INDEX('Documents'!$M$4:$M$503,_calc!$E$451))=0,"",INDEX('Documents'!$M$4:$M$503,_calc!$E$451)))</f>
        <v/>
      </c>
    </row>
    <row r="450">
      <c r="A450" s="43">
        <f>IF(_calc!$E$452="","",IF(LEN(INDEX('Documents'!$C$4:$C$503,_calc!$E$452))=0,"",INDEX('Documents'!$C$4:$C$503,_calc!$E$452))&amp;" – "&amp;IF(LEN(INDEX('Documents'!$A$4:$A$503,_calc!$E$452))=0,"",INDEX('Documents'!$A$4:$A$503,_calc!$E$452)))</f>
        <v/>
      </c>
      <c r="B450" s="43">
        <f>IF(_calc!$E$452="","",IF(ISNUMBER(INDEX('Documents'!$F$4:$F$503,_calc!$E$452)),TEXT(INDEX('Documents'!$F$4:$F$503,_calc!$E$452),"yyyy-mm-dd"),""))</f>
        <v/>
      </c>
      <c r="C450" s="43">
        <f>IF(_calc!$E$452="","","Contractor document")</f>
        <v/>
      </c>
      <c r="D450" s="43">
        <f>IF(_calc!$E$452="","",IF(ISNUMBER(INDEX('Documents'!$E$4:$E$503,_calc!$E$452)),TEXT(INDEX('Documents'!$E$4:$E$503,_calc!$E$452),"yyyy-mm-dd"),""))</f>
        <v/>
      </c>
      <c r="E450" s="43">
        <f>IF(_calc!$E$452="","",IF(LEN(INDEX('Documents'!$N$4:$N$503,_calc!$E$452))=0,"",INDEX('Documents'!$N$4:$N$503,_calc!$E$452)))</f>
        <v/>
      </c>
      <c r="F450" s="43">
        <f>IF(_calc!$E$452="","",TRIM(IF(LEN(IF(LEN(INDEX('Documents'!$B$4:$B$503,_calc!$E$452))=0,"",INDEX('Documents'!$B$4:$B$503,_calc!$E$452)))=0,"","Trade: "&amp;IF(LEN(INDEX('Documents'!$B$4:$B$503,_calc!$E$452))=0,"",INDEX('Documents'!$B$4:$B$503,_calc!$E$452))&amp;". ")&amp;IF(LEN(IF(LEN(INDEX('Documents'!$D$4:$D$503,_calc!$E$452))=0,"",INDEX('Documents'!$D$4:$D$503,_calc!$E$452)))=0,"","Ref: "&amp;IF(LEN(INDEX('Documents'!$D$4:$D$503,_calc!$E$452))=0,"",INDEX('Documents'!$D$4:$D$503,_calc!$E$452))&amp;". ")&amp;IF(LEN(IF(LEN(INDEX('Documents'!$K$4:$K$503,_calc!$E$452))=0,"",INDEX('Documents'!$K$4:$K$503,_calc!$E$452)))=0,"","On file: "&amp;IF(LEN(INDEX('Documents'!$K$4:$K$503,_calc!$E$452))=0,"",INDEX('Documents'!$K$4:$K$503,_calc!$E$452))&amp;". ")&amp;IF(LEN(IF(LEN(INDEX('Documents'!$L$4:$L$503,_calc!$E$452))=0,"",INDEX('Documents'!$L$4:$L$503,_calc!$E$452)))=0,"","Contractor email: "&amp;IF(LEN(INDEX('Documents'!$L$4:$L$503,_calc!$E$452))=0,"",INDEX('Documents'!$L$4:$L$503,_calc!$E$452))&amp;". ")&amp;IF(LEN(IF(LEN(INDEX('Documents'!$P$4:$P$503,_calc!$E$452))=0,"",INDEX('Documents'!$P$4:$P$503,_calc!$E$452)))=0,"",IF(LEN(INDEX('Documents'!$P$4:$P$503,_calc!$E$452))=0,"",INDEX('Documents'!$P$4:$P$503,_calc!$E$452)))))</f>
        <v/>
      </c>
      <c r="G450" s="43">
        <f>IF(_calc!$E$452="","",IF(LEN(INDEX('Documents'!$O$4:$O$503,_calc!$E$452))=0,"",INDEX('Documents'!$O$4:$O$503,_calc!$E$452)))</f>
        <v/>
      </c>
      <c r="K450" s="43">
        <f>IF(_calc!$E$452="","",IF(LEN(INDEX('Documents'!$M$4:$M$503,_calc!$E$452))=0,"",INDEX('Documents'!$M$4:$M$503,_calc!$E$452)))</f>
        <v/>
      </c>
    </row>
    <row r="451">
      <c r="A451" s="43">
        <f>IF(_calc!$E$453="","",IF(LEN(INDEX('Documents'!$C$4:$C$503,_calc!$E$453))=0,"",INDEX('Documents'!$C$4:$C$503,_calc!$E$453))&amp;" – "&amp;IF(LEN(INDEX('Documents'!$A$4:$A$503,_calc!$E$453))=0,"",INDEX('Documents'!$A$4:$A$503,_calc!$E$453)))</f>
        <v/>
      </c>
      <c r="B451" s="43">
        <f>IF(_calc!$E$453="","",IF(ISNUMBER(INDEX('Documents'!$F$4:$F$503,_calc!$E$453)),TEXT(INDEX('Documents'!$F$4:$F$503,_calc!$E$453),"yyyy-mm-dd"),""))</f>
        <v/>
      </c>
      <c r="C451" s="43">
        <f>IF(_calc!$E$453="","","Contractor document")</f>
        <v/>
      </c>
      <c r="D451" s="43">
        <f>IF(_calc!$E$453="","",IF(ISNUMBER(INDEX('Documents'!$E$4:$E$503,_calc!$E$453)),TEXT(INDEX('Documents'!$E$4:$E$503,_calc!$E$453),"yyyy-mm-dd"),""))</f>
        <v/>
      </c>
      <c r="E451" s="43">
        <f>IF(_calc!$E$453="","",IF(LEN(INDEX('Documents'!$N$4:$N$503,_calc!$E$453))=0,"",INDEX('Documents'!$N$4:$N$503,_calc!$E$453)))</f>
        <v/>
      </c>
      <c r="F451" s="43">
        <f>IF(_calc!$E$453="","",TRIM(IF(LEN(IF(LEN(INDEX('Documents'!$B$4:$B$503,_calc!$E$453))=0,"",INDEX('Documents'!$B$4:$B$503,_calc!$E$453)))=0,"","Trade: "&amp;IF(LEN(INDEX('Documents'!$B$4:$B$503,_calc!$E$453))=0,"",INDEX('Documents'!$B$4:$B$503,_calc!$E$453))&amp;". ")&amp;IF(LEN(IF(LEN(INDEX('Documents'!$D$4:$D$503,_calc!$E$453))=0,"",INDEX('Documents'!$D$4:$D$503,_calc!$E$453)))=0,"","Ref: "&amp;IF(LEN(INDEX('Documents'!$D$4:$D$503,_calc!$E$453))=0,"",INDEX('Documents'!$D$4:$D$503,_calc!$E$453))&amp;". ")&amp;IF(LEN(IF(LEN(INDEX('Documents'!$K$4:$K$503,_calc!$E$453))=0,"",INDEX('Documents'!$K$4:$K$503,_calc!$E$453)))=0,"","On file: "&amp;IF(LEN(INDEX('Documents'!$K$4:$K$503,_calc!$E$453))=0,"",INDEX('Documents'!$K$4:$K$503,_calc!$E$453))&amp;". ")&amp;IF(LEN(IF(LEN(INDEX('Documents'!$L$4:$L$503,_calc!$E$453))=0,"",INDEX('Documents'!$L$4:$L$503,_calc!$E$453)))=0,"","Contractor email: "&amp;IF(LEN(INDEX('Documents'!$L$4:$L$503,_calc!$E$453))=0,"",INDEX('Documents'!$L$4:$L$503,_calc!$E$453))&amp;". ")&amp;IF(LEN(IF(LEN(INDEX('Documents'!$P$4:$P$503,_calc!$E$453))=0,"",INDEX('Documents'!$P$4:$P$503,_calc!$E$453)))=0,"",IF(LEN(INDEX('Documents'!$P$4:$P$503,_calc!$E$453))=0,"",INDEX('Documents'!$P$4:$P$503,_calc!$E$453)))))</f>
        <v/>
      </c>
      <c r="G451" s="43">
        <f>IF(_calc!$E$453="","",IF(LEN(INDEX('Documents'!$O$4:$O$503,_calc!$E$453))=0,"",INDEX('Documents'!$O$4:$O$503,_calc!$E$453)))</f>
        <v/>
      </c>
      <c r="K451" s="43">
        <f>IF(_calc!$E$453="","",IF(LEN(INDEX('Documents'!$M$4:$M$503,_calc!$E$453))=0,"",INDEX('Documents'!$M$4:$M$503,_calc!$E$453)))</f>
        <v/>
      </c>
    </row>
    <row r="452">
      <c r="A452" s="43">
        <f>IF(_calc!$E$454="","",IF(LEN(INDEX('Documents'!$C$4:$C$503,_calc!$E$454))=0,"",INDEX('Documents'!$C$4:$C$503,_calc!$E$454))&amp;" – "&amp;IF(LEN(INDEX('Documents'!$A$4:$A$503,_calc!$E$454))=0,"",INDEX('Documents'!$A$4:$A$503,_calc!$E$454)))</f>
        <v/>
      </c>
      <c r="B452" s="43">
        <f>IF(_calc!$E$454="","",IF(ISNUMBER(INDEX('Documents'!$F$4:$F$503,_calc!$E$454)),TEXT(INDEX('Documents'!$F$4:$F$503,_calc!$E$454),"yyyy-mm-dd"),""))</f>
        <v/>
      </c>
      <c r="C452" s="43">
        <f>IF(_calc!$E$454="","","Contractor document")</f>
        <v/>
      </c>
      <c r="D452" s="43">
        <f>IF(_calc!$E$454="","",IF(ISNUMBER(INDEX('Documents'!$E$4:$E$503,_calc!$E$454)),TEXT(INDEX('Documents'!$E$4:$E$503,_calc!$E$454),"yyyy-mm-dd"),""))</f>
        <v/>
      </c>
      <c r="E452" s="43">
        <f>IF(_calc!$E$454="","",IF(LEN(INDEX('Documents'!$N$4:$N$503,_calc!$E$454))=0,"",INDEX('Documents'!$N$4:$N$503,_calc!$E$454)))</f>
        <v/>
      </c>
      <c r="F452" s="43">
        <f>IF(_calc!$E$454="","",TRIM(IF(LEN(IF(LEN(INDEX('Documents'!$B$4:$B$503,_calc!$E$454))=0,"",INDEX('Documents'!$B$4:$B$503,_calc!$E$454)))=0,"","Trade: "&amp;IF(LEN(INDEX('Documents'!$B$4:$B$503,_calc!$E$454))=0,"",INDEX('Documents'!$B$4:$B$503,_calc!$E$454))&amp;". ")&amp;IF(LEN(IF(LEN(INDEX('Documents'!$D$4:$D$503,_calc!$E$454))=0,"",INDEX('Documents'!$D$4:$D$503,_calc!$E$454)))=0,"","Ref: "&amp;IF(LEN(INDEX('Documents'!$D$4:$D$503,_calc!$E$454))=0,"",INDEX('Documents'!$D$4:$D$503,_calc!$E$454))&amp;". ")&amp;IF(LEN(IF(LEN(INDEX('Documents'!$K$4:$K$503,_calc!$E$454))=0,"",INDEX('Documents'!$K$4:$K$503,_calc!$E$454)))=0,"","On file: "&amp;IF(LEN(INDEX('Documents'!$K$4:$K$503,_calc!$E$454))=0,"",INDEX('Documents'!$K$4:$K$503,_calc!$E$454))&amp;". ")&amp;IF(LEN(IF(LEN(INDEX('Documents'!$L$4:$L$503,_calc!$E$454))=0,"",INDEX('Documents'!$L$4:$L$503,_calc!$E$454)))=0,"","Contractor email: "&amp;IF(LEN(INDEX('Documents'!$L$4:$L$503,_calc!$E$454))=0,"",INDEX('Documents'!$L$4:$L$503,_calc!$E$454))&amp;". ")&amp;IF(LEN(IF(LEN(INDEX('Documents'!$P$4:$P$503,_calc!$E$454))=0,"",INDEX('Documents'!$P$4:$P$503,_calc!$E$454)))=0,"",IF(LEN(INDEX('Documents'!$P$4:$P$503,_calc!$E$454))=0,"",INDEX('Documents'!$P$4:$P$503,_calc!$E$454)))))</f>
        <v/>
      </c>
      <c r="G452" s="43">
        <f>IF(_calc!$E$454="","",IF(LEN(INDEX('Documents'!$O$4:$O$503,_calc!$E$454))=0,"",INDEX('Documents'!$O$4:$O$503,_calc!$E$454)))</f>
        <v/>
      </c>
      <c r="K452" s="43">
        <f>IF(_calc!$E$454="","",IF(LEN(INDEX('Documents'!$M$4:$M$503,_calc!$E$454))=0,"",INDEX('Documents'!$M$4:$M$503,_calc!$E$454)))</f>
        <v/>
      </c>
    </row>
    <row r="453">
      <c r="A453" s="43">
        <f>IF(_calc!$E$455="","",IF(LEN(INDEX('Documents'!$C$4:$C$503,_calc!$E$455))=0,"",INDEX('Documents'!$C$4:$C$503,_calc!$E$455))&amp;" – "&amp;IF(LEN(INDEX('Documents'!$A$4:$A$503,_calc!$E$455))=0,"",INDEX('Documents'!$A$4:$A$503,_calc!$E$455)))</f>
        <v/>
      </c>
      <c r="B453" s="43">
        <f>IF(_calc!$E$455="","",IF(ISNUMBER(INDEX('Documents'!$F$4:$F$503,_calc!$E$455)),TEXT(INDEX('Documents'!$F$4:$F$503,_calc!$E$455),"yyyy-mm-dd"),""))</f>
        <v/>
      </c>
      <c r="C453" s="43">
        <f>IF(_calc!$E$455="","","Contractor document")</f>
        <v/>
      </c>
      <c r="D453" s="43">
        <f>IF(_calc!$E$455="","",IF(ISNUMBER(INDEX('Documents'!$E$4:$E$503,_calc!$E$455)),TEXT(INDEX('Documents'!$E$4:$E$503,_calc!$E$455),"yyyy-mm-dd"),""))</f>
        <v/>
      </c>
      <c r="E453" s="43">
        <f>IF(_calc!$E$455="","",IF(LEN(INDEX('Documents'!$N$4:$N$503,_calc!$E$455))=0,"",INDEX('Documents'!$N$4:$N$503,_calc!$E$455)))</f>
        <v/>
      </c>
      <c r="F453" s="43">
        <f>IF(_calc!$E$455="","",TRIM(IF(LEN(IF(LEN(INDEX('Documents'!$B$4:$B$503,_calc!$E$455))=0,"",INDEX('Documents'!$B$4:$B$503,_calc!$E$455)))=0,"","Trade: "&amp;IF(LEN(INDEX('Documents'!$B$4:$B$503,_calc!$E$455))=0,"",INDEX('Documents'!$B$4:$B$503,_calc!$E$455))&amp;". ")&amp;IF(LEN(IF(LEN(INDEX('Documents'!$D$4:$D$503,_calc!$E$455))=0,"",INDEX('Documents'!$D$4:$D$503,_calc!$E$455)))=0,"","Ref: "&amp;IF(LEN(INDEX('Documents'!$D$4:$D$503,_calc!$E$455))=0,"",INDEX('Documents'!$D$4:$D$503,_calc!$E$455))&amp;". ")&amp;IF(LEN(IF(LEN(INDEX('Documents'!$K$4:$K$503,_calc!$E$455))=0,"",INDEX('Documents'!$K$4:$K$503,_calc!$E$455)))=0,"","On file: "&amp;IF(LEN(INDEX('Documents'!$K$4:$K$503,_calc!$E$455))=0,"",INDEX('Documents'!$K$4:$K$503,_calc!$E$455))&amp;". ")&amp;IF(LEN(IF(LEN(INDEX('Documents'!$L$4:$L$503,_calc!$E$455))=0,"",INDEX('Documents'!$L$4:$L$503,_calc!$E$455)))=0,"","Contractor email: "&amp;IF(LEN(INDEX('Documents'!$L$4:$L$503,_calc!$E$455))=0,"",INDEX('Documents'!$L$4:$L$503,_calc!$E$455))&amp;". ")&amp;IF(LEN(IF(LEN(INDEX('Documents'!$P$4:$P$503,_calc!$E$455))=0,"",INDEX('Documents'!$P$4:$P$503,_calc!$E$455)))=0,"",IF(LEN(INDEX('Documents'!$P$4:$P$503,_calc!$E$455))=0,"",INDEX('Documents'!$P$4:$P$503,_calc!$E$455)))))</f>
        <v/>
      </c>
      <c r="G453" s="43">
        <f>IF(_calc!$E$455="","",IF(LEN(INDEX('Documents'!$O$4:$O$503,_calc!$E$455))=0,"",INDEX('Documents'!$O$4:$O$503,_calc!$E$455)))</f>
        <v/>
      </c>
      <c r="K453" s="43">
        <f>IF(_calc!$E$455="","",IF(LEN(INDEX('Documents'!$M$4:$M$503,_calc!$E$455))=0,"",INDEX('Documents'!$M$4:$M$503,_calc!$E$455)))</f>
        <v/>
      </c>
    </row>
    <row r="454">
      <c r="A454" s="43">
        <f>IF(_calc!$E$456="","",IF(LEN(INDEX('Documents'!$C$4:$C$503,_calc!$E$456))=0,"",INDEX('Documents'!$C$4:$C$503,_calc!$E$456))&amp;" – "&amp;IF(LEN(INDEX('Documents'!$A$4:$A$503,_calc!$E$456))=0,"",INDEX('Documents'!$A$4:$A$503,_calc!$E$456)))</f>
        <v/>
      </c>
      <c r="B454" s="43">
        <f>IF(_calc!$E$456="","",IF(ISNUMBER(INDEX('Documents'!$F$4:$F$503,_calc!$E$456)),TEXT(INDEX('Documents'!$F$4:$F$503,_calc!$E$456),"yyyy-mm-dd"),""))</f>
        <v/>
      </c>
      <c r="C454" s="43">
        <f>IF(_calc!$E$456="","","Contractor document")</f>
        <v/>
      </c>
      <c r="D454" s="43">
        <f>IF(_calc!$E$456="","",IF(ISNUMBER(INDEX('Documents'!$E$4:$E$503,_calc!$E$456)),TEXT(INDEX('Documents'!$E$4:$E$503,_calc!$E$456),"yyyy-mm-dd"),""))</f>
        <v/>
      </c>
      <c r="E454" s="43">
        <f>IF(_calc!$E$456="","",IF(LEN(INDEX('Documents'!$N$4:$N$503,_calc!$E$456))=0,"",INDEX('Documents'!$N$4:$N$503,_calc!$E$456)))</f>
        <v/>
      </c>
      <c r="F454" s="43">
        <f>IF(_calc!$E$456="","",TRIM(IF(LEN(IF(LEN(INDEX('Documents'!$B$4:$B$503,_calc!$E$456))=0,"",INDEX('Documents'!$B$4:$B$503,_calc!$E$456)))=0,"","Trade: "&amp;IF(LEN(INDEX('Documents'!$B$4:$B$503,_calc!$E$456))=0,"",INDEX('Documents'!$B$4:$B$503,_calc!$E$456))&amp;". ")&amp;IF(LEN(IF(LEN(INDEX('Documents'!$D$4:$D$503,_calc!$E$456))=0,"",INDEX('Documents'!$D$4:$D$503,_calc!$E$456)))=0,"","Ref: "&amp;IF(LEN(INDEX('Documents'!$D$4:$D$503,_calc!$E$456))=0,"",INDEX('Documents'!$D$4:$D$503,_calc!$E$456))&amp;". ")&amp;IF(LEN(IF(LEN(INDEX('Documents'!$K$4:$K$503,_calc!$E$456))=0,"",INDEX('Documents'!$K$4:$K$503,_calc!$E$456)))=0,"","On file: "&amp;IF(LEN(INDEX('Documents'!$K$4:$K$503,_calc!$E$456))=0,"",INDEX('Documents'!$K$4:$K$503,_calc!$E$456))&amp;". ")&amp;IF(LEN(IF(LEN(INDEX('Documents'!$L$4:$L$503,_calc!$E$456))=0,"",INDEX('Documents'!$L$4:$L$503,_calc!$E$456)))=0,"","Contractor email: "&amp;IF(LEN(INDEX('Documents'!$L$4:$L$503,_calc!$E$456))=0,"",INDEX('Documents'!$L$4:$L$503,_calc!$E$456))&amp;". ")&amp;IF(LEN(IF(LEN(INDEX('Documents'!$P$4:$P$503,_calc!$E$456))=0,"",INDEX('Documents'!$P$4:$P$503,_calc!$E$456)))=0,"",IF(LEN(INDEX('Documents'!$P$4:$P$503,_calc!$E$456))=0,"",INDEX('Documents'!$P$4:$P$503,_calc!$E$456)))))</f>
        <v/>
      </c>
      <c r="G454" s="43">
        <f>IF(_calc!$E$456="","",IF(LEN(INDEX('Documents'!$O$4:$O$503,_calc!$E$456))=0,"",INDEX('Documents'!$O$4:$O$503,_calc!$E$456)))</f>
        <v/>
      </c>
      <c r="K454" s="43">
        <f>IF(_calc!$E$456="","",IF(LEN(INDEX('Documents'!$M$4:$M$503,_calc!$E$456))=0,"",INDEX('Documents'!$M$4:$M$503,_calc!$E$456)))</f>
        <v/>
      </c>
    </row>
    <row r="455">
      <c r="A455" s="43">
        <f>IF(_calc!$E$457="","",IF(LEN(INDEX('Documents'!$C$4:$C$503,_calc!$E$457))=0,"",INDEX('Documents'!$C$4:$C$503,_calc!$E$457))&amp;" – "&amp;IF(LEN(INDEX('Documents'!$A$4:$A$503,_calc!$E$457))=0,"",INDEX('Documents'!$A$4:$A$503,_calc!$E$457)))</f>
        <v/>
      </c>
      <c r="B455" s="43">
        <f>IF(_calc!$E$457="","",IF(ISNUMBER(INDEX('Documents'!$F$4:$F$503,_calc!$E$457)),TEXT(INDEX('Documents'!$F$4:$F$503,_calc!$E$457),"yyyy-mm-dd"),""))</f>
        <v/>
      </c>
      <c r="C455" s="43">
        <f>IF(_calc!$E$457="","","Contractor document")</f>
        <v/>
      </c>
      <c r="D455" s="43">
        <f>IF(_calc!$E$457="","",IF(ISNUMBER(INDEX('Documents'!$E$4:$E$503,_calc!$E$457)),TEXT(INDEX('Documents'!$E$4:$E$503,_calc!$E$457),"yyyy-mm-dd"),""))</f>
        <v/>
      </c>
      <c r="E455" s="43">
        <f>IF(_calc!$E$457="","",IF(LEN(INDEX('Documents'!$N$4:$N$503,_calc!$E$457))=0,"",INDEX('Documents'!$N$4:$N$503,_calc!$E$457)))</f>
        <v/>
      </c>
      <c r="F455" s="43">
        <f>IF(_calc!$E$457="","",TRIM(IF(LEN(IF(LEN(INDEX('Documents'!$B$4:$B$503,_calc!$E$457))=0,"",INDEX('Documents'!$B$4:$B$503,_calc!$E$457)))=0,"","Trade: "&amp;IF(LEN(INDEX('Documents'!$B$4:$B$503,_calc!$E$457))=0,"",INDEX('Documents'!$B$4:$B$503,_calc!$E$457))&amp;". ")&amp;IF(LEN(IF(LEN(INDEX('Documents'!$D$4:$D$503,_calc!$E$457))=0,"",INDEX('Documents'!$D$4:$D$503,_calc!$E$457)))=0,"","Ref: "&amp;IF(LEN(INDEX('Documents'!$D$4:$D$503,_calc!$E$457))=0,"",INDEX('Documents'!$D$4:$D$503,_calc!$E$457))&amp;". ")&amp;IF(LEN(IF(LEN(INDEX('Documents'!$K$4:$K$503,_calc!$E$457))=0,"",INDEX('Documents'!$K$4:$K$503,_calc!$E$457)))=0,"","On file: "&amp;IF(LEN(INDEX('Documents'!$K$4:$K$503,_calc!$E$457))=0,"",INDEX('Documents'!$K$4:$K$503,_calc!$E$457))&amp;". ")&amp;IF(LEN(IF(LEN(INDEX('Documents'!$L$4:$L$503,_calc!$E$457))=0,"",INDEX('Documents'!$L$4:$L$503,_calc!$E$457)))=0,"","Contractor email: "&amp;IF(LEN(INDEX('Documents'!$L$4:$L$503,_calc!$E$457))=0,"",INDEX('Documents'!$L$4:$L$503,_calc!$E$457))&amp;". ")&amp;IF(LEN(IF(LEN(INDEX('Documents'!$P$4:$P$503,_calc!$E$457))=0,"",INDEX('Documents'!$P$4:$P$503,_calc!$E$457)))=0,"",IF(LEN(INDEX('Documents'!$P$4:$P$503,_calc!$E$457))=0,"",INDEX('Documents'!$P$4:$P$503,_calc!$E$457)))))</f>
        <v/>
      </c>
      <c r="G455" s="43">
        <f>IF(_calc!$E$457="","",IF(LEN(INDEX('Documents'!$O$4:$O$503,_calc!$E$457))=0,"",INDEX('Documents'!$O$4:$O$503,_calc!$E$457)))</f>
        <v/>
      </c>
      <c r="K455" s="43">
        <f>IF(_calc!$E$457="","",IF(LEN(INDEX('Documents'!$M$4:$M$503,_calc!$E$457))=0,"",INDEX('Documents'!$M$4:$M$503,_calc!$E$457)))</f>
        <v/>
      </c>
    </row>
    <row r="456">
      <c r="A456" s="43">
        <f>IF(_calc!$E$458="","",IF(LEN(INDEX('Documents'!$C$4:$C$503,_calc!$E$458))=0,"",INDEX('Documents'!$C$4:$C$503,_calc!$E$458))&amp;" – "&amp;IF(LEN(INDEX('Documents'!$A$4:$A$503,_calc!$E$458))=0,"",INDEX('Documents'!$A$4:$A$503,_calc!$E$458)))</f>
        <v/>
      </c>
      <c r="B456" s="43">
        <f>IF(_calc!$E$458="","",IF(ISNUMBER(INDEX('Documents'!$F$4:$F$503,_calc!$E$458)),TEXT(INDEX('Documents'!$F$4:$F$503,_calc!$E$458),"yyyy-mm-dd"),""))</f>
        <v/>
      </c>
      <c r="C456" s="43">
        <f>IF(_calc!$E$458="","","Contractor document")</f>
        <v/>
      </c>
      <c r="D456" s="43">
        <f>IF(_calc!$E$458="","",IF(ISNUMBER(INDEX('Documents'!$E$4:$E$503,_calc!$E$458)),TEXT(INDEX('Documents'!$E$4:$E$503,_calc!$E$458),"yyyy-mm-dd"),""))</f>
        <v/>
      </c>
      <c r="E456" s="43">
        <f>IF(_calc!$E$458="","",IF(LEN(INDEX('Documents'!$N$4:$N$503,_calc!$E$458))=0,"",INDEX('Documents'!$N$4:$N$503,_calc!$E$458)))</f>
        <v/>
      </c>
      <c r="F456" s="43">
        <f>IF(_calc!$E$458="","",TRIM(IF(LEN(IF(LEN(INDEX('Documents'!$B$4:$B$503,_calc!$E$458))=0,"",INDEX('Documents'!$B$4:$B$503,_calc!$E$458)))=0,"","Trade: "&amp;IF(LEN(INDEX('Documents'!$B$4:$B$503,_calc!$E$458))=0,"",INDEX('Documents'!$B$4:$B$503,_calc!$E$458))&amp;". ")&amp;IF(LEN(IF(LEN(INDEX('Documents'!$D$4:$D$503,_calc!$E$458))=0,"",INDEX('Documents'!$D$4:$D$503,_calc!$E$458)))=0,"","Ref: "&amp;IF(LEN(INDEX('Documents'!$D$4:$D$503,_calc!$E$458))=0,"",INDEX('Documents'!$D$4:$D$503,_calc!$E$458))&amp;". ")&amp;IF(LEN(IF(LEN(INDEX('Documents'!$K$4:$K$503,_calc!$E$458))=0,"",INDEX('Documents'!$K$4:$K$503,_calc!$E$458)))=0,"","On file: "&amp;IF(LEN(INDEX('Documents'!$K$4:$K$503,_calc!$E$458))=0,"",INDEX('Documents'!$K$4:$K$503,_calc!$E$458))&amp;". ")&amp;IF(LEN(IF(LEN(INDEX('Documents'!$L$4:$L$503,_calc!$E$458))=0,"",INDEX('Documents'!$L$4:$L$503,_calc!$E$458)))=0,"","Contractor email: "&amp;IF(LEN(INDEX('Documents'!$L$4:$L$503,_calc!$E$458))=0,"",INDEX('Documents'!$L$4:$L$503,_calc!$E$458))&amp;". ")&amp;IF(LEN(IF(LEN(INDEX('Documents'!$P$4:$P$503,_calc!$E$458))=0,"",INDEX('Documents'!$P$4:$P$503,_calc!$E$458)))=0,"",IF(LEN(INDEX('Documents'!$P$4:$P$503,_calc!$E$458))=0,"",INDEX('Documents'!$P$4:$P$503,_calc!$E$458)))))</f>
        <v/>
      </c>
      <c r="G456" s="43">
        <f>IF(_calc!$E$458="","",IF(LEN(INDEX('Documents'!$O$4:$O$503,_calc!$E$458))=0,"",INDEX('Documents'!$O$4:$O$503,_calc!$E$458)))</f>
        <v/>
      </c>
      <c r="K456" s="43">
        <f>IF(_calc!$E$458="","",IF(LEN(INDEX('Documents'!$M$4:$M$503,_calc!$E$458))=0,"",INDEX('Documents'!$M$4:$M$503,_calc!$E$458)))</f>
        <v/>
      </c>
    </row>
    <row r="457">
      <c r="A457" s="43">
        <f>IF(_calc!$E$459="","",IF(LEN(INDEX('Documents'!$C$4:$C$503,_calc!$E$459))=0,"",INDEX('Documents'!$C$4:$C$503,_calc!$E$459))&amp;" – "&amp;IF(LEN(INDEX('Documents'!$A$4:$A$503,_calc!$E$459))=0,"",INDEX('Documents'!$A$4:$A$503,_calc!$E$459)))</f>
        <v/>
      </c>
      <c r="B457" s="43">
        <f>IF(_calc!$E$459="","",IF(ISNUMBER(INDEX('Documents'!$F$4:$F$503,_calc!$E$459)),TEXT(INDEX('Documents'!$F$4:$F$503,_calc!$E$459),"yyyy-mm-dd"),""))</f>
        <v/>
      </c>
      <c r="C457" s="43">
        <f>IF(_calc!$E$459="","","Contractor document")</f>
        <v/>
      </c>
      <c r="D457" s="43">
        <f>IF(_calc!$E$459="","",IF(ISNUMBER(INDEX('Documents'!$E$4:$E$503,_calc!$E$459)),TEXT(INDEX('Documents'!$E$4:$E$503,_calc!$E$459),"yyyy-mm-dd"),""))</f>
        <v/>
      </c>
      <c r="E457" s="43">
        <f>IF(_calc!$E$459="","",IF(LEN(INDEX('Documents'!$N$4:$N$503,_calc!$E$459))=0,"",INDEX('Documents'!$N$4:$N$503,_calc!$E$459)))</f>
        <v/>
      </c>
      <c r="F457" s="43">
        <f>IF(_calc!$E$459="","",TRIM(IF(LEN(IF(LEN(INDEX('Documents'!$B$4:$B$503,_calc!$E$459))=0,"",INDEX('Documents'!$B$4:$B$503,_calc!$E$459)))=0,"","Trade: "&amp;IF(LEN(INDEX('Documents'!$B$4:$B$503,_calc!$E$459))=0,"",INDEX('Documents'!$B$4:$B$503,_calc!$E$459))&amp;". ")&amp;IF(LEN(IF(LEN(INDEX('Documents'!$D$4:$D$503,_calc!$E$459))=0,"",INDEX('Documents'!$D$4:$D$503,_calc!$E$459)))=0,"","Ref: "&amp;IF(LEN(INDEX('Documents'!$D$4:$D$503,_calc!$E$459))=0,"",INDEX('Documents'!$D$4:$D$503,_calc!$E$459))&amp;". ")&amp;IF(LEN(IF(LEN(INDEX('Documents'!$K$4:$K$503,_calc!$E$459))=0,"",INDEX('Documents'!$K$4:$K$503,_calc!$E$459)))=0,"","On file: "&amp;IF(LEN(INDEX('Documents'!$K$4:$K$503,_calc!$E$459))=0,"",INDEX('Documents'!$K$4:$K$503,_calc!$E$459))&amp;". ")&amp;IF(LEN(IF(LEN(INDEX('Documents'!$L$4:$L$503,_calc!$E$459))=0,"",INDEX('Documents'!$L$4:$L$503,_calc!$E$459)))=0,"","Contractor email: "&amp;IF(LEN(INDEX('Documents'!$L$4:$L$503,_calc!$E$459))=0,"",INDEX('Documents'!$L$4:$L$503,_calc!$E$459))&amp;". ")&amp;IF(LEN(IF(LEN(INDEX('Documents'!$P$4:$P$503,_calc!$E$459))=0,"",INDEX('Documents'!$P$4:$P$503,_calc!$E$459)))=0,"",IF(LEN(INDEX('Documents'!$P$4:$P$503,_calc!$E$459))=0,"",INDEX('Documents'!$P$4:$P$503,_calc!$E$459)))))</f>
        <v/>
      </c>
      <c r="G457" s="43">
        <f>IF(_calc!$E$459="","",IF(LEN(INDEX('Documents'!$O$4:$O$503,_calc!$E$459))=0,"",INDEX('Documents'!$O$4:$O$503,_calc!$E$459)))</f>
        <v/>
      </c>
      <c r="K457" s="43">
        <f>IF(_calc!$E$459="","",IF(LEN(INDEX('Documents'!$M$4:$M$503,_calc!$E$459))=0,"",INDEX('Documents'!$M$4:$M$503,_calc!$E$459)))</f>
        <v/>
      </c>
    </row>
    <row r="458">
      <c r="A458" s="43">
        <f>IF(_calc!$E$460="","",IF(LEN(INDEX('Documents'!$C$4:$C$503,_calc!$E$460))=0,"",INDEX('Documents'!$C$4:$C$503,_calc!$E$460))&amp;" – "&amp;IF(LEN(INDEX('Documents'!$A$4:$A$503,_calc!$E$460))=0,"",INDEX('Documents'!$A$4:$A$503,_calc!$E$460)))</f>
        <v/>
      </c>
      <c r="B458" s="43">
        <f>IF(_calc!$E$460="","",IF(ISNUMBER(INDEX('Documents'!$F$4:$F$503,_calc!$E$460)),TEXT(INDEX('Documents'!$F$4:$F$503,_calc!$E$460),"yyyy-mm-dd"),""))</f>
        <v/>
      </c>
      <c r="C458" s="43">
        <f>IF(_calc!$E$460="","","Contractor document")</f>
        <v/>
      </c>
      <c r="D458" s="43">
        <f>IF(_calc!$E$460="","",IF(ISNUMBER(INDEX('Documents'!$E$4:$E$503,_calc!$E$460)),TEXT(INDEX('Documents'!$E$4:$E$503,_calc!$E$460),"yyyy-mm-dd"),""))</f>
        <v/>
      </c>
      <c r="E458" s="43">
        <f>IF(_calc!$E$460="","",IF(LEN(INDEX('Documents'!$N$4:$N$503,_calc!$E$460))=0,"",INDEX('Documents'!$N$4:$N$503,_calc!$E$460)))</f>
        <v/>
      </c>
      <c r="F458" s="43">
        <f>IF(_calc!$E$460="","",TRIM(IF(LEN(IF(LEN(INDEX('Documents'!$B$4:$B$503,_calc!$E$460))=0,"",INDEX('Documents'!$B$4:$B$503,_calc!$E$460)))=0,"","Trade: "&amp;IF(LEN(INDEX('Documents'!$B$4:$B$503,_calc!$E$460))=0,"",INDEX('Documents'!$B$4:$B$503,_calc!$E$460))&amp;". ")&amp;IF(LEN(IF(LEN(INDEX('Documents'!$D$4:$D$503,_calc!$E$460))=0,"",INDEX('Documents'!$D$4:$D$503,_calc!$E$460)))=0,"","Ref: "&amp;IF(LEN(INDEX('Documents'!$D$4:$D$503,_calc!$E$460))=0,"",INDEX('Documents'!$D$4:$D$503,_calc!$E$460))&amp;". ")&amp;IF(LEN(IF(LEN(INDEX('Documents'!$K$4:$K$503,_calc!$E$460))=0,"",INDEX('Documents'!$K$4:$K$503,_calc!$E$460)))=0,"","On file: "&amp;IF(LEN(INDEX('Documents'!$K$4:$K$503,_calc!$E$460))=0,"",INDEX('Documents'!$K$4:$K$503,_calc!$E$460))&amp;". ")&amp;IF(LEN(IF(LEN(INDEX('Documents'!$L$4:$L$503,_calc!$E$460))=0,"",INDEX('Documents'!$L$4:$L$503,_calc!$E$460)))=0,"","Contractor email: "&amp;IF(LEN(INDEX('Documents'!$L$4:$L$503,_calc!$E$460))=0,"",INDEX('Documents'!$L$4:$L$503,_calc!$E$460))&amp;". ")&amp;IF(LEN(IF(LEN(INDEX('Documents'!$P$4:$P$503,_calc!$E$460))=0,"",INDEX('Documents'!$P$4:$P$503,_calc!$E$460)))=0,"",IF(LEN(INDEX('Documents'!$P$4:$P$503,_calc!$E$460))=0,"",INDEX('Documents'!$P$4:$P$503,_calc!$E$460)))))</f>
        <v/>
      </c>
      <c r="G458" s="43">
        <f>IF(_calc!$E$460="","",IF(LEN(INDEX('Documents'!$O$4:$O$503,_calc!$E$460))=0,"",INDEX('Documents'!$O$4:$O$503,_calc!$E$460)))</f>
        <v/>
      </c>
      <c r="K458" s="43">
        <f>IF(_calc!$E$460="","",IF(LEN(INDEX('Documents'!$M$4:$M$503,_calc!$E$460))=0,"",INDEX('Documents'!$M$4:$M$503,_calc!$E$460)))</f>
        <v/>
      </c>
    </row>
    <row r="459">
      <c r="A459" s="43">
        <f>IF(_calc!$E$461="","",IF(LEN(INDEX('Documents'!$C$4:$C$503,_calc!$E$461))=0,"",INDEX('Documents'!$C$4:$C$503,_calc!$E$461))&amp;" – "&amp;IF(LEN(INDEX('Documents'!$A$4:$A$503,_calc!$E$461))=0,"",INDEX('Documents'!$A$4:$A$503,_calc!$E$461)))</f>
        <v/>
      </c>
      <c r="B459" s="43">
        <f>IF(_calc!$E$461="","",IF(ISNUMBER(INDEX('Documents'!$F$4:$F$503,_calc!$E$461)),TEXT(INDEX('Documents'!$F$4:$F$503,_calc!$E$461),"yyyy-mm-dd"),""))</f>
        <v/>
      </c>
      <c r="C459" s="43">
        <f>IF(_calc!$E$461="","","Contractor document")</f>
        <v/>
      </c>
      <c r="D459" s="43">
        <f>IF(_calc!$E$461="","",IF(ISNUMBER(INDEX('Documents'!$E$4:$E$503,_calc!$E$461)),TEXT(INDEX('Documents'!$E$4:$E$503,_calc!$E$461),"yyyy-mm-dd"),""))</f>
        <v/>
      </c>
      <c r="E459" s="43">
        <f>IF(_calc!$E$461="","",IF(LEN(INDEX('Documents'!$N$4:$N$503,_calc!$E$461))=0,"",INDEX('Documents'!$N$4:$N$503,_calc!$E$461)))</f>
        <v/>
      </c>
      <c r="F459" s="43">
        <f>IF(_calc!$E$461="","",TRIM(IF(LEN(IF(LEN(INDEX('Documents'!$B$4:$B$503,_calc!$E$461))=0,"",INDEX('Documents'!$B$4:$B$503,_calc!$E$461)))=0,"","Trade: "&amp;IF(LEN(INDEX('Documents'!$B$4:$B$503,_calc!$E$461))=0,"",INDEX('Documents'!$B$4:$B$503,_calc!$E$461))&amp;". ")&amp;IF(LEN(IF(LEN(INDEX('Documents'!$D$4:$D$503,_calc!$E$461))=0,"",INDEX('Documents'!$D$4:$D$503,_calc!$E$461)))=0,"","Ref: "&amp;IF(LEN(INDEX('Documents'!$D$4:$D$503,_calc!$E$461))=0,"",INDEX('Documents'!$D$4:$D$503,_calc!$E$461))&amp;". ")&amp;IF(LEN(IF(LEN(INDEX('Documents'!$K$4:$K$503,_calc!$E$461))=0,"",INDEX('Documents'!$K$4:$K$503,_calc!$E$461)))=0,"","On file: "&amp;IF(LEN(INDEX('Documents'!$K$4:$K$503,_calc!$E$461))=0,"",INDEX('Documents'!$K$4:$K$503,_calc!$E$461))&amp;". ")&amp;IF(LEN(IF(LEN(INDEX('Documents'!$L$4:$L$503,_calc!$E$461))=0,"",INDEX('Documents'!$L$4:$L$503,_calc!$E$461)))=0,"","Contractor email: "&amp;IF(LEN(INDEX('Documents'!$L$4:$L$503,_calc!$E$461))=0,"",INDEX('Documents'!$L$4:$L$503,_calc!$E$461))&amp;". ")&amp;IF(LEN(IF(LEN(INDEX('Documents'!$P$4:$P$503,_calc!$E$461))=0,"",INDEX('Documents'!$P$4:$P$503,_calc!$E$461)))=0,"",IF(LEN(INDEX('Documents'!$P$4:$P$503,_calc!$E$461))=0,"",INDEX('Documents'!$P$4:$P$503,_calc!$E$461)))))</f>
        <v/>
      </c>
      <c r="G459" s="43">
        <f>IF(_calc!$E$461="","",IF(LEN(INDEX('Documents'!$O$4:$O$503,_calc!$E$461))=0,"",INDEX('Documents'!$O$4:$O$503,_calc!$E$461)))</f>
        <v/>
      </c>
      <c r="K459" s="43">
        <f>IF(_calc!$E$461="","",IF(LEN(INDEX('Documents'!$M$4:$M$503,_calc!$E$461))=0,"",INDEX('Documents'!$M$4:$M$503,_calc!$E$461)))</f>
        <v/>
      </c>
    </row>
    <row r="460">
      <c r="A460" s="43">
        <f>IF(_calc!$E$462="","",IF(LEN(INDEX('Documents'!$C$4:$C$503,_calc!$E$462))=0,"",INDEX('Documents'!$C$4:$C$503,_calc!$E$462))&amp;" – "&amp;IF(LEN(INDEX('Documents'!$A$4:$A$503,_calc!$E$462))=0,"",INDEX('Documents'!$A$4:$A$503,_calc!$E$462)))</f>
        <v/>
      </c>
      <c r="B460" s="43">
        <f>IF(_calc!$E$462="","",IF(ISNUMBER(INDEX('Documents'!$F$4:$F$503,_calc!$E$462)),TEXT(INDEX('Documents'!$F$4:$F$503,_calc!$E$462),"yyyy-mm-dd"),""))</f>
        <v/>
      </c>
      <c r="C460" s="43">
        <f>IF(_calc!$E$462="","","Contractor document")</f>
        <v/>
      </c>
      <c r="D460" s="43">
        <f>IF(_calc!$E$462="","",IF(ISNUMBER(INDEX('Documents'!$E$4:$E$503,_calc!$E$462)),TEXT(INDEX('Documents'!$E$4:$E$503,_calc!$E$462),"yyyy-mm-dd"),""))</f>
        <v/>
      </c>
      <c r="E460" s="43">
        <f>IF(_calc!$E$462="","",IF(LEN(INDEX('Documents'!$N$4:$N$503,_calc!$E$462))=0,"",INDEX('Documents'!$N$4:$N$503,_calc!$E$462)))</f>
        <v/>
      </c>
      <c r="F460" s="43">
        <f>IF(_calc!$E$462="","",TRIM(IF(LEN(IF(LEN(INDEX('Documents'!$B$4:$B$503,_calc!$E$462))=0,"",INDEX('Documents'!$B$4:$B$503,_calc!$E$462)))=0,"","Trade: "&amp;IF(LEN(INDEX('Documents'!$B$4:$B$503,_calc!$E$462))=0,"",INDEX('Documents'!$B$4:$B$503,_calc!$E$462))&amp;". ")&amp;IF(LEN(IF(LEN(INDEX('Documents'!$D$4:$D$503,_calc!$E$462))=0,"",INDEX('Documents'!$D$4:$D$503,_calc!$E$462)))=0,"","Ref: "&amp;IF(LEN(INDEX('Documents'!$D$4:$D$503,_calc!$E$462))=0,"",INDEX('Documents'!$D$4:$D$503,_calc!$E$462))&amp;". ")&amp;IF(LEN(IF(LEN(INDEX('Documents'!$K$4:$K$503,_calc!$E$462))=0,"",INDEX('Documents'!$K$4:$K$503,_calc!$E$462)))=0,"","On file: "&amp;IF(LEN(INDEX('Documents'!$K$4:$K$503,_calc!$E$462))=0,"",INDEX('Documents'!$K$4:$K$503,_calc!$E$462))&amp;". ")&amp;IF(LEN(IF(LEN(INDEX('Documents'!$L$4:$L$503,_calc!$E$462))=0,"",INDEX('Documents'!$L$4:$L$503,_calc!$E$462)))=0,"","Contractor email: "&amp;IF(LEN(INDEX('Documents'!$L$4:$L$503,_calc!$E$462))=0,"",INDEX('Documents'!$L$4:$L$503,_calc!$E$462))&amp;". ")&amp;IF(LEN(IF(LEN(INDEX('Documents'!$P$4:$P$503,_calc!$E$462))=0,"",INDEX('Documents'!$P$4:$P$503,_calc!$E$462)))=0,"",IF(LEN(INDEX('Documents'!$P$4:$P$503,_calc!$E$462))=0,"",INDEX('Documents'!$P$4:$P$503,_calc!$E$462)))))</f>
        <v/>
      </c>
      <c r="G460" s="43">
        <f>IF(_calc!$E$462="","",IF(LEN(INDEX('Documents'!$O$4:$O$503,_calc!$E$462))=0,"",INDEX('Documents'!$O$4:$O$503,_calc!$E$462)))</f>
        <v/>
      </c>
      <c r="K460" s="43">
        <f>IF(_calc!$E$462="","",IF(LEN(INDEX('Documents'!$M$4:$M$503,_calc!$E$462))=0,"",INDEX('Documents'!$M$4:$M$503,_calc!$E$462)))</f>
        <v/>
      </c>
    </row>
    <row r="461">
      <c r="A461" s="43">
        <f>IF(_calc!$E$463="","",IF(LEN(INDEX('Documents'!$C$4:$C$503,_calc!$E$463))=0,"",INDEX('Documents'!$C$4:$C$503,_calc!$E$463))&amp;" – "&amp;IF(LEN(INDEX('Documents'!$A$4:$A$503,_calc!$E$463))=0,"",INDEX('Documents'!$A$4:$A$503,_calc!$E$463)))</f>
        <v/>
      </c>
      <c r="B461" s="43">
        <f>IF(_calc!$E$463="","",IF(ISNUMBER(INDEX('Documents'!$F$4:$F$503,_calc!$E$463)),TEXT(INDEX('Documents'!$F$4:$F$503,_calc!$E$463),"yyyy-mm-dd"),""))</f>
        <v/>
      </c>
      <c r="C461" s="43">
        <f>IF(_calc!$E$463="","","Contractor document")</f>
        <v/>
      </c>
      <c r="D461" s="43">
        <f>IF(_calc!$E$463="","",IF(ISNUMBER(INDEX('Documents'!$E$4:$E$503,_calc!$E$463)),TEXT(INDEX('Documents'!$E$4:$E$503,_calc!$E$463),"yyyy-mm-dd"),""))</f>
        <v/>
      </c>
      <c r="E461" s="43">
        <f>IF(_calc!$E$463="","",IF(LEN(INDEX('Documents'!$N$4:$N$503,_calc!$E$463))=0,"",INDEX('Documents'!$N$4:$N$503,_calc!$E$463)))</f>
        <v/>
      </c>
      <c r="F461" s="43">
        <f>IF(_calc!$E$463="","",TRIM(IF(LEN(IF(LEN(INDEX('Documents'!$B$4:$B$503,_calc!$E$463))=0,"",INDEX('Documents'!$B$4:$B$503,_calc!$E$463)))=0,"","Trade: "&amp;IF(LEN(INDEX('Documents'!$B$4:$B$503,_calc!$E$463))=0,"",INDEX('Documents'!$B$4:$B$503,_calc!$E$463))&amp;". ")&amp;IF(LEN(IF(LEN(INDEX('Documents'!$D$4:$D$503,_calc!$E$463))=0,"",INDEX('Documents'!$D$4:$D$503,_calc!$E$463)))=0,"","Ref: "&amp;IF(LEN(INDEX('Documents'!$D$4:$D$503,_calc!$E$463))=0,"",INDEX('Documents'!$D$4:$D$503,_calc!$E$463))&amp;". ")&amp;IF(LEN(IF(LEN(INDEX('Documents'!$K$4:$K$503,_calc!$E$463))=0,"",INDEX('Documents'!$K$4:$K$503,_calc!$E$463)))=0,"","On file: "&amp;IF(LEN(INDEX('Documents'!$K$4:$K$503,_calc!$E$463))=0,"",INDEX('Documents'!$K$4:$K$503,_calc!$E$463))&amp;". ")&amp;IF(LEN(IF(LEN(INDEX('Documents'!$L$4:$L$503,_calc!$E$463))=0,"",INDEX('Documents'!$L$4:$L$503,_calc!$E$463)))=0,"","Contractor email: "&amp;IF(LEN(INDEX('Documents'!$L$4:$L$503,_calc!$E$463))=0,"",INDEX('Documents'!$L$4:$L$503,_calc!$E$463))&amp;". ")&amp;IF(LEN(IF(LEN(INDEX('Documents'!$P$4:$P$503,_calc!$E$463))=0,"",INDEX('Documents'!$P$4:$P$503,_calc!$E$463)))=0,"",IF(LEN(INDEX('Documents'!$P$4:$P$503,_calc!$E$463))=0,"",INDEX('Documents'!$P$4:$P$503,_calc!$E$463)))))</f>
        <v/>
      </c>
      <c r="G461" s="43">
        <f>IF(_calc!$E$463="","",IF(LEN(INDEX('Documents'!$O$4:$O$503,_calc!$E$463))=0,"",INDEX('Documents'!$O$4:$O$503,_calc!$E$463)))</f>
        <v/>
      </c>
      <c r="K461" s="43">
        <f>IF(_calc!$E$463="","",IF(LEN(INDEX('Documents'!$M$4:$M$503,_calc!$E$463))=0,"",INDEX('Documents'!$M$4:$M$503,_calc!$E$463)))</f>
        <v/>
      </c>
    </row>
    <row r="462">
      <c r="A462" s="43">
        <f>IF(_calc!$E$464="","",IF(LEN(INDEX('Documents'!$C$4:$C$503,_calc!$E$464))=0,"",INDEX('Documents'!$C$4:$C$503,_calc!$E$464))&amp;" – "&amp;IF(LEN(INDEX('Documents'!$A$4:$A$503,_calc!$E$464))=0,"",INDEX('Documents'!$A$4:$A$503,_calc!$E$464)))</f>
        <v/>
      </c>
      <c r="B462" s="43">
        <f>IF(_calc!$E$464="","",IF(ISNUMBER(INDEX('Documents'!$F$4:$F$503,_calc!$E$464)),TEXT(INDEX('Documents'!$F$4:$F$503,_calc!$E$464),"yyyy-mm-dd"),""))</f>
        <v/>
      </c>
      <c r="C462" s="43">
        <f>IF(_calc!$E$464="","","Contractor document")</f>
        <v/>
      </c>
      <c r="D462" s="43">
        <f>IF(_calc!$E$464="","",IF(ISNUMBER(INDEX('Documents'!$E$4:$E$503,_calc!$E$464)),TEXT(INDEX('Documents'!$E$4:$E$503,_calc!$E$464),"yyyy-mm-dd"),""))</f>
        <v/>
      </c>
      <c r="E462" s="43">
        <f>IF(_calc!$E$464="","",IF(LEN(INDEX('Documents'!$N$4:$N$503,_calc!$E$464))=0,"",INDEX('Documents'!$N$4:$N$503,_calc!$E$464)))</f>
        <v/>
      </c>
      <c r="F462" s="43">
        <f>IF(_calc!$E$464="","",TRIM(IF(LEN(IF(LEN(INDEX('Documents'!$B$4:$B$503,_calc!$E$464))=0,"",INDEX('Documents'!$B$4:$B$503,_calc!$E$464)))=0,"","Trade: "&amp;IF(LEN(INDEX('Documents'!$B$4:$B$503,_calc!$E$464))=0,"",INDEX('Documents'!$B$4:$B$503,_calc!$E$464))&amp;". ")&amp;IF(LEN(IF(LEN(INDEX('Documents'!$D$4:$D$503,_calc!$E$464))=0,"",INDEX('Documents'!$D$4:$D$503,_calc!$E$464)))=0,"","Ref: "&amp;IF(LEN(INDEX('Documents'!$D$4:$D$503,_calc!$E$464))=0,"",INDEX('Documents'!$D$4:$D$503,_calc!$E$464))&amp;". ")&amp;IF(LEN(IF(LEN(INDEX('Documents'!$K$4:$K$503,_calc!$E$464))=0,"",INDEX('Documents'!$K$4:$K$503,_calc!$E$464)))=0,"","On file: "&amp;IF(LEN(INDEX('Documents'!$K$4:$K$503,_calc!$E$464))=0,"",INDEX('Documents'!$K$4:$K$503,_calc!$E$464))&amp;". ")&amp;IF(LEN(IF(LEN(INDEX('Documents'!$L$4:$L$503,_calc!$E$464))=0,"",INDEX('Documents'!$L$4:$L$503,_calc!$E$464)))=0,"","Contractor email: "&amp;IF(LEN(INDEX('Documents'!$L$4:$L$503,_calc!$E$464))=0,"",INDEX('Documents'!$L$4:$L$503,_calc!$E$464))&amp;". ")&amp;IF(LEN(IF(LEN(INDEX('Documents'!$P$4:$P$503,_calc!$E$464))=0,"",INDEX('Documents'!$P$4:$P$503,_calc!$E$464)))=0,"",IF(LEN(INDEX('Documents'!$P$4:$P$503,_calc!$E$464))=0,"",INDEX('Documents'!$P$4:$P$503,_calc!$E$464)))))</f>
        <v/>
      </c>
      <c r="G462" s="43">
        <f>IF(_calc!$E$464="","",IF(LEN(INDEX('Documents'!$O$4:$O$503,_calc!$E$464))=0,"",INDEX('Documents'!$O$4:$O$503,_calc!$E$464)))</f>
        <v/>
      </c>
      <c r="K462" s="43">
        <f>IF(_calc!$E$464="","",IF(LEN(INDEX('Documents'!$M$4:$M$503,_calc!$E$464))=0,"",INDEX('Documents'!$M$4:$M$503,_calc!$E$464)))</f>
        <v/>
      </c>
    </row>
    <row r="463">
      <c r="A463" s="43">
        <f>IF(_calc!$E$465="","",IF(LEN(INDEX('Documents'!$C$4:$C$503,_calc!$E$465))=0,"",INDEX('Documents'!$C$4:$C$503,_calc!$E$465))&amp;" – "&amp;IF(LEN(INDEX('Documents'!$A$4:$A$503,_calc!$E$465))=0,"",INDEX('Documents'!$A$4:$A$503,_calc!$E$465)))</f>
        <v/>
      </c>
      <c r="B463" s="43">
        <f>IF(_calc!$E$465="","",IF(ISNUMBER(INDEX('Documents'!$F$4:$F$503,_calc!$E$465)),TEXT(INDEX('Documents'!$F$4:$F$503,_calc!$E$465),"yyyy-mm-dd"),""))</f>
        <v/>
      </c>
      <c r="C463" s="43">
        <f>IF(_calc!$E$465="","","Contractor document")</f>
        <v/>
      </c>
      <c r="D463" s="43">
        <f>IF(_calc!$E$465="","",IF(ISNUMBER(INDEX('Documents'!$E$4:$E$503,_calc!$E$465)),TEXT(INDEX('Documents'!$E$4:$E$503,_calc!$E$465),"yyyy-mm-dd"),""))</f>
        <v/>
      </c>
      <c r="E463" s="43">
        <f>IF(_calc!$E$465="","",IF(LEN(INDEX('Documents'!$N$4:$N$503,_calc!$E$465))=0,"",INDEX('Documents'!$N$4:$N$503,_calc!$E$465)))</f>
        <v/>
      </c>
      <c r="F463" s="43">
        <f>IF(_calc!$E$465="","",TRIM(IF(LEN(IF(LEN(INDEX('Documents'!$B$4:$B$503,_calc!$E$465))=0,"",INDEX('Documents'!$B$4:$B$503,_calc!$E$465)))=0,"","Trade: "&amp;IF(LEN(INDEX('Documents'!$B$4:$B$503,_calc!$E$465))=0,"",INDEX('Documents'!$B$4:$B$503,_calc!$E$465))&amp;". ")&amp;IF(LEN(IF(LEN(INDEX('Documents'!$D$4:$D$503,_calc!$E$465))=0,"",INDEX('Documents'!$D$4:$D$503,_calc!$E$465)))=0,"","Ref: "&amp;IF(LEN(INDEX('Documents'!$D$4:$D$503,_calc!$E$465))=0,"",INDEX('Documents'!$D$4:$D$503,_calc!$E$465))&amp;". ")&amp;IF(LEN(IF(LEN(INDEX('Documents'!$K$4:$K$503,_calc!$E$465))=0,"",INDEX('Documents'!$K$4:$K$503,_calc!$E$465)))=0,"","On file: "&amp;IF(LEN(INDEX('Documents'!$K$4:$K$503,_calc!$E$465))=0,"",INDEX('Documents'!$K$4:$K$503,_calc!$E$465))&amp;". ")&amp;IF(LEN(IF(LEN(INDEX('Documents'!$L$4:$L$503,_calc!$E$465))=0,"",INDEX('Documents'!$L$4:$L$503,_calc!$E$465)))=0,"","Contractor email: "&amp;IF(LEN(INDEX('Documents'!$L$4:$L$503,_calc!$E$465))=0,"",INDEX('Documents'!$L$4:$L$503,_calc!$E$465))&amp;". ")&amp;IF(LEN(IF(LEN(INDEX('Documents'!$P$4:$P$503,_calc!$E$465))=0,"",INDEX('Documents'!$P$4:$P$503,_calc!$E$465)))=0,"",IF(LEN(INDEX('Documents'!$P$4:$P$503,_calc!$E$465))=0,"",INDEX('Documents'!$P$4:$P$503,_calc!$E$465)))))</f>
        <v/>
      </c>
      <c r="G463" s="43">
        <f>IF(_calc!$E$465="","",IF(LEN(INDEX('Documents'!$O$4:$O$503,_calc!$E$465))=0,"",INDEX('Documents'!$O$4:$O$503,_calc!$E$465)))</f>
        <v/>
      </c>
      <c r="K463" s="43">
        <f>IF(_calc!$E$465="","",IF(LEN(INDEX('Documents'!$M$4:$M$503,_calc!$E$465))=0,"",INDEX('Documents'!$M$4:$M$503,_calc!$E$465)))</f>
        <v/>
      </c>
    </row>
    <row r="464">
      <c r="A464" s="43">
        <f>IF(_calc!$E$466="","",IF(LEN(INDEX('Documents'!$C$4:$C$503,_calc!$E$466))=0,"",INDEX('Documents'!$C$4:$C$503,_calc!$E$466))&amp;" – "&amp;IF(LEN(INDEX('Documents'!$A$4:$A$503,_calc!$E$466))=0,"",INDEX('Documents'!$A$4:$A$503,_calc!$E$466)))</f>
        <v/>
      </c>
      <c r="B464" s="43">
        <f>IF(_calc!$E$466="","",IF(ISNUMBER(INDEX('Documents'!$F$4:$F$503,_calc!$E$466)),TEXT(INDEX('Documents'!$F$4:$F$503,_calc!$E$466),"yyyy-mm-dd"),""))</f>
        <v/>
      </c>
      <c r="C464" s="43">
        <f>IF(_calc!$E$466="","","Contractor document")</f>
        <v/>
      </c>
      <c r="D464" s="43">
        <f>IF(_calc!$E$466="","",IF(ISNUMBER(INDEX('Documents'!$E$4:$E$503,_calc!$E$466)),TEXT(INDEX('Documents'!$E$4:$E$503,_calc!$E$466),"yyyy-mm-dd"),""))</f>
        <v/>
      </c>
      <c r="E464" s="43">
        <f>IF(_calc!$E$466="","",IF(LEN(INDEX('Documents'!$N$4:$N$503,_calc!$E$466))=0,"",INDEX('Documents'!$N$4:$N$503,_calc!$E$466)))</f>
        <v/>
      </c>
      <c r="F464" s="43">
        <f>IF(_calc!$E$466="","",TRIM(IF(LEN(IF(LEN(INDEX('Documents'!$B$4:$B$503,_calc!$E$466))=0,"",INDEX('Documents'!$B$4:$B$503,_calc!$E$466)))=0,"","Trade: "&amp;IF(LEN(INDEX('Documents'!$B$4:$B$503,_calc!$E$466))=0,"",INDEX('Documents'!$B$4:$B$503,_calc!$E$466))&amp;". ")&amp;IF(LEN(IF(LEN(INDEX('Documents'!$D$4:$D$503,_calc!$E$466))=0,"",INDEX('Documents'!$D$4:$D$503,_calc!$E$466)))=0,"","Ref: "&amp;IF(LEN(INDEX('Documents'!$D$4:$D$503,_calc!$E$466))=0,"",INDEX('Documents'!$D$4:$D$503,_calc!$E$466))&amp;". ")&amp;IF(LEN(IF(LEN(INDEX('Documents'!$K$4:$K$503,_calc!$E$466))=0,"",INDEX('Documents'!$K$4:$K$503,_calc!$E$466)))=0,"","On file: "&amp;IF(LEN(INDEX('Documents'!$K$4:$K$503,_calc!$E$466))=0,"",INDEX('Documents'!$K$4:$K$503,_calc!$E$466))&amp;". ")&amp;IF(LEN(IF(LEN(INDEX('Documents'!$L$4:$L$503,_calc!$E$466))=0,"",INDEX('Documents'!$L$4:$L$503,_calc!$E$466)))=0,"","Contractor email: "&amp;IF(LEN(INDEX('Documents'!$L$4:$L$503,_calc!$E$466))=0,"",INDEX('Documents'!$L$4:$L$503,_calc!$E$466))&amp;". ")&amp;IF(LEN(IF(LEN(INDEX('Documents'!$P$4:$P$503,_calc!$E$466))=0,"",INDEX('Documents'!$P$4:$P$503,_calc!$E$466)))=0,"",IF(LEN(INDEX('Documents'!$P$4:$P$503,_calc!$E$466))=0,"",INDEX('Documents'!$P$4:$P$503,_calc!$E$466)))))</f>
        <v/>
      </c>
      <c r="G464" s="43">
        <f>IF(_calc!$E$466="","",IF(LEN(INDEX('Documents'!$O$4:$O$503,_calc!$E$466))=0,"",INDEX('Documents'!$O$4:$O$503,_calc!$E$466)))</f>
        <v/>
      </c>
      <c r="K464" s="43">
        <f>IF(_calc!$E$466="","",IF(LEN(INDEX('Documents'!$M$4:$M$503,_calc!$E$466))=0,"",INDEX('Documents'!$M$4:$M$503,_calc!$E$466)))</f>
        <v/>
      </c>
    </row>
    <row r="465">
      <c r="A465" s="43">
        <f>IF(_calc!$E$467="","",IF(LEN(INDEX('Documents'!$C$4:$C$503,_calc!$E$467))=0,"",INDEX('Documents'!$C$4:$C$503,_calc!$E$467))&amp;" – "&amp;IF(LEN(INDEX('Documents'!$A$4:$A$503,_calc!$E$467))=0,"",INDEX('Documents'!$A$4:$A$503,_calc!$E$467)))</f>
        <v/>
      </c>
      <c r="B465" s="43">
        <f>IF(_calc!$E$467="","",IF(ISNUMBER(INDEX('Documents'!$F$4:$F$503,_calc!$E$467)),TEXT(INDEX('Documents'!$F$4:$F$503,_calc!$E$467),"yyyy-mm-dd"),""))</f>
        <v/>
      </c>
      <c r="C465" s="43">
        <f>IF(_calc!$E$467="","","Contractor document")</f>
        <v/>
      </c>
      <c r="D465" s="43">
        <f>IF(_calc!$E$467="","",IF(ISNUMBER(INDEX('Documents'!$E$4:$E$503,_calc!$E$467)),TEXT(INDEX('Documents'!$E$4:$E$503,_calc!$E$467),"yyyy-mm-dd"),""))</f>
        <v/>
      </c>
      <c r="E465" s="43">
        <f>IF(_calc!$E$467="","",IF(LEN(INDEX('Documents'!$N$4:$N$503,_calc!$E$467))=0,"",INDEX('Documents'!$N$4:$N$503,_calc!$E$467)))</f>
        <v/>
      </c>
      <c r="F465" s="43">
        <f>IF(_calc!$E$467="","",TRIM(IF(LEN(IF(LEN(INDEX('Documents'!$B$4:$B$503,_calc!$E$467))=0,"",INDEX('Documents'!$B$4:$B$503,_calc!$E$467)))=0,"","Trade: "&amp;IF(LEN(INDEX('Documents'!$B$4:$B$503,_calc!$E$467))=0,"",INDEX('Documents'!$B$4:$B$503,_calc!$E$467))&amp;". ")&amp;IF(LEN(IF(LEN(INDEX('Documents'!$D$4:$D$503,_calc!$E$467))=0,"",INDEX('Documents'!$D$4:$D$503,_calc!$E$467)))=0,"","Ref: "&amp;IF(LEN(INDEX('Documents'!$D$4:$D$503,_calc!$E$467))=0,"",INDEX('Documents'!$D$4:$D$503,_calc!$E$467))&amp;". ")&amp;IF(LEN(IF(LEN(INDEX('Documents'!$K$4:$K$503,_calc!$E$467))=0,"",INDEX('Documents'!$K$4:$K$503,_calc!$E$467)))=0,"","On file: "&amp;IF(LEN(INDEX('Documents'!$K$4:$K$503,_calc!$E$467))=0,"",INDEX('Documents'!$K$4:$K$503,_calc!$E$467))&amp;". ")&amp;IF(LEN(IF(LEN(INDEX('Documents'!$L$4:$L$503,_calc!$E$467))=0,"",INDEX('Documents'!$L$4:$L$503,_calc!$E$467)))=0,"","Contractor email: "&amp;IF(LEN(INDEX('Documents'!$L$4:$L$503,_calc!$E$467))=0,"",INDEX('Documents'!$L$4:$L$503,_calc!$E$467))&amp;". ")&amp;IF(LEN(IF(LEN(INDEX('Documents'!$P$4:$P$503,_calc!$E$467))=0,"",INDEX('Documents'!$P$4:$P$503,_calc!$E$467)))=0,"",IF(LEN(INDEX('Documents'!$P$4:$P$503,_calc!$E$467))=0,"",INDEX('Documents'!$P$4:$P$503,_calc!$E$467)))))</f>
        <v/>
      </c>
      <c r="G465" s="43">
        <f>IF(_calc!$E$467="","",IF(LEN(INDEX('Documents'!$O$4:$O$503,_calc!$E$467))=0,"",INDEX('Documents'!$O$4:$O$503,_calc!$E$467)))</f>
        <v/>
      </c>
      <c r="K465" s="43">
        <f>IF(_calc!$E$467="","",IF(LEN(INDEX('Documents'!$M$4:$M$503,_calc!$E$467))=0,"",INDEX('Documents'!$M$4:$M$503,_calc!$E$467)))</f>
        <v/>
      </c>
    </row>
    <row r="466">
      <c r="A466" s="43">
        <f>IF(_calc!$E$468="","",IF(LEN(INDEX('Documents'!$C$4:$C$503,_calc!$E$468))=0,"",INDEX('Documents'!$C$4:$C$503,_calc!$E$468))&amp;" – "&amp;IF(LEN(INDEX('Documents'!$A$4:$A$503,_calc!$E$468))=0,"",INDEX('Documents'!$A$4:$A$503,_calc!$E$468)))</f>
        <v/>
      </c>
      <c r="B466" s="43">
        <f>IF(_calc!$E$468="","",IF(ISNUMBER(INDEX('Documents'!$F$4:$F$503,_calc!$E$468)),TEXT(INDEX('Documents'!$F$4:$F$503,_calc!$E$468),"yyyy-mm-dd"),""))</f>
        <v/>
      </c>
      <c r="C466" s="43">
        <f>IF(_calc!$E$468="","","Contractor document")</f>
        <v/>
      </c>
      <c r="D466" s="43">
        <f>IF(_calc!$E$468="","",IF(ISNUMBER(INDEX('Documents'!$E$4:$E$503,_calc!$E$468)),TEXT(INDEX('Documents'!$E$4:$E$503,_calc!$E$468),"yyyy-mm-dd"),""))</f>
        <v/>
      </c>
      <c r="E466" s="43">
        <f>IF(_calc!$E$468="","",IF(LEN(INDEX('Documents'!$N$4:$N$503,_calc!$E$468))=0,"",INDEX('Documents'!$N$4:$N$503,_calc!$E$468)))</f>
        <v/>
      </c>
      <c r="F466" s="43">
        <f>IF(_calc!$E$468="","",TRIM(IF(LEN(IF(LEN(INDEX('Documents'!$B$4:$B$503,_calc!$E$468))=0,"",INDEX('Documents'!$B$4:$B$503,_calc!$E$468)))=0,"","Trade: "&amp;IF(LEN(INDEX('Documents'!$B$4:$B$503,_calc!$E$468))=0,"",INDEX('Documents'!$B$4:$B$503,_calc!$E$468))&amp;". ")&amp;IF(LEN(IF(LEN(INDEX('Documents'!$D$4:$D$503,_calc!$E$468))=0,"",INDEX('Documents'!$D$4:$D$503,_calc!$E$468)))=0,"","Ref: "&amp;IF(LEN(INDEX('Documents'!$D$4:$D$503,_calc!$E$468))=0,"",INDEX('Documents'!$D$4:$D$503,_calc!$E$468))&amp;". ")&amp;IF(LEN(IF(LEN(INDEX('Documents'!$K$4:$K$503,_calc!$E$468))=0,"",INDEX('Documents'!$K$4:$K$503,_calc!$E$468)))=0,"","On file: "&amp;IF(LEN(INDEX('Documents'!$K$4:$K$503,_calc!$E$468))=0,"",INDEX('Documents'!$K$4:$K$503,_calc!$E$468))&amp;". ")&amp;IF(LEN(IF(LEN(INDEX('Documents'!$L$4:$L$503,_calc!$E$468))=0,"",INDEX('Documents'!$L$4:$L$503,_calc!$E$468)))=0,"","Contractor email: "&amp;IF(LEN(INDEX('Documents'!$L$4:$L$503,_calc!$E$468))=0,"",INDEX('Documents'!$L$4:$L$503,_calc!$E$468))&amp;". ")&amp;IF(LEN(IF(LEN(INDEX('Documents'!$P$4:$P$503,_calc!$E$468))=0,"",INDEX('Documents'!$P$4:$P$503,_calc!$E$468)))=0,"",IF(LEN(INDEX('Documents'!$P$4:$P$503,_calc!$E$468))=0,"",INDEX('Documents'!$P$4:$P$503,_calc!$E$468)))))</f>
        <v/>
      </c>
      <c r="G466" s="43">
        <f>IF(_calc!$E$468="","",IF(LEN(INDEX('Documents'!$O$4:$O$503,_calc!$E$468))=0,"",INDEX('Documents'!$O$4:$O$503,_calc!$E$468)))</f>
        <v/>
      </c>
      <c r="K466" s="43">
        <f>IF(_calc!$E$468="","",IF(LEN(INDEX('Documents'!$M$4:$M$503,_calc!$E$468))=0,"",INDEX('Documents'!$M$4:$M$503,_calc!$E$468)))</f>
        <v/>
      </c>
    </row>
    <row r="467">
      <c r="A467" s="43">
        <f>IF(_calc!$E$469="","",IF(LEN(INDEX('Documents'!$C$4:$C$503,_calc!$E$469))=0,"",INDEX('Documents'!$C$4:$C$503,_calc!$E$469))&amp;" – "&amp;IF(LEN(INDEX('Documents'!$A$4:$A$503,_calc!$E$469))=0,"",INDEX('Documents'!$A$4:$A$503,_calc!$E$469)))</f>
        <v/>
      </c>
      <c r="B467" s="43">
        <f>IF(_calc!$E$469="","",IF(ISNUMBER(INDEX('Documents'!$F$4:$F$503,_calc!$E$469)),TEXT(INDEX('Documents'!$F$4:$F$503,_calc!$E$469),"yyyy-mm-dd"),""))</f>
        <v/>
      </c>
      <c r="C467" s="43">
        <f>IF(_calc!$E$469="","","Contractor document")</f>
        <v/>
      </c>
      <c r="D467" s="43">
        <f>IF(_calc!$E$469="","",IF(ISNUMBER(INDEX('Documents'!$E$4:$E$503,_calc!$E$469)),TEXT(INDEX('Documents'!$E$4:$E$503,_calc!$E$469),"yyyy-mm-dd"),""))</f>
        <v/>
      </c>
      <c r="E467" s="43">
        <f>IF(_calc!$E$469="","",IF(LEN(INDEX('Documents'!$N$4:$N$503,_calc!$E$469))=0,"",INDEX('Documents'!$N$4:$N$503,_calc!$E$469)))</f>
        <v/>
      </c>
      <c r="F467" s="43">
        <f>IF(_calc!$E$469="","",TRIM(IF(LEN(IF(LEN(INDEX('Documents'!$B$4:$B$503,_calc!$E$469))=0,"",INDEX('Documents'!$B$4:$B$503,_calc!$E$469)))=0,"","Trade: "&amp;IF(LEN(INDEX('Documents'!$B$4:$B$503,_calc!$E$469))=0,"",INDEX('Documents'!$B$4:$B$503,_calc!$E$469))&amp;". ")&amp;IF(LEN(IF(LEN(INDEX('Documents'!$D$4:$D$503,_calc!$E$469))=0,"",INDEX('Documents'!$D$4:$D$503,_calc!$E$469)))=0,"","Ref: "&amp;IF(LEN(INDEX('Documents'!$D$4:$D$503,_calc!$E$469))=0,"",INDEX('Documents'!$D$4:$D$503,_calc!$E$469))&amp;". ")&amp;IF(LEN(IF(LEN(INDEX('Documents'!$K$4:$K$503,_calc!$E$469))=0,"",INDEX('Documents'!$K$4:$K$503,_calc!$E$469)))=0,"","On file: "&amp;IF(LEN(INDEX('Documents'!$K$4:$K$503,_calc!$E$469))=0,"",INDEX('Documents'!$K$4:$K$503,_calc!$E$469))&amp;". ")&amp;IF(LEN(IF(LEN(INDEX('Documents'!$L$4:$L$503,_calc!$E$469))=0,"",INDEX('Documents'!$L$4:$L$503,_calc!$E$469)))=0,"","Contractor email: "&amp;IF(LEN(INDEX('Documents'!$L$4:$L$503,_calc!$E$469))=0,"",INDEX('Documents'!$L$4:$L$503,_calc!$E$469))&amp;". ")&amp;IF(LEN(IF(LEN(INDEX('Documents'!$P$4:$P$503,_calc!$E$469))=0,"",INDEX('Documents'!$P$4:$P$503,_calc!$E$469)))=0,"",IF(LEN(INDEX('Documents'!$P$4:$P$503,_calc!$E$469))=0,"",INDEX('Documents'!$P$4:$P$503,_calc!$E$469)))))</f>
        <v/>
      </c>
      <c r="G467" s="43">
        <f>IF(_calc!$E$469="","",IF(LEN(INDEX('Documents'!$O$4:$O$503,_calc!$E$469))=0,"",INDEX('Documents'!$O$4:$O$503,_calc!$E$469)))</f>
        <v/>
      </c>
      <c r="K467" s="43">
        <f>IF(_calc!$E$469="","",IF(LEN(INDEX('Documents'!$M$4:$M$503,_calc!$E$469))=0,"",INDEX('Documents'!$M$4:$M$503,_calc!$E$469)))</f>
        <v/>
      </c>
    </row>
    <row r="468">
      <c r="A468" s="43">
        <f>IF(_calc!$E$470="","",IF(LEN(INDEX('Documents'!$C$4:$C$503,_calc!$E$470))=0,"",INDEX('Documents'!$C$4:$C$503,_calc!$E$470))&amp;" – "&amp;IF(LEN(INDEX('Documents'!$A$4:$A$503,_calc!$E$470))=0,"",INDEX('Documents'!$A$4:$A$503,_calc!$E$470)))</f>
        <v/>
      </c>
      <c r="B468" s="43">
        <f>IF(_calc!$E$470="","",IF(ISNUMBER(INDEX('Documents'!$F$4:$F$503,_calc!$E$470)),TEXT(INDEX('Documents'!$F$4:$F$503,_calc!$E$470),"yyyy-mm-dd"),""))</f>
        <v/>
      </c>
      <c r="C468" s="43">
        <f>IF(_calc!$E$470="","","Contractor document")</f>
        <v/>
      </c>
      <c r="D468" s="43">
        <f>IF(_calc!$E$470="","",IF(ISNUMBER(INDEX('Documents'!$E$4:$E$503,_calc!$E$470)),TEXT(INDEX('Documents'!$E$4:$E$503,_calc!$E$470),"yyyy-mm-dd"),""))</f>
        <v/>
      </c>
      <c r="E468" s="43">
        <f>IF(_calc!$E$470="","",IF(LEN(INDEX('Documents'!$N$4:$N$503,_calc!$E$470))=0,"",INDEX('Documents'!$N$4:$N$503,_calc!$E$470)))</f>
        <v/>
      </c>
      <c r="F468" s="43">
        <f>IF(_calc!$E$470="","",TRIM(IF(LEN(IF(LEN(INDEX('Documents'!$B$4:$B$503,_calc!$E$470))=0,"",INDEX('Documents'!$B$4:$B$503,_calc!$E$470)))=0,"","Trade: "&amp;IF(LEN(INDEX('Documents'!$B$4:$B$503,_calc!$E$470))=0,"",INDEX('Documents'!$B$4:$B$503,_calc!$E$470))&amp;". ")&amp;IF(LEN(IF(LEN(INDEX('Documents'!$D$4:$D$503,_calc!$E$470))=0,"",INDEX('Documents'!$D$4:$D$503,_calc!$E$470)))=0,"","Ref: "&amp;IF(LEN(INDEX('Documents'!$D$4:$D$503,_calc!$E$470))=0,"",INDEX('Documents'!$D$4:$D$503,_calc!$E$470))&amp;". ")&amp;IF(LEN(IF(LEN(INDEX('Documents'!$K$4:$K$503,_calc!$E$470))=0,"",INDEX('Documents'!$K$4:$K$503,_calc!$E$470)))=0,"","On file: "&amp;IF(LEN(INDEX('Documents'!$K$4:$K$503,_calc!$E$470))=0,"",INDEX('Documents'!$K$4:$K$503,_calc!$E$470))&amp;". ")&amp;IF(LEN(IF(LEN(INDEX('Documents'!$L$4:$L$503,_calc!$E$470))=0,"",INDEX('Documents'!$L$4:$L$503,_calc!$E$470)))=0,"","Contractor email: "&amp;IF(LEN(INDEX('Documents'!$L$4:$L$503,_calc!$E$470))=0,"",INDEX('Documents'!$L$4:$L$503,_calc!$E$470))&amp;". ")&amp;IF(LEN(IF(LEN(INDEX('Documents'!$P$4:$P$503,_calc!$E$470))=0,"",INDEX('Documents'!$P$4:$P$503,_calc!$E$470)))=0,"",IF(LEN(INDEX('Documents'!$P$4:$P$503,_calc!$E$470))=0,"",INDEX('Documents'!$P$4:$P$503,_calc!$E$470)))))</f>
        <v/>
      </c>
      <c r="G468" s="43">
        <f>IF(_calc!$E$470="","",IF(LEN(INDEX('Documents'!$O$4:$O$503,_calc!$E$470))=0,"",INDEX('Documents'!$O$4:$O$503,_calc!$E$470)))</f>
        <v/>
      </c>
      <c r="K468" s="43">
        <f>IF(_calc!$E$470="","",IF(LEN(INDEX('Documents'!$M$4:$M$503,_calc!$E$470))=0,"",INDEX('Documents'!$M$4:$M$503,_calc!$E$470)))</f>
        <v/>
      </c>
    </row>
    <row r="469">
      <c r="A469" s="43">
        <f>IF(_calc!$E$471="","",IF(LEN(INDEX('Documents'!$C$4:$C$503,_calc!$E$471))=0,"",INDEX('Documents'!$C$4:$C$503,_calc!$E$471))&amp;" – "&amp;IF(LEN(INDEX('Documents'!$A$4:$A$503,_calc!$E$471))=0,"",INDEX('Documents'!$A$4:$A$503,_calc!$E$471)))</f>
        <v/>
      </c>
      <c r="B469" s="43">
        <f>IF(_calc!$E$471="","",IF(ISNUMBER(INDEX('Documents'!$F$4:$F$503,_calc!$E$471)),TEXT(INDEX('Documents'!$F$4:$F$503,_calc!$E$471),"yyyy-mm-dd"),""))</f>
        <v/>
      </c>
      <c r="C469" s="43">
        <f>IF(_calc!$E$471="","","Contractor document")</f>
        <v/>
      </c>
      <c r="D469" s="43">
        <f>IF(_calc!$E$471="","",IF(ISNUMBER(INDEX('Documents'!$E$4:$E$503,_calc!$E$471)),TEXT(INDEX('Documents'!$E$4:$E$503,_calc!$E$471),"yyyy-mm-dd"),""))</f>
        <v/>
      </c>
      <c r="E469" s="43">
        <f>IF(_calc!$E$471="","",IF(LEN(INDEX('Documents'!$N$4:$N$503,_calc!$E$471))=0,"",INDEX('Documents'!$N$4:$N$503,_calc!$E$471)))</f>
        <v/>
      </c>
      <c r="F469" s="43">
        <f>IF(_calc!$E$471="","",TRIM(IF(LEN(IF(LEN(INDEX('Documents'!$B$4:$B$503,_calc!$E$471))=0,"",INDEX('Documents'!$B$4:$B$503,_calc!$E$471)))=0,"","Trade: "&amp;IF(LEN(INDEX('Documents'!$B$4:$B$503,_calc!$E$471))=0,"",INDEX('Documents'!$B$4:$B$503,_calc!$E$471))&amp;". ")&amp;IF(LEN(IF(LEN(INDEX('Documents'!$D$4:$D$503,_calc!$E$471))=0,"",INDEX('Documents'!$D$4:$D$503,_calc!$E$471)))=0,"","Ref: "&amp;IF(LEN(INDEX('Documents'!$D$4:$D$503,_calc!$E$471))=0,"",INDEX('Documents'!$D$4:$D$503,_calc!$E$471))&amp;". ")&amp;IF(LEN(IF(LEN(INDEX('Documents'!$K$4:$K$503,_calc!$E$471))=0,"",INDEX('Documents'!$K$4:$K$503,_calc!$E$471)))=0,"","On file: "&amp;IF(LEN(INDEX('Documents'!$K$4:$K$503,_calc!$E$471))=0,"",INDEX('Documents'!$K$4:$K$503,_calc!$E$471))&amp;". ")&amp;IF(LEN(IF(LEN(INDEX('Documents'!$L$4:$L$503,_calc!$E$471))=0,"",INDEX('Documents'!$L$4:$L$503,_calc!$E$471)))=0,"","Contractor email: "&amp;IF(LEN(INDEX('Documents'!$L$4:$L$503,_calc!$E$471))=0,"",INDEX('Documents'!$L$4:$L$503,_calc!$E$471))&amp;". ")&amp;IF(LEN(IF(LEN(INDEX('Documents'!$P$4:$P$503,_calc!$E$471))=0,"",INDEX('Documents'!$P$4:$P$503,_calc!$E$471)))=0,"",IF(LEN(INDEX('Documents'!$P$4:$P$503,_calc!$E$471))=0,"",INDEX('Documents'!$P$4:$P$503,_calc!$E$471)))))</f>
        <v/>
      </c>
      <c r="G469" s="43">
        <f>IF(_calc!$E$471="","",IF(LEN(INDEX('Documents'!$O$4:$O$503,_calc!$E$471))=0,"",INDEX('Documents'!$O$4:$O$503,_calc!$E$471)))</f>
        <v/>
      </c>
      <c r="K469" s="43">
        <f>IF(_calc!$E$471="","",IF(LEN(INDEX('Documents'!$M$4:$M$503,_calc!$E$471))=0,"",INDEX('Documents'!$M$4:$M$503,_calc!$E$471)))</f>
        <v/>
      </c>
    </row>
    <row r="470">
      <c r="A470" s="43">
        <f>IF(_calc!$E$472="","",IF(LEN(INDEX('Documents'!$C$4:$C$503,_calc!$E$472))=0,"",INDEX('Documents'!$C$4:$C$503,_calc!$E$472))&amp;" – "&amp;IF(LEN(INDEX('Documents'!$A$4:$A$503,_calc!$E$472))=0,"",INDEX('Documents'!$A$4:$A$503,_calc!$E$472)))</f>
        <v/>
      </c>
      <c r="B470" s="43">
        <f>IF(_calc!$E$472="","",IF(ISNUMBER(INDEX('Documents'!$F$4:$F$503,_calc!$E$472)),TEXT(INDEX('Documents'!$F$4:$F$503,_calc!$E$472),"yyyy-mm-dd"),""))</f>
        <v/>
      </c>
      <c r="C470" s="43">
        <f>IF(_calc!$E$472="","","Contractor document")</f>
        <v/>
      </c>
      <c r="D470" s="43">
        <f>IF(_calc!$E$472="","",IF(ISNUMBER(INDEX('Documents'!$E$4:$E$503,_calc!$E$472)),TEXT(INDEX('Documents'!$E$4:$E$503,_calc!$E$472),"yyyy-mm-dd"),""))</f>
        <v/>
      </c>
      <c r="E470" s="43">
        <f>IF(_calc!$E$472="","",IF(LEN(INDEX('Documents'!$N$4:$N$503,_calc!$E$472))=0,"",INDEX('Documents'!$N$4:$N$503,_calc!$E$472)))</f>
        <v/>
      </c>
      <c r="F470" s="43">
        <f>IF(_calc!$E$472="","",TRIM(IF(LEN(IF(LEN(INDEX('Documents'!$B$4:$B$503,_calc!$E$472))=0,"",INDEX('Documents'!$B$4:$B$503,_calc!$E$472)))=0,"","Trade: "&amp;IF(LEN(INDEX('Documents'!$B$4:$B$503,_calc!$E$472))=0,"",INDEX('Documents'!$B$4:$B$503,_calc!$E$472))&amp;". ")&amp;IF(LEN(IF(LEN(INDEX('Documents'!$D$4:$D$503,_calc!$E$472))=0,"",INDEX('Documents'!$D$4:$D$503,_calc!$E$472)))=0,"","Ref: "&amp;IF(LEN(INDEX('Documents'!$D$4:$D$503,_calc!$E$472))=0,"",INDEX('Documents'!$D$4:$D$503,_calc!$E$472))&amp;". ")&amp;IF(LEN(IF(LEN(INDEX('Documents'!$K$4:$K$503,_calc!$E$472))=0,"",INDEX('Documents'!$K$4:$K$503,_calc!$E$472)))=0,"","On file: "&amp;IF(LEN(INDEX('Documents'!$K$4:$K$503,_calc!$E$472))=0,"",INDEX('Documents'!$K$4:$K$503,_calc!$E$472))&amp;". ")&amp;IF(LEN(IF(LEN(INDEX('Documents'!$L$4:$L$503,_calc!$E$472))=0,"",INDEX('Documents'!$L$4:$L$503,_calc!$E$472)))=0,"","Contractor email: "&amp;IF(LEN(INDEX('Documents'!$L$4:$L$503,_calc!$E$472))=0,"",INDEX('Documents'!$L$4:$L$503,_calc!$E$472))&amp;". ")&amp;IF(LEN(IF(LEN(INDEX('Documents'!$P$4:$P$503,_calc!$E$472))=0,"",INDEX('Documents'!$P$4:$P$503,_calc!$E$472)))=0,"",IF(LEN(INDEX('Documents'!$P$4:$P$503,_calc!$E$472))=0,"",INDEX('Documents'!$P$4:$P$503,_calc!$E$472)))))</f>
        <v/>
      </c>
      <c r="G470" s="43">
        <f>IF(_calc!$E$472="","",IF(LEN(INDEX('Documents'!$O$4:$O$503,_calc!$E$472))=0,"",INDEX('Documents'!$O$4:$O$503,_calc!$E$472)))</f>
        <v/>
      </c>
      <c r="K470" s="43">
        <f>IF(_calc!$E$472="","",IF(LEN(INDEX('Documents'!$M$4:$M$503,_calc!$E$472))=0,"",INDEX('Documents'!$M$4:$M$503,_calc!$E$472)))</f>
        <v/>
      </c>
    </row>
    <row r="471">
      <c r="A471" s="43">
        <f>IF(_calc!$E$473="","",IF(LEN(INDEX('Documents'!$C$4:$C$503,_calc!$E$473))=0,"",INDEX('Documents'!$C$4:$C$503,_calc!$E$473))&amp;" – "&amp;IF(LEN(INDEX('Documents'!$A$4:$A$503,_calc!$E$473))=0,"",INDEX('Documents'!$A$4:$A$503,_calc!$E$473)))</f>
        <v/>
      </c>
      <c r="B471" s="43">
        <f>IF(_calc!$E$473="","",IF(ISNUMBER(INDEX('Documents'!$F$4:$F$503,_calc!$E$473)),TEXT(INDEX('Documents'!$F$4:$F$503,_calc!$E$473),"yyyy-mm-dd"),""))</f>
        <v/>
      </c>
      <c r="C471" s="43">
        <f>IF(_calc!$E$473="","","Contractor document")</f>
        <v/>
      </c>
      <c r="D471" s="43">
        <f>IF(_calc!$E$473="","",IF(ISNUMBER(INDEX('Documents'!$E$4:$E$503,_calc!$E$473)),TEXT(INDEX('Documents'!$E$4:$E$503,_calc!$E$473),"yyyy-mm-dd"),""))</f>
        <v/>
      </c>
      <c r="E471" s="43">
        <f>IF(_calc!$E$473="","",IF(LEN(INDEX('Documents'!$N$4:$N$503,_calc!$E$473))=0,"",INDEX('Documents'!$N$4:$N$503,_calc!$E$473)))</f>
        <v/>
      </c>
      <c r="F471" s="43">
        <f>IF(_calc!$E$473="","",TRIM(IF(LEN(IF(LEN(INDEX('Documents'!$B$4:$B$503,_calc!$E$473))=0,"",INDEX('Documents'!$B$4:$B$503,_calc!$E$473)))=0,"","Trade: "&amp;IF(LEN(INDEX('Documents'!$B$4:$B$503,_calc!$E$473))=0,"",INDEX('Documents'!$B$4:$B$503,_calc!$E$473))&amp;". ")&amp;IF(LEN(IF(LEN(INDEX('Documents'!$D$4:$D$503,_calc!$E$473))=0,"",INDEX('Documents'!$D$4:$D$503,_calc!$E$473)))=0,"","Ref: "&amp;IF(LEN(INDEX('Documents'!$D$4:$D$503,_calc!$E$473))=0,"",INDEX('Documents'!$D$4:$D$503,_calc!$E$473))&amp;". ")&amp;IF(LEN(IF(LEN(INDEX('Documents'!$K$4:$K$503,_calc!$E$473))=0,"",INDEX('Documents'!$K$4:$K$503,_calc!$E$473)))=0,"","On file: "&amp;IF(LEN(INDEX('Documents'!$K$4:$K$503,_calc!$E$473))=0,"",INDEX('Documents'!$K$4:$K$503,_calc!$E$473))&amp;". ")&amp;IF(LEN(IF(LEN(INDEX('Documents'!$L$4:$L$503,_calc!$E$473))=0,"",INDEX('Documents'!$L$4:$L$503,_calc!$E$473)))=0,"","Contractor email: "&amp;IF(LEN(INDEX('Documents'!$L$4:$L$503,_calc!$E$473))=0,"",INDEX('Documents'!$L$4:$L$503,_calc!$E$473))&amp;". ")&amp;IF(LEN(IF(LEN(INDEX('Documents'!$P$4:$P$503,_calc!$E$473))=0,"",INDEX('Documents'!$P$4:$P$503,_calc!$E$473)))=0,"",IF(LEN(INDEX('Documents'!$P$4:$P$503,_calc!$E$473))=0,"",INDEX('Documents'!$P$4:$P$503,_calc!$E$473)))))</f>
        <v/>
      </c>
      <c r="G471" s="43">
        <f>IF(_calc!$E$473="","",IF(LEN(INDEX('Documents'!$O$4:$O$503,_calc!$E$473))=0,"",INDEX('Documents'!$O$4:$O$503,_calc!$E$473)))</f>
        <v/>
      </c>
      <c r="K471" s="43">
        <f>IF(_calc!$E$473="","",IF(LEN(INDEX('Documents'!$M$4:$M$503,_calc!$E$473))=0,"",INDEX('Documents'!$M$4:$M$503,_calc!$E$473)))</f>
        <v/>
      </c>
    </row>
    <row r="472">
      <c r="A472" s="43">
        <f>IF(_calc!$E$474="","",IF(LEN(INDEX('Documents'!$C$4:$C$503,_calc!$E$474))=0,"",INDEX('Documents'!$C$4:$C$503,_calc!$E$474))&amp;" – "&amp;IF(LEN(INDEX('Documents'!$A$4:$A$503,_calc!$E$474))=0,"",INDEX('Documents'!$A$4:$A$503,_calc!$E$474)))</f>
        <v/>
      </c>
      <c r="B472" s="43">
        <f>IF(_calc!$E$474="","",IF(ISNUMBER(INDEX('Documents'!$F$4:$F$503,_calc!$E$474)),TEXT(INDEX('Documents'!$F$4:$F$503,_calc!$E$474),"yyyy-mm-dd"),""))</f>
        <v/>
      </c>
      <c r="C472" s="43">
        <f>IF(_calc!$E$474="","","Contractor document")</f>
        <v/>
      </c>
      <c r="D472" s="43">
        <f>IF(_calc!$E$474="","",IF(ISNUMBER(INDEX('Documents'!$E$4:$E$503,_calc!$E$474)),TEXT(INDEX('Documents'!$E$4:$E$503,_calc!$E$474),"yyyy-mm-dd"),""))</f>
        <v/>
      </c>
      <c r="E472" s="43">
        <f>IF(_calc!$E$474="","",IF(LEN(INDEX('Documents'!$N$4:$N$503,_calc!$E$474))=0,"",INDEX('Documents'!$N$4:$N$503,_calc!$E$474)))</f>
        <v/>
      </c>
      <c r="F472" s="43">
        <f>IF(_calc!$E$474="","",TRIM(IF(LEN(IF(LEN(INDEX('Documents'!$B$4:$B$503,_calc!$E$474))=0,"",INDEX('Documents'!$B$4:$B$503,_calc!$E$474)))=0,"","Trade: "&amp;IF(LEN(INDEX('Documents'!$B$4:$B$503,_calc!$E$474))=0,"",INDEX('Documents'!$B$4:$B$503,_calc!$E$474))&amp;". ")&amp;IF(LEN(IF(LEN(INDEX('Documents'!$D$4:$D$503,_calc!$E$474))=0,"",INDEX('Documents'!$D$4:$D$503,_calc!$E$474)))=0,"","Ref: "&amp;IF(LEN(INDEX('Documents'!$D$4:$D$503,_calc!$E$474))=0,"",INDEX('Documents'!$D$4:$D$503,_calc!$E$474))&amp;". ")&amp;IF(LEN(IF(LEN(INDEX('Documents'!$K$4:$K$503,_calc!$E$474))=0,"",INDEX('Documents'!$K$4:$K$503,_calc!$E$474)))=0,"","On file: "&amp;IF(LEN(INDEX('Documents'!$K$4:$K$503,_calc!$E$474))=0,"",INDEX('Documents'!$K$4:$K$503,_calc!$E$474))&amp;". ")&amp;IF(LEN(IF(LEN(INDEX('Documents'!$L$4:$L$503,_calc!$E$474))=0,"",INDEX('Documents'!$L$4:$L$503,_calc!$E$474)))=0,"","Contractor email: "&amp;IF(LEN(INDEX('Documents'!$L$4:$L$503,_calc!$E$474))=0,"",INDEX('Documents'!$L$4:$L$503,_calc!$E$474))&amp;". ")&amp;IF(LEN(IF(LEN(INDEX('Documents'!$P$4:$P$503,_calc!$E$474))=0,"",INDEX('Documents'!$P$4:$P$503,_calc!$E$474)))=0,"",IF(LEN(INDEX('Documents'!$P$4:$P$503,_calc!$E$474))=0,"",INDEX('Documents'!$P$4:$P$503,_calc!$E$474)))))</f>
        <v/>
      </c>
      <c r="G472" s="43">
        <f>IF(_calc!$E$474="","",IF(LEN(INDEX('Documents'!$O$4:$O$503,_calc!$E$474))=0,"",INDEX('Documents'!$O$4:$O$503,_calc!$E$474)))</f>
        <v/>
      </c>
      <c r="K472" s="43">
        <f>IF(_calc!$E$474="","",IF(LEN(INDEX('Documents'!$M$4:$M$503,_calc!$E$474))=0,"",INDEX('Documents'!$M$4:$M$503,_calc!$E$474)))</f>
        <v/>
      </c>
    </row>
    <row r="473">
      <c r="A473" s="43">
        <f>IF(_calc!$E$475="","",IF(LEN(INDEX('Documents'!$C$4:$C$503,_calc!$E$475))=0,"",INDEX('Documents'!$C$4:$C$503,_calc!$E$475))&amp;" – "&amp;IF(LEN(INDEX('Documents'!$A$4:$A$503,_calc!$E$475))=0,"",INDEX('Documents'!$A$4:$A$503,_calc!$E$475)))</f>
        <v/>
      </c>
      <c r="B473" s="43">
        <f>IF(_calc!$E$475="","",IF(ISNUMBER(INDEX('Documents'!$F$4:$F$503,_calc!$E$475)),TEXT(INDEX('Documents'!$F$4:$F$503,_calc!$E$475),"yyyy-mm-dd"),""))</f>
        <v/>
      </c>
      <c r="C473" s="43">
        <f>IF(_calc!$E$475="","","Contractor document")</f>
        <v/>
      </c>
      <c r="D473" s="43">
        <f>IF(_calc!$E$475="","",IF(ISNUMBER(INDEX('Documents'!$E$4:$E$503,_calc!$E$475)),TEXT(INDEX('Documents'!$E$4:$E$503,_calc!$E$475),"yyyy-mm-dd"),""))</f>
        <v/>
      </c>
      <c r="E473" s="43">
        <f>IF(_calc!$E$475="","",IF(LEN(INDEX('Documents'!$N$4:$N$503,_calc!$E$475))=0,"",INDEX('Documents'!$N$4:$N$503,_calc!$E$475)))</f>
        <v/>
      </c>
      <c r="F473" s="43">
        <f>IF(_calc!$E$475="","",TRIM(IF(LEN(IF(LEN(INDEX('Documents'!$B$4:$B$503,_calc!$E$475))=0,"",INDEX('Documents'!$B$4:$B$503,_calc!$E$475)))=0,"","Trade: "&amp;IF(LEN(INDEX('Documents'!$B$4:$B$503,_calc!$E$475))=0,"",INDEX('Documents'!$B$4:$B$503,_calc!$E$475))&amp;". ")&amp;IF(LEN(IF(LEN(INDEX('Documents'!$D$4:$D$503,_calc!$E$475))=0,"",INDEX('Documents'!$D$4:$D$503,_calc!$E$475)))=0,"","Ref: "&amp;IF(LEN(INDEX('Documents'!$D$4:$D$503,_calc!$E$475))=0,"",INDEX('Documents'!$D$4:$D$503,_calc!$E$475))&amp;". ")&amp;IF(LEN(IF(LEN(INDEX('Documents'!$K$4:$K$503,_calc!$E$475))=0,"",INDEX('Documents'!$K$4:$K$503,_calc!$E$475)))=0,"","On file: "&amp;IF(LEN(INDEX('Documents'!$K$4:$K$503,_calc!$E$475))=0,"",INDEX('Documents'!$K$4:$K$503,_calc!$E$475))&amp;". ")&amp;IF(LEN(IF(LEN(INDEX('Documents'!$L$4:$L$503,_calc!$E$475))=0,"",INDEX('Documents'!$L$4:$L$503,_calc!$E$475)))=0,"","Contractor email: "&amp;IF(LEN(INDEX('Documents'!$L$4:$L$503,_calc!$E$475))=0,"",INDEX('Documents'!$L$4:$L$503,_calc!$E$475))&amp;". ")&amp;IF(LEN(IF(LEN(INDEX('Documents'!$P$4:$P$503,_calc!$E$475))=0,"",INDEX('Documents'!$P$4:$P$503,_calc!$E$475)))=0,"",IF(LEN(INDEX('Documents'!$P$4:$P$503,_calc!$E$475))=0,"",INDEX('Documents'!$P$4:$P$503,_calc!$E$475)))))</f>
        <v/>
      </c>
      <c r="G473" s="43">
        <f>IF(_calc!$E$475="","",IF(LEN(INDEX('Documents'!$O$4:$O$503,_calc!$E$475))=0,"",INDEX('Documents'!$O$4:$O$503,_calc!$E$475)))</f>
        <v/>
      </c>
      <c r="K473" s="43">
        <f>IF(_calc!$E$475="","",IF(LEN(INDEX('Documents'!$M$4:$M$503,_calc!$E$475))=0,"",INDEX('Documents'!$M$4:$M$503,_calc!$E$475)))</f>
        <v/>
      </c>
    </row>
    <row r="474">
      <c r="A474" s="43">
        <f>IF(_calc!$E$476="","",IF(LEN(INDEX('Documents'!$C$4:$C$503,_calc!$E$476))=0,"",INDEX('Documents'!$C$4:$C$503,_calc!$E$476))&amp;" – "&amp;IF(LEN(INDEX('Documents'!$A$4:$A$503,_calc!$E$476))=0,"",INDEX('Documents'!$A$4:$A$503,_calc!$E$476)))</f>
        <v/>
      </c>
      <c r="B474" s="43">
        <f>IF(_calc!$E$476="","",IF(ISNUMBER(INDEX('Documents'!$F$4:$F$503,_calc!$E$476)),TEXT(INDEX('Documents'!$F$4:$F$503,_calc!$E$476),"yyyy-mm-dd"),""))</f>
        <v/>
      </c>
      <c r="C474" s="43">
        <f>IF(_calc!$E$476="","","Contractor document")</f>
        <v/>
      </c>
      <c r="D474" s="43">
        <f>IF(_calc!$E$476="","",IF(ISNUMBER(INDEX('Documents'!$E$4:$E$503,_calc!$E$476)),TEXT(INDEX('Documents'!$E$4:$E$503,_calc!$E$476),"yyyy-mm-dd"),""))</f>
        <v/>
      </c>
      <c r="E474" s="43">
        <f>IF(_calc!$E$476="","",IF(LEN(INDEX('Documents'!$N$4:$N$503,_calc!$E$476))=0,"",INDEX('Documents'!$N$4:$N$503,_calc!$E$476)))</f>
        <v/>
      </c>
      <c r="F474" s="43">
        <f>IF(_calc!$E$476="","",TRIM(IF(LEN(IF(LEN(INDEX('Documents'!$B$4:$B$503,_calc!$E$476))=0,"",INDEX('Documents'!$B$4:$B$503,_calc!$E$476)))=0,"","Trade: "&amp;IF(LEN(INDEX('Documents'!$B$4:$B$503,_calc!$E$476))=0,"",INDEX('Documents'!$B$4:$B$503,_calc!$E$476))&amp;". ")&amp;IF(LEN(IF(LEN(INDEX('Documents'!$D$4:$D$503,_calc!$E$476))=0,"",INDEX('Documents'!$D$4:$D$503,_calc!$E$476)))=0,"","Ref: "&amp;IF(LEN(INDEX('Documents'!$D$4:$D$503,_calc!$E$476))=0,"",INDEX('Documents'!$D$4:$D$503,_calc!$E$476))&amp;". ")&amp;IF(LEN(IF(LEN(INDEX('Documents'!$K$4:$K$503,_calc!$E$476))=0,"",INDEX('Documents'!$K$4:$K$503,_calc!$E$476)))=0,"","On file: "&amp;IF(LEN(INDEX('Documents'!$K$4:$K$503,_calc!$E$476))=0,"",INDEX('Documents'!$K$4:$K$503,_calc!$E$476))&amp;". ")&amp;IF(LEN(IF(LEN(INDEX('Documents'!$L$4:$L$503,_calc!$E$476))=0,"",INDEX('Documents'!$L$4:$L$503,_calc!$E$476)))=0,"","Contractor email: "&amp;IF(LEN(INDEX('Documents'!$L$4:$L$503,_calc!$E$476))=0,"",INDEX('Documents'!$L$4:$L$503,_calc!$E$476))&amp;". ")&amp;IF(LEN(IF(LEN(INDEX('Documents'!$P$4:$P$503,_calc!$E$476))=0,"",INDEX('Documents'!$P$4:$P$503,_calc!$E$476)))=0,"",IF(LEN(INDEX('Documents'!$P$4:$P$503,_calc!$E$476))=0,"",INDEX('Documents'!$P$4:$P$503,_calc!$E$476)))))</f>
        <v/>
      </c>
      <c r="G474" s="43">
        <f>IF(_calc!$E$476="","",IF(LEN(INDEX('Documents'!$O$4:$O$503,_calc!$E$476))=0,"",INDEX('Documents'!$O$4:$O$503,_calc!$E$476)))</f>
        <v/>
      </c>
      <c r="K474" s="43">
        <f>IF(_calc!$E$476="","",IF(LEN(INDEX('Documents'!$M$4:$M$503,_calc!$E$476))=0,"",INDEX('Documents'!$M$4:$M$503,_calc!$E$476)))</f>
        <v/>
      </c>
    </row>
    <row r="475">
      <c r="A475" s="43">
        <f>IF(_calc!$E$477="","",IF(LEN(INDEX('Documents'!$C$4:$C$503,_calc!$E$477))=0,"",INDEX('Documents'!$C$4:$C$503,_calc!$E$477))&amp;" – "&amp;IF(LEN(INDEX('Documents'!$A$4:$A$503,_calc!$E$477))=0,"",INDEX('Documents'!$A$4:$A$503,_calc!$E$477)))</f>
        <v/>
      </c>
      <c r="B475" s="43">
        <f>IF(_calc!$E$477="","",IF(ISNUMBER(INDEX('Documents'!$F$4:$F$503,_calc!$E$477)),TEXT(INDEX('Documents'!$F$4:$F$503,_calc!$E$477),"yyyy-mm-dd"),""))</f>
        <v/>
      </c>
      <c r="C475" s="43">
        <f>IF(_calc!$E$477="","","Contractor document")</f>
        <v/>
      </c>
      <c r="D475" s="43">
        <f>IF(_calc!$E$477="","",IF(ISNUMBER(INDEX('Documents'!$E$4:$E$503,_calc!$E$477)),TEXT(INDEX('Documents'!$E$4:$E$503,_calc!$E$477),"yyyy-mm-dd"),""))</f>
        <v/>
      </c>
      <c r="E475" s="43">
        <f>IF(_calc!$E$477="","",IF(LEN(INDEX('Documents'!$N$4:$N$503,_calc!$E$477))=0,"",INDEX('Documents'!$N$4:$N$503,_calc!$E$477)))</f>
        <v/>
      </c>
      <c r="F475" s="43">
        <f>IF(_calc!$E$477="","",TRIM(IF(LEN(IF(LEN(INDEX('Documents'!$B$4:$B$503,_calc!$E$477))=0,"",INDEX('Documents'!$B$4:$B$503,_calc!$E$477)))=0,"","Trade: "&amp;IF(LEN(INDEX('Documents'!$B$4:$B$503,_calc!$E$477))=0,"",INDEX('Documents'!$B$4:$B$503,_calc!$E$477))&amp;". ")&amp;IF(LEN(IF(LEN(INDEX('Documents'!$D$4:$D$503,_calc!$E$477))=0,"",INDEX('Documents'!$D$4:$D$503,_calc!$E$477)))=0,"","Ref: "&amp;IF(LEN(INDEX('Documents'!$D$4:$D$503,_calc!$E$477))=0,"",INDEX('Documents'!$D$4:$D$503,_calc!$E$477))&amp;". ")&amp;IF(LEN(IF(LEN(INDEX('Documents'!$K$4:$K$503,_calc!$E$477))=0,"",INDEX('Documents'!$K$4:$K$503,_calc!$E$477)))=0,"","On file: "&amp;IF(LEN(INDEX('Documents'!$K$4:$K$503,_calc!$E$477))=0,"",INDEX('Documents'!$K$4:$K$503,_calc!$E$477))&amp;". ")&amp;IF(LEN(IF(LEN(INDEX('Documents'!$L$4:$L$503,_calc!$E$477))=0,"",INDEX('Documents'!$L$4:$L$503,_calc!$E$477)))=0,"","Contractor email: "&amp;IF(LEN(INDEX('Documents'!$L$4:$L$503,_calc!$E$477))=0,"",INDEX('Documents'!$L$4:$L$503,_calc!$E$477))&amp;". ")&amp;IF(LEN(IF(LEN(INDEX('Documents'!$P$4:$P$503,_calc!$E$477))=0,"",INDEX('Documents'!$P$4:$P$503,_calc!$E$477)))=0,"",IF(LEN(INDEX('Documents'!$P$4:$P$503,_calc!$E$477))=0,"",INDEX('Documents'!$P$4:$P$503,_calc!$E$477)))))</f>
        <v/>
      </c>
      <c r="G475" s="43">
        <f>IF(_calc!$E$477="","",IF(LEN(INDEX('Documents'!$O$4:$O$503,_calc!$E$477))=0,"",INDEX('Documents'!$O$4:$O$503,_calc!$E$477)))</f>
        <v/>
      </c>
      <c r="K475" s="43">
        <f>IF(_calc!$E$477="","",IF(LEN(INDEX('Documents'!$M$4:$M$503,_calc!$E$477))=0,"",INDEX('Documents'!$M$4:$M$503,_calc!$E$477)))</f>
        <v/>
      </c>
    </row>
    <row r="476">
      <c r="A476" s="43">
        <f>IF(_calc!$E$478="","",IF(LEN(INDEX('Documents'!$C$4:$C$503,_calc!$E$478))=0,"",INDEX('Documents'!$C$4:$C$503,_calc!$E$478))&amp;" – "&amp;IF(LEN(INDEX('Documents'!$A$4:$A$503,_calc!$E$478))=0,"",INDEX('Documents'!$A$4:$A$503,_calc!$E$478)))</f>
        <v/>
      </c>
      <c r="B476" s="43">
        <f>IF(_calc!$E$478="","",IF(ISNUMBER(INDEX('Documents'!$F$4:$F$503,_calc!$E$478)),TEXT(INDEX('Documents'!$F$4:$F$503,_calc!$E$478),"yyyy-mm-dd"),""))</f>
        <v/>
      </c>
      <c r="C476" s="43">
        <f>IF(_calc!$E$478="","","Contractor document")</f>
        <v/>
      </c>
      <c r="D476" s="43">
        <f>IF(_calc!$E$478="","",IF(ISNUMBER(INDEX('Documents'!$E$4:$E$503,_calc!$E$478)),TEXT(INDEX('Documents'!$E$4:$E$503,_calc!$E$478),"yyyy-mm-dd"),""))</f>
        <v/>
      </c>
      <c r="E476" s="43">
        <f>IF(_calc!$E$478="","",IF(LEN(INDEX('Documents'!$N$4:$N$503,_calc!$E$478))=0,"",INDEX('Documents'!$N$4:$N$503,_calc!$E$478)))</f>
        <v/>
      </c>
      <c r="F476" s="43">
        <f>IF(_calc!$E$478="","",TRIM(IF(LEN(IF(LEN(INDEX('Documents'!$B$4:$B$503,_calc!$E$478))=0,"",INDEX('Documents'!$B$4:$B$503,_calc!$E$478)))=0,"","Trade: "&amp;IF(LEN(INDEX('Documents'!$B$4:$B$503,_calc!$E$478))=0,"",INDEX('Documents'!$B$4:$B$503,_calc!$E$478))&amp;". ")&amp;IF(LEN(IF(LEN(INDEX('Documents'!$D$4:$D$503,_calc!$E$478))=0,"",INDEX('Documents'!$D$4:$D$503,_calc!$E$478)))=0,"","Ref: "&amp;IF(LEN(INDEX('Documents'!$D$4:$D$503,_calc!$E$478))=0,"",INDEX('Documents'!$D$4:$D$503,_calc!$E$478))&amp;". ")&amp;IF(LEN(IF(LEN(INDEX('Documents'!$K$4:$K$503,_calc!$E$478))=0,"",INDEX('Documents'!$K$4:$K$503,_calc!$E$478)))=0,"","On file: "&amp;IF(LEN(INDEX('Documents'!$K$4:$K$503,_calc!$E$478))=0,"",INDEX('Documents'!$K$4:$K$503,_calc!$E$478))&amp;". ")&amp;IF(LEN(IF(LEN(INDEX('Documents'!$L$4:$L$503,_calc!$E$478))=0,"",INDEX('Documents'!$L$4:$L$503,_calc!$E$478)))=0,"","Contractor email: "&amp;IF(LEN(INDEX('Documents'!$L$4:$L$503,_calc!$E$478))=0,"",INDEX('Documents'!$L$4:$L$503,_calc!$E$478))&amp;". ")&amp;IF(LEN(IF(LEN(INDEX('Documents'!$P$4:$P$503,_calc!$E$478))=0,"",INDEX('Documents'!$P$4:$P$503,_calc!$E$478)))=0,"",IF(LEN(INDEX('Documents'!$P$4:$P$503,_calc!$E$478))=0,"",INDEX('Documents'!$P$4:$P$503,_calc!$E$478)))))</f>
        <v/>
      </c>
      <c r="G476" s="43">
        <f>IF(_calc!$E$478="","",IF(LEN(INDEX('Documents'!$O$4:$O$503,_calc!$E$478))=0,"",INDEX('Documents'!$O$4:$O$503,_calc!$E$478)))</f>
        <v/>
      </c>
      <c r="K476" s="43">
        <f>IF(_calc!$E$478="","",IF(LEN(INDEX('Documents'!$M$4:$M$503,_calc!$E$478))=0,"",INDEX('Documents'!$M$4:$M$503,_calc!$E$478)))</f>
        <v/>
      </c>
    </row>
    <row r="477">
      <c r="A477" s="43">
        <f>IF(_calc!$E$479="","",IF(LEN(INDEX('Documents'!$C$4:$C$503,_calc!$E$479))=0,"",INDEX('Documents'!$C$4:$C$503,_calc!$E$479))&amp;" – "&amp;IF(LEN(INDEX('Documents'!$A$4:$A$503,_calc!$E$479))=0,"",INDEX('Documents'!$A$4:$A$503,_calc!$E$479)))</f>
        <v/>
      </c>
      <c r="B477" s="43">
        <f>IF(_calc!$E$479="","",IF(ISNUMBER(INDEX('Documents'!$F$4:$F$503,_calc!$E$479)),TEXT(INDEX('Documents'!$F$4:$F$503,_calc!$E$479),"yyyy-mm-dd"),""))</f>
        <v/>
      </c>
      <c r="C477" s="43">
        <f>IF(_calc!$E$479="","","Contractor document")</f>
        <v/>
      </c>
      <c r="D477" s="43">
        <f>IF(_calc!$E$479="","",IF(ISNUMBER(INDEX('Documents'!$E$4:$E$503,_calc!$E$479)),TEXT(INDEX('Documents'!$E$4:$E$503,_calc!$E$479),"yyyy-mm-dd"),""))</f>
        <v/>
      </c>
      <c r="E477" s="43">
        <f>IF(_calc!$E$479="","",IF(LEN(INDEX('Documents'!$N$4:$N$503,_calc!$E$479))=0,"",INDEX('Documents'!$N$4:$N$503,_calc!$E$479)))</f>
        <v/>
      </c>
      <c r="F477" s="43">
        <f>IF(_calc!$E$479="","",TRIM(IF(LEN(IF(LEN(INDEX('Documents'!$B$4:$B$503,_calc!$E$479))=0,"",INDEX('Documents'!$B$4:$B$503,_calc!$E$479)))=0,"","Trade: "&amp;IF(LEN(INDEX('Documents'!$B$4:$B$503,_calc!$E$479))=0,"",INDEX('Documents'!$B$4:$B$503,_calc!$E$479))&amp;". ")&amp;IF(LEN(IF(LEN(INDEX('Documents'!$D$4:$D$503,_calc!$E$479))=0,"",INDEX('Documents'!$D$4:$D$503,_calc!$E$479)))=0,"","Ref: "&amp;IF(LEN(INDEX('Documents'!$D$4:$D$503,_calc!$E$479))=0,"",INDEX('Documents'!$D$4:$D$503,_calc!$E$479))&amp;". ")&amp;IF(LEN(IF(LEN(INDEX('Documents'!$K$4:$K$503,_calc!$E$479))=0,"",INDEX('Documents'!$K$4:$K$503,_calc!$E$479)))=0,"","On file: "&amp;IF(LEN(INDEX('Documents'!$K$4:$K$503,_calc!$E$479))=0,"",INDEX('Documents'!$K$4:$K$503,_calc!$E$479))&amp;". ")&amp;IF(LEN(IF(LEN(INDEX('Documents'!$L$4:$L$503,_calc!$E$479))=0,"",INDEX('Documents'!$L$4:$L$503,_calc!$E$479)))=0,"","Contractor email: "&amp;IF(LEN(INDEX('Documents'!$L$4:$L$503,_calc!$E$479))=0,"",INDEX('Documents'!$L$4:$L$503,_calc!$E$479))&amp;". ")&amp;IF(LEN(IF(LEN(INDEX('Documents'!$P$4:$P$503,_calc!$E$479))=0,"",INDEX('Documents'!$P$4:$P$503,_calc!$E$479)))=0,"",IF(LEN(INDEX('Documents'!$P$4:$P$503,_calc!$E$479))=0,"",INDEX('Documents'!$P$4:$P$503,_calc!$E$479)))))</f>
        <v/>
      </c>
      <c r="G477" s="43">
        <f>IF(_calc!$E$479="","",IF(LEN(INDEX('Documents'!$O$4:$O$503,_calc!$E$479))=0,"",INDEX('Documents'!$O$4:$O$503,_calc!$E$479)))</f>
        <v/>
      </c>
      <c r="K477" s="43">
        <f>IF(_calc!$E$479="","",IF(LEN(INDEX('Documents'!$M$4:$M$503,_calc!$E$479))=0,"",INDEX('Documents'!$M$4:$M$503,_calc!$E$479)))</f>
        <v/>
      </c>
    </row>
    <row r="478">
      <c r="A478" s="43">
        <f>IF(_calc!$E$480="","",IF(LEN(INDEX('Documents'!$C$4:$C$503,_calc!$E$480))=0,"",INDEX('Documents'!$C$4:$C$503,_calc!$E$480))&amp;" – "&amp;IF(LEN(INDEX('Documents'!$A$4:$A$503,_calc!$E$480))=0,"",INDEX('Documents'!$A$4:$A$503,_calc!$E$480)))</f>
        <v/>
      </c>
      <c r="B478" s="43">
        <f>IF(_calc!$E$480="","",IF(ISNUMBER(INDEX('Documents'!$F$4:$F$503,_calc!$E$480)),TEXT(INDEX('Documents'!$F$4:$F$503,_calc!$E$480),"yyyy-mm-dd"),""))</f>
        <v/>
      </c>
      <c r="C478" s="43">
        <f>IF(_calc!$E$480="","","Contractor document")</f>
        <v/>
      </c>
      <c r="D478" s="43">
        <f>IF(_calc!$E$480="","",IF(ISNUMBER(INDEX('Documents'!$E$4:$E$503,_calc!$E$480)),TEXT(INDEX('Documents'!$E$4:$E$503,_calc!$E$480),"yyyy-mm-dd"),""))</f>
        <v/>
      </c>
      <c r="E478" s="43">
        <f>IF(_calc!$E$480="","",IF(LEN(INDEX('Documents'!$N$4:$N$503,_calc!$E$480))=0,"",INDEX('Documents'!$N$4:$N$503,_calc!$E$480)))</f>
        <v/>
      </c>
      <c r="F478" s="43">
        <f>IF(_calc!$E$480="","",TRIM(IF(LEN(IF(LEN(INDEX('Documents'!$B$4:$B$503,_calc!$E$480))=0,"",INDEX('Documents'!$B$4:$B$503,_calc!$E$480)))=0,"","Trade: "&amp;IF(LEN(INDEX('Documents'!$B$4:$B$503,_calc!$E$480))=0,"",INDEX('Documents'!$B$4:$B$503,_calc!$E$480))&amp;". ")&amp;IF(LEN(IF(LEN(INDEX('Documents'!$D$4:$D$503,_calc!$E$480))=0,"",INDEX('Documents'!$D$4:$D$503,_calc!$E$480)))=0,"","Ref: "&amp;IF(LEN(INDEX('Documents'!$D$4:$D$503,_calc!$E$480))=0,"",INDEX('Documents'!$D$4:$D$503,_calc!$E$480))&amp;". ")&amp;IF(LEN(IF(LEN(INDEX('Documents'!$K$4:$K$503,_calc!$E$480))=0,"",INDEX('Documents'!$K$4:$K$503,_calc!$E$480)))=0,"","On file: "&amp;IF(LEN(INDEX('Documents'!$K$4:$K$503,_calc!$E$480))=0,"",INDEX('Documents'!$K$4:$K$503,_calc!$E$480))&amp;". ")&amp;IF(LEN(IF(LEN(INDEX('Documents'!$L$4:$L$503,_calc!$E$480))=0,"",INDEX('Documents'!$L$4:$L$503,_calc!$E$480)))=0,"","Contractor email: "&amp;IF(LEN(INDEX('Documents'!$L$4:$L$503,_calc!$E$480))=0,"",INDEX('Documents'!$L$4:$L$503,_calc!$E$480))&amp;". ")&amp;IF(LEN(IF(LEN(INDEX('Documents'!$P$4:$P$503,_calc!$E$480))=0,"",INDEX('Documents'!$P$4:$P$503,_calc!$E$480)))=0,"",IF(LEN(INDEX('Documents'!$P$4:$P$503,_calc!$E$480))=0,"",INDEX('Documents'!$P$4:$P$503,_calc!$E$480)))))</f>
        <v/>
      </c>
      <c r="G478" s="43">
        <f>IF(_calc!$E$480="","",IF(LEN(INDEX('Documents'!$O$4:$O$503,_calc!$E$480))=0,"",INDEX('Documents'!$O$4:$O$503,_calc!$E$480)))</f>
        <v/>
      </c>
      <c r="K478" s="43">
        <f>IF(_calc!$E$480="","",IF(LEN(INDEX('Documents'!$M$4:$M$503,_calc!$E$480))=0,"",INDEX('Documents'!$M$4:$M$503,_calc!$E$480)))</f>
        <v/>
      </c>
    </row>
    <row r="479">
      <c r="A479" s="43">
        <f>IF(_calc!$E$481="","",IF(LEN(INDEX('Documents'!$C$4:$C$503,_calc!$E$481))=0,"",INDEX('Documents'!$C$4:$C$503,_calc!$E$481))&amp;" – "&amp;IF(LEN(INDEX('Documents'!$A$4:$A$503,_calc!$E$481))=0,"",INDEX('Documents'!$A$4:$A$503,_calc!$E$481)))</f>
        <v/>
      </c>
      <c r="B479" s="43">
        <f>IF(_calc!$E$481="","",IF(ISNUMBER(INDEX('Documents'!$F$4:$F$503,_calc!$E$481)),TEXT(INDEX('Documents'!$F$4:$F$503,_calc!$E$481),"yyyy-mm-dd"),""))</f>
        <v/>
      </c>
      <c r="C479" s="43">
        <f>IF(_calc!$E$481="","","Contractor document")</f>
        <v/>
      </c>
      <c r="D479" s="43">
        <f>IF(_calc!$E$481="","",IF(ISNUMBER(INDEX('Documents'!$E$4:$E$503,_calc!$E$481)),TEXT(INDEX('Documents'!$E$4:$E$503,_calc!$E$481),"yyyy-mm-dd"),""))</f>
        <v/>
      </c>
      <c r="E479" s="43">
        <f>IF(_calc!$E$481="","",IF(LEN(INDEX('Documents'!$N$4:$N$503,_calc!$E$481))=0,"",INDEX('Documents'!$N$4:$N$503,_calc!$E$481)))</f>
        <v/>
      </c>
      <c r="F479" s="43">
        <f>IF(_calc!$E$481="","",TRIM(IF(LEN(IF(LEN(INDEX('Documents'!$B$4:$B$503,_calc!$E$481))=0,"",INDEX('Documents'!$B$4:$B$503,_calc!$E$481)))=0,"","Trade: "&amp;IF(LEN(INDEX('Documents'!$B$4:$B$503,_calc!$E$481))=0,"",INDEX('Documents'!$B$4:$B$503,_calc!$E$481))&amp;". ")&amp;IF(LEN(IF(LEN(INDEX('Documents'!$D$4:$D$503,_calc!$E$481))=0,"",INDEX('Documents'!$D$4:$D$503,_calc!$E$481)))=0,"","Ref: "&amp;IF(LEN(INDEX('Documents'!$D$4:$D$503,_calc!$E$481))=0,"",INDEX('Documents'!$D$4:$D$503,_calc!$E$481))&amp;". ")&amp;IF(LEN(IF(LEN(INDEX('Documents'!$K$4:$K$503,_calc!$E$481))=0,"",INDEX('Documents'!$K$4:$K$503,_calc!$E$481)))=0,"","On file: "&amp;IF(LEN(INDEX('Documents'!$K$4:$K$503,_calc!$E$481))=0,"",INDEX('Documents'!$K$4:$K$503,_calc!$E$481))&amp;". ")&amp;IF(LEN(IF(LEN(INDEX('Documents'!$L$4:$L$503,_calc!$E$481))=0,"",INDEX('Documents'!$L$4:$L$503,_calc!$E$481)))=0,"","Contractor email: "&amp;IF(LEN(INDEX('Documents'!$L$4:$L$503,_calc!$E$481))=0,"",INDEX('Documents'!$L$4:$L$503,_calc!$E$481))&amp;". ")&amp;IF(LEN(IF(LEN(INDEX('Documents'!$P$4:$P$503,_calc!$E$481))=0,"",INDEX('Documents'!$P$4:$P$503,_calc!$E$481)))=0,"",IF(LEN(INDEX('Documents'!$P$4:$P$503,_calc!$E$481))=0,"",INDEX('Documents'!$P$4:$P$503,_calc!$E$481)))))</f>
        <v/>
      </c>
      <c r="G479" s="43">
        <f>IF(_calc!$E$481="","",IF(LEN(INDEX('Documents'!$O$4:$O$503,_calc!$E$481))=0,"",INDEX('Documents'!$O$4:$O$503,_calc!$E$481)))</f>
        <v/>
      </c>
      <c r="K479" s="43">
        <f>IF(_calc!$E$481="","",IF(LEN(INDEX('Documents'!$M$4:$M$503,_calc!$E$481))=0,"",INDEX('Documents'!$M$4:$M$503,_calc!$E$481)))</f>
        <v/>
      </c>
    </row>
    <row r="480">
      <c r="A480" s="43">
        <f>IF(_calc!$E$482="","",IF(LEN(INDEX('Documents'!$C$4:$C$503,_calc!$E$482))=0,"",INDEX('Documents'!$C$4:$C$503,_calc!$E$482))&amp;" – "&amp;IF(LEN(INDEX('Documents'!$A$4:$A$503,_calc!$E$482))=0,"",INDEX('Documents'!$A$4:$A$503,_calc!$E$482)))</f>
        <v/>
      </c>
      <c r="B480" s="43">
        <f>IF(_calc!$E$482="","",IF(ISNUMBER(INDEX('Documents'!$F$4:$F$503,_calc!$E$482)),TEXT(INDEX('Documents'!$F$4:$F$503,_calc!$E$482),"yyyy-mm-dd"),""))</f>
        <v/>
      </c>
      <c r="C480" s="43">
        <f>IF(_calc!$E$482="","","Contractor document")</f>
        <v/>
      </c>
      <c r="D480" s="43">
        <f>IF(_calc!$E$482="","",IF(ISNUMBER(INDEX('Documents'!$E$4:$E$503,_calc!$E$482)),TEXT(INDEX('Documents'!$E$4:$E$503,_calc!$E$482),"yyyy-mm-dd"),""))</f>
        <v/>
      </c>
      <c r="E480" s="43">
        <f>IF(_calc!$E$482="","",IF(LEN(INDEX('Documents'!$N$4:$N$503,_calc!$E$482))=0,"",INDEX('Documents'!$N$4:$N$503,_calc!$E$482)))</f>
        <v/>
      </c>
      <c r="F480" s="43">
        <f>IF(_calc!$E$482="","",TRIM(IF(LEN(IF(LEN(INDEX('Documents'!$B$4:$B$503,_calc!$E$482))=0,"",INDEX('Documents'!$B$4:$B$503,_calc!$E$482)))=0,"","Trade: "&amp;IF(LEN(INDEX('Documents'!$B$4:$B$503,_calc!$E$482))=0,"",INDEX('Documents'!$B$4:$B$503,_calc!$E$482))&amp;". ")&amp;IF(LEN(IF(LEN(INDEX('Documents'!$D$4:$D$503,_calc!$E$482))=0,"",INDEX('Documents'!$D$4:$D$503,_calc!$E$482)))=0,"","Ref: "&amp;IF(LEN(INDEX('Documents'!$D$4:$D$503,_calc!$E$482))=0,"",INDEX('Documents'!$D$4:$D$503,_calc!$E$482))&amp;". ")&amp;IF(LEN(IF(LEN(INDEX('Documents'!$K$4:$K$503,_calc!$E$482))=0,"",INDEX('Documents'!$K$4:$K$503,_calc!$E$482)))=0,"","On file: "&amp;IF(LEN(INDEX('Documents'!$K$4:$K$503,_calc!$E$482))=0,"",INDEX('Documents'!$K$4:$K$503,_calc!$E$482))&amp;". ")&amp;IF(LEN(IF(LEN(INDEX('Documents'!$L$4:$L$503,_calc!$E$482))=0,"",INDEX('Documents'!$L$4:$L$503,_calc!$E$482)))=0,"","Contractor email: "&amp;IF(LEN(INDEX('Documents'!$L$4:$L$503,_calc!$E$482))=0,"",INDEX('Documents'!$L$4:$L$503,_calc!$E$482))&amp;". ")&amp;IF(LEN(IF(LEN(INDEX('Documents'!$P$4:$P$503,_calc!$E$482))=0,"",INDEX('Documents'!$P$4:$P$503,_calc!$E$482)))=0,"",IF(LEN(INDEX('Documents'!$P$4:$P$503,_calc!$E$482))=0,"",INDEX('Documents'!$P$4:$P$503,_calc!$E$482)))))</f>
        <v/>
      </c>
      <c r="G480" s="43">
        <f>IF(_calc!$E$482="","",IF(LEN(INDEX('Documents'!$O$4:$O$503,_calc!$E$482))=0,"",INDEX('Documents'!$O$4:$O$503,_calc!$E$482)))</f>
        <v/>
      </c>
      <c r="K480" s="43">
        <f>IF(_calc!$E$482="","",IF(LEN(INDEX('Documents'!$M$4:$M$503,_calc!$E$482))=0,"",INDEX('Documents'!$M$4:$M$503,_calc!$E$482)))</f>
        <v/>
      </c>
    </row>
    <row r="481">
      <c r="A481" s="43">
        <f>IF(_calc!$E$483="","",IF(LEN(INDEX('Documents'!$C$4:$C$503,_calc!$E$483))=0,"",INDEX('Documents'!$C$4:$C$503,_calc!$E$483))&amp;" – "&amp;IF(LEN(INDEX('Documents'!$A$4:$A$503,_calc!$E$483))=0,"",INDEX('Documents'!$A$4:$A$503,_calc!$E$483)))</f>
        <v/>
      </c>
      <c r="B481" s="43">
        <f>IF(_calc!$E$483="","",IF(ISNUMBER(INDEX('Documents'!$F$4:$F$503,_calc!$E$483)),TEXT(INDEX('Documents'!$F$4:$F$503,_calc!$E$483),"yyyy-mm-dd"),""))</f>
        <v/>
      </c>
      <c r="C481" s="43">
        <f>IF(_calc!$E$483="","","Contractor document")</f>
        <v/>
      </c>
      <c r="D481" s="43">
        <f>IF(_calc!$E$483="","",IF(ISNUMBER(INDEX('Documents'!$E$4:$E$503,_calc!$E$483)),TEXT(INDEX('Documents'!$E$4:$E$503,_calc!$E$483),"yyyy-mm-dd"),""))</f>
        <v/>
      </c>
      <c r="E481" s="43">
        <f>IF(_calc!$E$483="","",IF(LEN(INDEX('Documents'!$N$4:$N$503,_calc!$E$483))=0,"",INDEX('Documents'!$N$4:$N$503,_calc!$E$483)))</f>
        <v/>
      </c>
      <c r="F481" s="43">
        <f>IF(_calc!$E$483="","",TRIM(IF(LEN(IF(LEN(INDEX('Documents'!$B$4:$B$503,_calc!$E$483))=0,"",INDEX('Documents'!$B$4:$B$503,_calc!$E$483)))=0,"","Trade: "&amp;IF(LEN(INDEX('Documents'!$B$4:$B$503,_calc!$E$483))=0,"",INDEX('Documents'!$B$4:$B$503,_calc!$E$483))&amp;". ")&amp;IF(LEN(IF(LEN(INDEX('Documents'!$D$4:$D$503,_calc!$E$483))=0,"",INDEX('Documents'!$D$4:$D$503,_calc!$E$483)))=0,"","Ref: "&amp;IF(LEN(INDEX('Documents'!$D$4:$D$503,_calc!$E$483))=0,"",INDEX('Documents'!$D$4:$D$503,_calc!$E$483))&amp;". ")&amp;IF(LEN(IF(LEN(INDEX('Documents'!$K$4:$K$503,_calc!$E$483))=0,"",INDEX('Documents'!$K$4:$K$503,_calc!$E$483)))=0,"","On file: "&amp;IF(LEN(INDEX('Documents'!$K$4:$K$503,_calc!$E$483))=0,"",INDEX('Documents'!$K$4:$K$503,_calc!$E$483))&amp;". ")&amp;IF(LEN(IF(LEN(INDEX('Documents'!$L$4:$L$503,_calc!$E$483))=0,"",INDEX('Documents'!$L$4:$L$503,_calc!$E$483)))=0,"","Contractor email: "&amp;IF(LEN(INDEX('Documents'!$L$4:$L$503,_calc!$E$483))=0,"",INDEX('Documents'!$L$4:$L$503,_calc!$E$483))&amp;". ")&amp;IF(LEN(IF(LEN(INDEX('Documents'!$P$4:$P$503,_calc!$E$483))=0,"",INDEX('Documents'!$P$4:$P$503,_calc!$E$483)))=0,"",IF(LEN(INDEX('Documents'!$P$4:$P$503,_calc!$E$483))=0,"",INDEX('Documents'!$P$4:$P$503,_calc!$E$483)))))</f>
        <v/>
      </c>
      <c r="G481" s="43">
        <f>IF(_calc!$E$483="","",IF(LEN(INDEX('Documents'!$O$4:$O$503,_calc!$E$483))=0,"",INDEX('Documents'!$O$4:$O$503,_calc!$E$483)))</f>
        <v/>
      </c>
      <c r="K481" s="43">
        <f>IF(_calc!$E$483="","",IF(LEN(INDEX('Documents'!$M$4:$M$503,_calc!$E$483))=0,"",INDEX('Documents'!$M$4:$M$503,_calc!$E$483)))</f>
        <v/>
      </c>
    </row>
    <row r="482">
      <c r="A482" s="43">
        <f>IF(_calc!$E$484="","",IF(LEN(INDEX('Documents'!$C$4:$C$503,_calc!$E$484))=0,"",INDEX('Documents'!$C$4:$C$503,_calc!$E$484))&amp;" – "&amp;IF(LEN(INDEX('Documents'!$A$4:$A$503,_calc!$E$484))=0,"",INDEX('Documents'!$A$4:$A$503,_calc!$E$484)))</f>
        <v/>
      </c>
      <c r="B482" s="43">
        <f>IF(_calc!$E$484="","",IF(ISNUMBER(INDEX('Documents'!$F$4:$F$503,_calc!$E$484)),TEXT(INDEX('Documents'!$F$4:$F$503,_calc!$E$484),"yyyy-mm-dd"),""))</f>
        <v/>
      </c>
      <c r="C482" s="43">
        <f>IF(_calc!$E$484="","","Contractor document")</f>
        <v/>
      </c>
      <c r="D482" s="43">
        <f>IF(_calc!$E$484="","",IF(ISNUMBER(INDEX('Documents'!$E$4:$E$503,_calc!$E$484)),TEXT(INDEX('Documents'!$E$4:$E$503,_calc!$E$484),"yyyy-mm-dd"),""))</f>
        <v/>
      </c>
      <c r="E482" s="43">
        <f>IF(_calc!$E$484="","",IF(LEN(INDEX('Documents'!$N$4:$N$503,_calc!$E$484))=0,"",INDEX('Documents'!$N$4:$N$503,_calc!$E$484)))</f>
        <v/>
      </c>
      <c r="F482" s="43">
        <f>IF(_calc!$E$484="","",TRIM(IF(LEN(IF(LEN(INDEX('Documents'!$B$4:$B$503,_calc!$E$484))=0,"",INDEX('Documents'!$B$4:$B$503,_calc!$E$484)))=0,"","Trade: "&amp;IF(LEN(INDEX('Documents'!$B$4:$B$503,_calc!$E$484))=0,"",INDEX('Documents'!$B$4:$B$503,_calc!$E$484))&amp;". ")&amp;IF(LEN(IF(LEN(INDEX('Documents'!$D$4:$D$503,_calc!$E$484))=0,"",INDEX('Documents'!$D$4:$D$503,_calc!$E$484)))=0,"","Ref: "&amp;IF(LEN(INDEX('Documents'!$D$4:$D$503,_calc!$E$484))=0,"",INDEX('Documents'!$D$4:$D$503,_calc!$E$484))&amp;". ")&amp;IF(LEN(IF(LEN(INDEX('Documents'!$K$4:$K$503,_calc!$E$484))=0,"",INDEX('Documents'!$K$4:$K$503,_calc!$E$484)))=0,"","On file: "&amp;IF(LEN(INDEX('Documents'!$K$4:$K$503,_calc!$E$484))=0,"",INDEX('Documents'!$K$4:$K$503,_calc!$E$484))&amp;". ")&amp;IF(LEN(IF(LEN(INDEX('Documents'!$L$4:$L$503,_calc!$E$484))=0,"",INDEX('Documents'!$L$4:$L$503,_calc!$E$484)))=0,"","Contractor email: "&amp;IF(LEN(INDEX('Documents'!$L$4:$L$503,_calc!$E$484))=0,"",INDEX('Documents'!$L$4:$L$503,_calc!$E$484))&amp;". ")&amp;IF(LEN(IF(LEN(INDEX('Documents'!$P$4:$P$503,_calc!$E$484))=0,"",INDEX('Documents'!$P$4:$P$503,_calc!$E$484)))=0,"",IF(LEN(INDEX('Documents'!$P$4:$P$503,_calc!$E$484))=0,"",INDEX('Documents'!$P$4:$P$503,_calc!$E$484)))))</f>
        <v/>
      </c>
      <c r="G482" s="43">
        <f>IF(_calc!$E$484="","",IF(LEN(INDEX('Documents'!$O$4:$O$503,_calc!$E$484))=0,"",INDEX('Documents'!$O$4:$O$503,_calc!$E$484)))</f>
        <v/>
      </c>
      <c r="K482" s="43">
        <f>IF(_calc!$E$484="","",IF(LEN(INDEX('Documents'!$M$4:$M$503,_calc!$E$484))=0,"",INDEX('Documents'!$M$4:$M$503,_calc!$E$484)))</f>
        <v/>
      </c>
    </row>
    <row r="483">
      <c r="A483" s="43">
        <f>IF(_calc!$E$485="","",IF(LEN(INDEX('Documents'!$C$4:$C$503,_calc!$E$485))=0,"",INDEX('Documents'!$C$4:$C$503,_calc!$E$485))&amp;" – "&amp;IF(LEN(INDEX('Documents'!$A$4:$A$503,_calc!$E$485))=0,"",INDEX('Documents'!$A$4:$A$503,_calc!$E$485)))</f>
        <v/>
      </c>
      <c r="B483" s="43">
        <f>IF(_calc!$E$485="","",IF(ISNUMBER(INDEX('Documents'!$F$4:$F$503,_calc!$E$485)),TEXT(INDEX('Documents'!$F$4:$F$503,_calc!$E$485),"yyyy-mm-dd"),""))</f>
        <v/>
      </c>
      <c r="C483" s="43">
        <f>IF(_calc!$E$485="","","Contractor document")</f>
        <v/>
      </c>
      <c r="D483" s="43">
        <f>IF(_calc!$E$485="","",IF(ISNUMBER(INDEX('Documents'!$E$4:$E$503,_calc!$E$485)),TEXT(INDEX('Documents'!$E$4:$E$503,_calc!$E$485),"yyyy-mm-dd"),""))</f>
        <v/>
      </c>
      <c r="E483" s="43">
        <f>IF(_calc!$E$485="","",IF(LEN(INDEX('Documents'!$N$4:$N$503,_calc!$E$485))=0,"",INDEX('Documents'!$N$4:$N$503,_calc!$E$485)))</f>
        <v/>
      </c>
      <c r="F483" s="43">
        <f>IF(_calc!$E$485="","",TRIM(IF(LEN(IF(LEN(INDEX('Documents'!$B$4:$B$503,_calc!$E$485))=0,"",INDEX('Documents'!$B$4:$B$503,_calc!$E$485)))=0,"","Trade: "&amp;IF(LEN(INDEX('Documents'!$B$4:$B$503,_calc!$E$485))=0,"",INDEX('Documents'!$B$4:$B$503,_calc!$E$485))&amp;". ")&amp;IF(LEN(IF(LEN(INDEX('Documents'!$D$4:$D$503,_calc!$E$485))=0,"",INDEX('Documents'!$D$4:$D$503,_calc!$E$485)))=0,"","Ref: "&amp;IF(LEN(INDEX('Documents'!$D$4:$D$503,_calc!$E$485))=0,"",INDEX('Documents'!$D$4:$D$503,_calc!$E$485))&amp;". ")&amp;IF(LEN(IF(LEN(INDEX('Documents'!$K$4:$K$503,_calc!$E$485))=0,"",INDEX('Documents'!$K$4:$K$503,_calc!$E$485)))=0,"","On file: "&amp;IF(LEN(INDEX('Documents'!$K$4:$K$503,_calc!$E$485))=0,"",INDEX('Documents'!$K$4:$K$503,_calc!$E$485))&amp;". ")&amp;IF(LEN(IF(LEN(INDEX('Documents'!$L$4:$L$503,_calc!$E$485))=0,"",INDEX('Documents'!$L$4:$L$503,_calc!$E$485)))=0,"","Contractor email: "&amp;IF(LEN(INDEX('Documents'!$L$4:$L$503,_calc!$E$485))=0,"",INDEX('Documents'!$L$4:$L$503,_calc!$E$485))&amp;". ")&amp;IF(LEN(IF(LEN(INDEX('Documents'!$P$4:$P$503,_calc!$E$485))=0,"",INDEX('Documents'!$P$4:$P$503,_calc!$E$485)))=0,"",IF(LEN(INDEX('Documents'!$P$4:$P$503,_calc!$E$485))=0,"",INDEX('Documents'!$P$4:$P$503,_calc!$E$485)))))</f>
        <v/>
      </c>
      <c r="G483" s="43">
        <f>IF(_calc!$E$485="","",IF(LEN(INDEX('Documents'!$O$4:$O$503,_calc!$E$485))=0,"",INDEX('Documents'!$O$4:$O$503,_calc!$E$485)))</f>
        <v/>
      </c>
      <c r="K483" s="43">
        <f>IF(_calc!$E$485="","",IF(LEN(INDEX('Documents'!$M$4:$M$503,_calc!$E$485))=0,"",INDEX('Documents'!$M$4:$M$503,_calc!$E$485)))</f>
        <v/>
      </c>
    </row>
    <row r="484">
      <c r="A484" s="43">
        <f>IF(_calc!$E$486="","",IF(LEN(INDEX('Documents'!$C$4:$C$503,_calc!$E$486))=0,"",INDEX('Documents'!$C$4:$C$503,_calc!$E$486))&amp;" – "&amp;IF(LEN(INDEX('Documents'!$A$4:$A$503,_calc!$E$486))=0,"",INDEX('Documents'!$A$4:$A$503,_calc!$E$486)))</f>
        <v/>
      </c>
      <c r="B484" s="43">
        <f>IF(_calc!$E$486="","",IF(ISNUMBER(INDEX('Documents'!$F$4:$F$503,_calc!$E$486)),TEXT(INDEX('Documents'!$F$4:$F$503,_calc!$E$486),"yyyy-mm-dd"),""))</f>
        <v/>
      </c>
      <c r="C484" s="43">
        <f>IF(_calc!$E$486="","","Contractor document")</f>
        <v/>
      </c>
      <c r="D484" s="43">
        <f>IF(_calc!$E$486="","",IF(ISNUMBER(INDEX('Documents'!$E$4:$E$503,_calc!$E$486)),TEXT(INDEX('Documents'!$E$4:$E$503,_calc!$E$486),"yyyy-mm-dd"),""))</f>
        <v/>
      </c>
      <c r="E484" s="43">
        <f>IF(_calc!$E$486="","",IF(LEN(INDEX('Documents'!$N$4:$N$503,_calc!$E$486))=0,"",INDEX('Documents'!$N$4:$N$503,_calc!$E$486)))</f>
        <v/>
      </c>
      <c r="F484" s="43">
        <f>IF(_calc!$E$486="","",TRIM(IF(LEN(IF(LEN(INDEX('Documents'!$B$4:$B$503,_calc!$E$486))=0,"",INDEX('Documents'!$B$4:$B$503,_calc!$E$486)))=0,"","Trade: "&amp;IF(LEN(INDEX('Documents'!$B$4:$B$503,_calc!$E$486))=0,"",INDEX('Documents'!$B$4:$B$503,_calc!$E$486))&amp;". ")&amp;IF(LEN(IF(LEN(INDEX('Documents'!$D$4:$D$503,_calc!$E$486))=0,"",INDEX('Documents'!$D$4:$D$503,_calc!$E$486)))=0,"","Ref: "&amp;IF(LEN(INDEX('Documents'!$D$4:$D$503,_calc!$E$486))=0,"",INDEX('Documents'!$D$4:$D$503,_calc!$E$486))&amp;". ")&amp;IF(LEN(IF(LEN(INDEX('Documents'!$K$4:$K$503,_calc!$E$486))=0,"",INDEX('Documents'!$K$4:$K$503,_calc!$E$486)))=0,"","On file: "&amp;IF(LEN(INDEX('Documents'!$K$4:$K$503,_calc!$E$486))=0,"",INDEX('Documents'!$K$4:$K$503,_calc!$E$486))&amp;". ")&amp;IF(LEN(IF(LEN(INDEX('Documents'!$L$4:$L$503,_calc!$E$486))=0,"",INDEX('Documents'!$L$4:$L$503,_calc!$E$486)))=0,"","Contractor email: "&amp;IF(LEN(INDEX('Documents'!$L$4:$L$503,_calc!$E$486))=0,"",INDEX('Documents'!$L$4:$L$503,_calc!$E$486))&amp;". ")&amp;IF(LEN(IF(LEN(INDEX('Documents'!$P$4:$P$503,_calc!$E$486))=0,"",INDEX('Documents'!$P$4:$P$503,_calc!$E$486)))=0,"",IF(LEN(INDEX('Documents'!$P$4:$P$503,_calc!$E$486))=0,"",INDEX('Documents'!$P$4:$P$503,_calc!$E$486)))))</f>
        <v/>
      </c>
      <c r="G484" s="43">
        <f>IF(_calc!$E$486="","",IF(LEN(INDEX('Documents'!$O$4:$O$503,_calc!$E$486))=0,"",INDEX('Documents'!$O$4:$O$503,_calc!$E$486)))</f>
        <v/>
      </c>
      <c r="K484" s="43">
        <f>IF(_calc!$E$486="","",IF(LEN(INDEX('Documents'!$M$4:$M$503,_calc!$E$486))=0,"",INDEX('Documents'!$M$4:$M$503,_calc!$E$486)))</f>
        <v/>
      </c>
    </row>
    <row r="485">
      <c r="A485" s="43">
        <f>IF(_calc!$E$487="","",IF(LEN(INDEX('Documents'!$C$4:$C$503,_calc!$E$487))=0,"",INDEX('Documents'!$C$4:$C$503,_calc!$E$487))&amp;" – "&amp;IF(LEN(INDEX('Documents'!$A$4:$A$503,_calc!$E$487))=0,"",INDEX('Documents'!$A$4:$A$503,_calc!$E$487)))</f>
        <v/>
      </c>
      <c r="B485" s="43">
        <f>IF(_calc!$E$487="","",IF(ISNUMBER(INDEX('Documents'!$F$4:$F$503,_calc!$E$487)),TEXT(INDEX('Documents'!$F$4:$F$503,_calc!$E$487),"yyyy-mm-dd"),""))</f>
        <v/>
      </c>
      <c r="C485" s="43">
        <f>IF(_calc!$E$487="","","Contractor document")</f>
        <v/>
      </c>
      <c r="D485" s="43">
        <f>IF(_calc!$E$487="","",IF(ISNUMBER(INDEX('Documents'!$E$4:$E$503,_calc!$E$487)),TEXT(INDEX('Documents'!$E$4:$E$503,_calc!$E$487),"yyyy-mm-dd"),""))</f>
        <v/>
      </c>
      <c r="E485" s="43">
        <f>IF(_calc!$E$487="","",IF(LEN(INDEX('Documents'!$N$4:$N$503,_calc!$E$487))=0,"",INDEX('Documents'!$N$4:$N$503,_calc!$E$487)))</f>
        <v/>
      </c>
      <c r="F485" s="43">
        <f>IF(_calc!$E$487="","",TRIM(IF(LEN(IF(LEN(INDEX('Documents'!$B$4:$B$503,_calc!$E$487))=0,"",INDEX('Documents'!$B$4:$B$503,_calc!$E$487)))=0,"","Trade: "&amp;IF(LEN(INDEX('Documents'!$B$4:$B$503,_calc!$E$487))=0,"",INDEX('Documents'!$B$4:$B$503,_calc!$E$487))&amp;". ")&amp;IF(LEN(IF(LEN(INDEX('Documents'!$D$4:$D$503,_calc!$E$487))=0,"",INDEX('Documents'!$D$4:$D$503,_calc!$E$487)))=0,"","Ref: "&amp;IF(LEN(INDEX('Documents'!$D$4:$D$503,_calc!$E$487))=0,"",INDEX('Documents'!$D$4:$D$503,_calc!$E$487))&amp;". ")&amp;IF(LEN(IF(LEN(INDEX('Documents'!$K$4:$K$503,_calc!$E$487))=0,"",INDEX('Documents'!$K$4:$K$503,_calc!$E$487)))=0,"","On file: "&amp;IF(LEN(INDEX('Documents'!$K$4:$K$503,_calc!$E$487))=0,"",INDEX('Documents'!$K$4:$K$503,_calc!$E$487))&amp;". ")&amp;IF(LEN(IF(LEN(INDEX('Documents'!$L$4:$L$503,_calc!$E$487))=0,"",INDEX('Documents'!$L$4:$L$503,_calc!$E$487)))=0,"","Contractor email: "&amp;IF(LEN(INDEX('Documents'!$L$4:$L$503,_calc!$E$487))=0,"",INDEX('Documents'!$L$4:$L$503,_calc!$E$487))&amp;". ")&amp;IF(LEN(IF(LEN(INDEX('Documents'!$P$4:$P$503,_calc!$E$487))=0,"",INDEX('Documents'!$P$4:$P$503,_calc!$E$487)))=0,"",IF(LEN(INDEX('Documents'!$P$4:$P$503,_calc!$E$487))=0,"",INDEX('Documents'!$P$4:$P$503,_calc!$E$487)))))</f>
        <v/>
      </c>
      <c r="G485" s="43">
        <f>IF(_calc!$E$487="","",IF(LEN(INDEX('Documents'!$O$4:$O$503,_calc!$E$487))=0,"",INDEX('Documents'!$O$4:$O$503,_calc!$E$487)))</f>
        <v/>
      </c>
      <c r="K485" s="43">
        <f>IF(_calc!$E$487="","",IF(LEN(INDEX('Documents'!$M$4:$M$503,_calc!$E$487))=0,"",INDEX('Documents'!$M$4:$M$503,_calc!$E$487)))</f>
        <v/>
      </c>
    </row>
    <row r="486">
      <c r="A486" s="43">
        <f>IF(_calc!$E$488="","",IF(LEN(INDEX('Documents'!$C$4:$C$503,_calc!$E$488))=0,"",INDEX('Documents'!$C$4:$C$503,_calc!$E$488))&amp;" – "&amp;IF(LEN(INDEX('Documents'!$A$4:$A$503,_calc!$E$488))=0,"",INDEX('Documents'!$A$4:$A$503,_calc!$E$488)))</f>
        <v/>
      </c>
      <c r="B486" s="43">
        <f>IF(_calc!$E$488="","",IF(ISNUMBER(INDEX('Documents'!$F$4:$F$503,_calc!$E$488)),TEXT(INDEX('Documents'!$F$4:$F$503,_calc!$E$488),"yyyy-mm-dd"),""))</f>
        <v/>
      </c>
      <c r="C486" s="43">
        <f>IF(_calc!$E$488="","","Contractor document")</f>
        <v/>
      </c>
      <c r="D486" s="43">
        <f>IF(_calc!$E$488="","",IF(ISNUMBER(INDEX('Documents'!$E$4:$E$503,_calc!$E$488)),TEXT(INDEX('Documents'!$E$4:$E$503,_calc!$E$488),"yyyy-mm-dd"),""))</f>
        <v/>
      </c>
      <c r="E486" s="43">
        <f>IF(_calc!$E$488="","",IF(LEN(INDEX('Documents'!$N$4:$N$503,_calc!$E$488))=0,"",INDEX('Documents'!$N$4:$N$503,_calc!$E$488)))</f>
        <v/>
      </c>
      <c r="F486" s="43">
        <f>IF(_calc!$E$488="","",TRIM(IF(LEN(IF(LEN(INDEX('Documents'!$B$4:$B$503,_calc!$E$488))=0,"",INDEX('Documents'!$B$4:$B$503,_calc!$E$488)))=0,"","Trade: "&amp;IF(LEN(INDEX('Documents'!$B$4:$B$503,_calc!$E$488))=0,"",INDEX('Documents'!$B$4:$B$503,_calc!$E$488))&amp;". ")&amp;IF(LEN(IF(LEN(INDEX('Documents'!$D$4:$D$503,_calc!$E$488))=0,"",INDEX('Documents'!$D$4:$D$503,_calc!$E$488)))=0,"","Ref: "&amp;IF(LEN(INDEX('Documents'!$D$4:$D$503,_calc!$E$488))=0,"",INDEX('Documents'!$D$4:$D$503,_calc!$E$488))&amp;". ")&amp;IF(LEN(IF(LEN(INDEX('Documents'!$K$4:$K$503,_calc!$E$488))=0,"",INDEX('Documents'!$K$4:$K$503,_calc!$E$488)))=0,"","On file: "&amp;IF(LEN(INDEX('Documents'!$K$4:$K$503,_calc!$E$488))=0,"",INDEX('Documents'!$K$4:$K$503,_calc!$E$488))&amp;". ")&amp;IF(LEN(IF(LEN(INDEX('Documents'!$L$4:$L$503,_calc!$E$488))=0,"",INDEX('Documents'!$L$4:$L$503,_calc!$E$488)))=0,"","Contractor email: "&amp;IF(LEN(INDEX('Documents'!$L$4:$L$503,_calc!$E$488))=0,"",INDEX('Documents'!$L$4:$L$503,_calc!$E$488))&amp;". ")&amp;IF(LEN(IF(LEN(INDEX('Documents'!$P$4:$P$503,_calc!$E$488))=0,"",INDEX('Documents'!$P$4:$P$503,_calc!$E$488)))=0,"",IF(LEN(INDEX('Documents'!$P$4:$P$503,_calc!$E$488))=0,"",INDEX('Documents'!$P$4:$P$503,_calc!$E$488)))))</f>
        <v/>
      </c>
      <c r="G486" s="43">
        <f>IF(_calc!$E$488="","",IF(LEN(INDEX('Documents'!$O$4:$O$503,_calc!$E$488))=0,"",INDEX('Documents'!$O$4:$O$503,_calc!$E$488)))</f>
        <v/>
      </c>
      <c r="K486" s="43">
        <f>IF(_calc!$E$488="","",IF(LEN(INDEX('Documents'!$M$4:$M$503,_calc!$E$488))=0,"",INDEX('Documents'!$M$4:$M$503,_calc!$E$488)))</f>
        <v/>
      </c>
    </row>
    <row r="487">
      <c r="A487" s="43">
        <f>IF(_calc!$E$489="","",IF(LEN(INDEX('Documents'!$C$4:$C$503,_calc!$E$489))=0,"",INDEX('Documents'!$C$4:$C$503,_calc!$E$489))&amp;" – "&amp;IF(LEN(INDEX('Documents'!$A$4:$A$503,_calc!$E$489))=0,"",INDEX('Documents'!$A$4:$A$503,_calc!$E$489)))</f>
        <v/>
      </c>
      <c r="B487" s="43">
        <f>IF(_calc!$E$489="","",IF(ISNUMBER(INDEX('Documents'!$F$4:$F$503,_calc!$E$489)),TEXT(INDEX('Documents'!$F$4:$F$503,_calc!$E$489),"yyyy-mm-dd"),""))</f>
        <v/>
      </c>
      <c r="C487" s="43">
        <f>IF(_calc!$E$489="","","Contractor document")</f>
        <v/>
      </c>
      <c r="D487" s="43">
        <f>IF(_calc!$E$489="","",IF(ISNUMBER(INDEX('Documents'!$E$4:$E$503,_calc!$E$489)),TEXT(INDEX('Documents'!$E$4:$E$503,_calc!$E$489),"yyyy-mm-dd"),""))</f>
        <v/>
      </c>
      <c r="E487" s="43">
        <f>IF(_calc!$E$489="","",IF(LEN(INDEX('Documents'!$N$4:$N$503,_calc!$E$489))=0,"",INDEX('Documents'!$N$4:$N$503,_calc!$E$489)))</f>
        <v/>
      </c>
      <c r="F487" s="43">
        <f>IF(_calc!$E$489="","",TRIM(IF(LEN(IF(LEN(INDEX('Documents'!$B$4:$B$503,_calc!$E$489))=0,"",INDEX('Documents'!$B$4:$B$503,_calc!$E$489)))=0,"","Trade: "&amp;IF(LEN(INDEX('Documents'!$B$4:$B$503,_calc!$E$489))=0,"",INDEX('Documents'!$B$4:$B$503,_calc!$E$489))&amp;". ")&amp;IF(LEN(IF(LEN(INDEX('Documents'!$D$4:$D$503,_calc!$E$489))=0,"",INDEX('Documents'!$D$4:$D$503,_calc!$E$489)))=0,"","Ref: "&amp;IF(LEN(INDEX('Documents'!$D$4:$D$503,_calc!$E$489))=0,"",INDEX('Documents'!$D$4:$D$503,_calc!$E$489))&amp;". ")&amp;IF(LEN(IF(LEN(INDEX('Documents'!$K$4:$K$503,_calc!$E$489))=0,"",INDEX('Documents'!$K$4:$K$503,_calc!$E$489)))=0,"","On file: "&amp;IF(LEN(INDEX('Documents'!$K$4:$K$503,_calc!$E$489))=0,"",INDEX('Documents'!$K$4:$K$503,_calc!$E$489))&amp;". ")&amp;IF(LEN(IF(LEN(INDEX('Documents'!$L$4:$L$503,_calc!$E$489))=0,"",INDEX('Documents'!$L$4:$L$503,_calc!$E$489)))=0,"","Contractor email: "&amp;IF(LEN(INDEX('Documents'!$L$4:$L$503,_calc!$E$489))=0,"",INDEX('Documents'!$L$4:$L$503,_calc!$E$489))&amp;". ")&amp;IF(LEN(IF(LEN(INDEX('Documents'!$P$4:$P$503,_calc!$E$489))=0,"",INDEX('Documents'!$P$4:$P$503,_calc!$E$489)))=0,"",IF(LEN(INDEX('Documents'!$P$4:$P$503,_calc!$E$489))=0,"",INDEX('Documents'!$P$4:$P$503,_calc!$E$489)))))</f>
        <v/>
      </c>
      <c r="G487" s="43">
        <f>IF(_calc!$E$489="","",IF(LEN(INDEX('Documents'!$O$4:$O$503,_calc!$E$489))=0,"",INDEX('Documents'!$O$4:$O$503,_calc!$E$489)))</f>
        <v/>
      </c>
      <c r="K487" s="43">
        <f>IF(_calc!$E$489="","",IF(LEN(INDEX('Documents'!$M$4:$M$503,_calc!$E$489))=0,"",INDEX('Documents'!$M$4:$M$503,_calc!$E$489)))</f>
        <v/>
      </c>
    </row>
    <row r="488">
      <c r="A488" s="43">
        <f>IF(_calc!$E$490="","",IF(LEN(INDEX('Documents'!$C$4:$C$503,_calc!$E$490))=0,"",INDEX('Documents'!$C$4:$C$503,_calc!$E$490))&amp;" – "&amp;IF(LEN(INDEX('Documents'!$A$4:$A$503,_calc!$E$490))=0,"",INDEX('Documents'!$A$4:$A$503,_calc!$E$490)))</f>
        <v/>
      </c>
      <c r="B488" s="43">
        <f>IF(_calc!$E$490="","",IF(ISNUMBER(INDEX('Documents'!$F$4:$F$503,_calc!$E$490)),TEXT(INDEX('Documents'!$F$4:$F$503,_calc!$E$490),"yyyy-mm-dd"),""))</f>
        <v/>
      </c>
      <c r="C488" s="43">
        <f>IF(_calc!$E$490="","","Contractor document")</f>
        <v/>
      </c>
      <c r="D488" s="43">
        <f>IF(_calc!$E$490="","",IF(ISNUMBER(INDEX('Documents'!$E$4:$E$503,_calc!$E$490)),TEXT(INDEX('Documents'!$E$4:$E$503,_calc!$E$490),"yyyy-mm-dd"),""))</f>
        <v/>
      </c>
      <c r="E488" s="43">
        <f>IF(_calc!$E$490="","",IF(LEN(INDEX('Documents'!$N$4:$N$503,_calc!$E$490))=0,"",INDEX('Documents'!$N$4:$N$503,_calc!$E$490)))</f>
        <v/>
      </c>
      <c r="F488" s="43">
        <f>IF(_calc!$E$490="","",TRIM(IF(LEN(IF(LEN(INDEX('Documents'!$B$4:$B$503,_calc!$E$490))=0,"",INDEX('Documents'!$B$4:$B$503,_calc!$E$490)))=0,"","Trade: "&amp;IF(LEN(INDEX('Documents'!$B$4:$B$503,_calc!$E$490))=0,"",INDEX('Documents'!$B$4:$B$503,_calc!$E$490))&amp;". ")&amp;IF(LEN(IF(LEN(INDEX('Documents'!$D$4:$D$503,_calc!$E$490))=0,"",INDEX('Documents'!$D$4:$D$503,_calc!$E$490)))=0,"","Ref: "&amp;IF(LEN(INDEX('Documents'!$D$4:$D$503,_calc!$E$490))=0,"",INDEX('Documents'!$D$4:$D$503,_calc!$E$490))&amp;". ")&amp;IF(LEN(IF(LEN(INDEX('Documents'!$K$4:$K$503,_calc!$E$490))=0,"",INDEX('Documents'!$K$4:$K$503,_calc!$E$490)))=0,"","On file: "&amp;IF(LEN(INDEX('Documents'!$K$4:$K$503,_calc!$E$490))=0,"",INDEX('Documents'!$K$4:$K$503,_calc!$E$490))&amp;". ")&amp;IF(LEN(IF(LEN(INDEX('Documents'!$L$4:$L$503,_calc!$E$490))=0,"",INDEX('Documents'!$L$4:$L$503,_calc!$E$490)))=0,"","Contractor email: "&amp;IF(LEN(INDEX('Documents'!$L$4:$L$503,_calc!$E$490))=0,"",INDEX('Documents'!$L$4:$L$503,_calc!$E$490))&amp;". ")&amp;IF(LEN(IF(LEN(INDEX('Documents'!$P$4:$P$503,_calc!$E$490))=0,"",INDEX('Documents'!$P$4:$P$503,_calc!$E$490)))=0,"",IF(LEN(INDEX('Documents'!$P$4:$P$503,_calc!$E$490))=0,"",INDEX('Documents'!$P$4:$P$503,_calc!$E$490)))))</f>
        <v/>
      </c>
      <c r="G488" s="43">
        <f>IF(_calc!$E$490="","",IF(LEN(INDEX('Documents'!$O$4:$O$503,_calc!$E$490))=0,"",INDEX('Documents'!$O$4:$O$503,_calc!$E$490)))</f>
        <v/>
      </c>
      <c r="K488" s="43">
        <f>IF(_calc!$E$490="","",IF(LEN(INDEX('Documents'!$M$4:$M$503,_calc!$E$490))=0,"",INDEX('Documents'!$M$4:$M$503,_calc!$E$490)))</f>
        <v/>
      </c>
    </row>
    <row r="489">
      <c r="A489" s="43">
        <f>IF(_calc!$E$491="","",IF(LEN(INDEX('Documents'!$C$4:$C$503,_calc!$E$491))=0,"",INDEX('Documents'!$C$4:$C$503,_calc!$E$491))&amp;" – "&amp;IF(LEN(INDEX('Documents'!$A$4:$A$503,_calc!$E$491))=0,"",INDEX('Documents'!$A$4:$A$503,_calc!$E$491)))</f>
        <v/>
      </c>
      <c r="B489" s="43">
        <f>IF(_calc!$E$491="","",IF(ISNUMBER(INDEX('Documents'!$F$4:$F$503,_calc!$E$491)),TEXT(INDEX('Documents'!$F$4:$F$503,_calc!$E$491),"yyyy-mm-dd"),""))</f>
        <v/>
      </c>
      <c r="C489" s="43">
        <f>IF(_calc!$E$491="","","Contractor document")</f>
        <v/>
      </c>
      <c r="D489" s="43">
        <f>IF(_calc!$E$491="","",IF(ISNUMBER(INDEX('Documents'!$E$4:$E$503,_calc!$E$491)),TEXT(INDEX('Documents'!$E$4:$E$503,_calc!$E$491),"yyyy-mm-dd"),""))</f>
        <v/>
      </c>
      <c r="E489" s="43">
        <f>IF(_calc!$E$491="","",IF(LEN(INDEX('Documents'!$N$4:$N$503,_calc!$E$491))=0,"",INDEX('Documents'!$N$4:$N$503,_calc!$E$491)))</f>
        <v/>
      </c>
      <c r="F489" s="43">
        <f>IF(_calc!$E$491="","",TRIM(IF(LEN(IF(LEN(INDEX('Documents'!$B$4:$B$503,_calc!$E$491))=0,"",INDEX('Documents'!$B$4:$B$503,_calc!$E$491)))=0,"","Trade: "&amp;IF(LEN(INDEX('Documents'!$B$4:$B$503,_calc!$E$491))=0,"",INDEX('Documents'!$B$4:$B$503,_calc!$E$491))&amp;". ")&amp;IF(LEN(IF(LEN(INDEX('Documents'!$D$4:$D$503,_calc!$E$491))=0,"",INDEX('Documents'!$D$4:$D$503,_calc!$E$491)))=0,"","Ref: "&amp;IF(LEN(INDEX('Documents'!$D$4:$D$503,_calc!$E$491))=0,"",INDEX('Documents'!$D$4:$D$503,_calc!$E$491))&amp;". ")&amp;IF(LEN(IF(LEN(INDEX('Documents'!$K$4:$K$503,_calc!$E$491))=0,"",INDEX('Documents'!$K$4:$K$503,_calc!$E$491)))=0,"","On file: "&amp;IF(LEN(INDEX('Documents'!$K$4:$K$503,_calc!$E$491))=0,"",INDEX('Documents'!$K$4:$K$503,_calc!$E$491))&amp;". ")&amp;IF(LEN(IF(LEN(INDEX('Documents'!$L$4:$L$503,_calc!$E$491))=0,"",INDEX('Documents'!$L$4:$L$503,_calc!$E$491)))=0,"","Contractor email: "&amp;IF(LEN(INDEX('Documents'!$L$4:$L$503,_calc!$E$491))=0,"",INDEX('Documents'!$L$4:$L$503,_calc!$E$491))&amp;". ")&amp;IF(LEN(IF(LEN(INDEX('Documents'!$P$4:$P$503,_calc!$E$491))=0,"",INDEX('Documents'!$P$4:$P$503,_calc!$E$491)))=0,"",IF(LEN(INDEX('Documents'!$P$4:$P$503,_calc!$E$491))=0,"",INDEX('Documents'!$P$4:$P$503,_calc!$E$491)))))</f>
        <v/>
      </c>
      <c r="G489" s="43">
        <f>IF(_calc!$E$491="","",IF(LEN(INDEX('Documents'!$O$4:$O$503,_calc!$E$491))=0,"",INDEX('Documents'!$O$4:$O$503,_calc!$E$491)))</f>
        <v/>
      </c>
      <c r="K489" s="43">
        <f>IF(_calc!$E$491="","",IF(LEN(INDEX('Documents'!$M$4:$M$503,_calc!$E$491))=0,"",INDEX('Documents'!$M$4:$M$503,_calc!$E$491)))</f>
        <v/>
      </c>
    </row>
    <row r="490">
      <c r="A490" s="43">
        <f>IF(_calc!$E$492="","",IF(LEN(INDEX('Documents'!$C$4:$C$503,_calc!$E$492))=0,"",INDEX('Documents'!$C$4:$C$503,_calc!$E$492))&amp;" – "&amp;IF(LEN(INDEX('Documents'!$A$4:$A$503,_calc!$E$492))=0,"",INDEX('Documents'!$A$4:$A$503,_calc!$E$492)))</f>
        <v/>
      </c>
      <c r="B490" s="43">
        <f>IF(_calc!$E$492="","",IF(ISNUMBER(INDEX('Documents'!$F$4:$F$503,_calc!$E$492)),TEXT(INDEX('Documents'!$F$4:$F$503,_calc!$E$492),"yyyy-mm-dd"),""))</f>
        <v/>
      </c>
      <c r="C490" s="43">
        <f>IF(_calc!$E$492="","","Contractor document")</f>
        <v/>
      </c>
      <c r="D490" s="43">
        <f>IF(_calc!$E$492="","",IF(ISNUMBER(INDEX('Documents'!$E$4:$E$503,_calc!$E$492)),TEXT(INDEX('Documents'!$E$4:$E$503,_calc!$E$492),"yyyy-mm-dd"),""))</f>
        <v/>
      </c>
      <c r="E490" s="43">
        <f>IF(_calc!$E$492="","",IF(LEN(INDEX('Documents'!$N$4:$N$503,_calc!$E$492))=0,"",INDEX('Documents'!$N$4:$N$503,_calc!$E$492)))</f>
        <v/>
      </c>
      <c r="F490" s="43">
        <f>IF(_calc!$E$492="","",TRIM(IF(LEN(IF(LEN(INDEX('Documents'!$B$4:$B$503,_calc!$E$492))=0,"",INDEX('Documents'!$B$4:$B$503,_calc!$E$492)))=0,"","Trade: "&amp;IF(LEN(INDEX('Documents'!$B$4:$B$503,_calc!$E$492))=0,"",INDEX('Documents'!$B$4:$B$503,_calc!$E$492))&amp;". ")&amp;IF(LEN(IF(LEN(INDEX('Documents'!$D$4:$D$503,_calc!$E$492))=0,"",INDEX('Documents'!$D$4:$D$503,_calc!$E$492)))=0,"","Ref: "&amp;IF(LEN(INDEX('Documents'!$D$4:$D$503,_calc!$E$492))=0,"",INDEX('Documents'!$D$4:$D$503,_calc!$E$492))&amp;". ")&amp;IF(LEN(IF(LEN(INDEX('Documents'!$K$4:$K$503,_calc!$E$492))=0,"",INDEX('Documents'!$K$4:$K$503,_calc!$E$492)))=0,"","On file: "&amp;IF(LEN(INDEX('Documents'!$K$4:$K$503,_calc!$E$492))=0,"",INDEX('Documents'!$K$4:$K$503,_calc!$E$492))&amp;". ")&amp;IF(LEN(IF(LEN(INDEX('Documents'!$L$4:$L$503,_calc!$E$492))=0,"",INDEX('Documents'!$L$4:$L$503,_calc!$E$492)))=0,"","Contractor email: "&amp;IF(LEN(INDEX('Documents'!$L$4:$L$503,_calc!$E$492))=0,"",INDEX('Documents'!$L$4:$L$503,_calc!$E$492))&amp;". ")&amp;IF(LEN(IF(LEN(INDEX('Documents'!$P$4:$P$503,_calc!$E$492))=0,"",INDEX('Documents'!$P$4:$P$503,_calc!$E$492)))=0,"",IF(LEN(INDEX('Documents'!$P$4:$P$503,_calc!$E$492))=0,"",INDEX('Documents'!$P$4:$P$503,_calc!$E$492)))))</f>
        <v/>
      </c>
      <c r="G490" s="43">
        <f>IF(_calc!$E$492="","",IF(LEN(INDEX('Documents'!$O$4:$O$503,_calc!$E$492))=0,"",INDEX('Documents'!$O$4:$O$503,_calc!$E$492)))</f>
        <v/>
      </c>
      <c r="K490" s="43">
        <f>IF(_calc!$E$492="","",IF(LEN(INDEX('Documents'!$M$4:$M$503,_calc!$E$492))=0,"",INDEX('Documents'!$M$4:$M$503,_calc!$E$492)))</f>
        <v/>
      </c>
    </row>
    <row r="491">
      <c r="A491" s="43">
        <f>IF(_calc!$E$493="","",IF(LEN(INDEX('Documents'!$C$4:$C$503,_calc!$E$493))=0,"",INDEX('Documents'!$C$4:$C$503,_calc!$E$493))&amp;" – "&amp;IF(LEN(INDEX('Documents'!$A$4:$A$503,_calc!$E$493))=0,"",INDEX('Documents'!$A$4:$A$503,_calc!$E$493)))</f>
        <v/>
      </c>
      <c r="B491" s="43">
        <f>IF(_calc!$E$493="","",IF(ISNUMBER(INDEX('Documents'!$F$4:$F$503,_calc!$E$493)),TEXT(INDEX('Documents'!$F$4:$F$503,_calc!$E$493),"yyyy-mm-dd"),""))</f>
        <v/>
      </c>
      <c r="C491" s="43">
        <f>IF(_calc!$E$493="","","Contractor document")</f>
        <v/>
      </c>
      <c r="D491" s="43">
        <f>IF(_calc!$E$493="","",IF(ISNUMBER(INDEX('Documents'!$E$4:$E$503,_calc!$E$493)),TEXT(INDEX('Documents'!$E$4:$E$503,_calc!$E$493),"yyyy-mm-dd"),""))</f>
        <v/>
      </c>
      <c r="E491" s="43">
        <f>IF(_calc!$E$493="","",IF(LEN(INDEX('Documents'!$N$4:$N$503,_calc!$E$493))=0,"",INDEX('Documents'!$N$4:$N$503,_calc!$E$493)))</f>
        <v/>
      </c>
      <c r="F491" s="43">
        <f>IF(_calc!$E$493="","",TRIM(IF(LEN(IF(LEN(INDEX('Documents'!$B$4:$B$503,_calc!$E$493))=0,"",INDEX('Documents'!$B$4:$B$503,_calc!$E$493)))=0,"","Trade: "&amp;IF(LEN(INDEX('Documents'!$B$4:$B$503,_calc!$E$493))=0,"",INDEX('Documents'!$B$4:$B$503,_calc!$E$493))&amp;". ")&amp;IF(LEN(IF(LEN(INDEX('Documents'!$D$4:$D$503,_calc!$E$493))=0,"",INDEX('Documents'!$D$4:$D$503,_calc!$E$493)))=0,"","Ref: "&amp;IF(LEN(INDEX('Documents'!$D$4:$D$503,_calc!$E$493))=0,"",INDEX('Documents'!$D$4:$D$503,_calc!$E$493))&amp;". ")&amp;IF(LEN(IF(LEN(INDEX('Documents'!$K$4:$K$503,_calc!$E$493))=0,"",INDEX('Documents'!$K$4:$K$503,_calc!$E$493)))=0,"","On file: "&amp;IF(LEN(INDEX('Documents'!$K$4:$K$503,_calc!$E$493))=0,"",INDEX('Documents'!$K$4:$K$503,_calc!$E$493))&amp;". ")&amp;IF(LEN(IF(LEN(INDEX('Documents'!$L$4:$L$503,_calc!$E$493))=0,"",INDEX('Documents'!$L$4:$L$503,_calc!$E$493)))=0,"","Contractor email: "&amp;IF(LEN(INDEX('Documents'!$L$4:$L$503,_calc!$E$493))=0,"",INDEX('Documents'!$L$4:$L$503,_calc!$E$493))&amp;". ")&amp;IF(LEN(IF(LEN(INDEX('Documents'!$P$4:$P$503,_calc!$E$493))=0,"",INDEX('Documents'!$P$4:$P$503,_calc!$E$493)))=0,"",IF(LEN(INDEX('Documents'!$P$4:$P$503,_calc!$E$493))=0,"",INDEX('Documents'!$P$4:$P$503,_calc!$E$493)))))</f>
        <v/>
      </c>
      <c r="G491" s="43">
        <f>IF(_calc!$E$493="","",IF(LEN(INDEX('Documents'!$O$4:$O$503,_calc!$E$493))=0,"",INDEX('Documents'!$O$4:$O$503,_calc!$E$493)))</f>
        <v/>
      </c>
      <c r="K491" s="43">
        <f>IF(_calc!$E$493="","",IF(LEN(INDEX('Documents'!$M$4:$M$503,_calc!$E$493))=0,"",INDEX('Documents'!$M$4:$M$503,_calc!$E$493)))</f>
        <v/>
      </c>
    </row>
    <row r="492">
      <c r="A492" s="43">
        <f>IF(_calc!$E$494="","",IF(LEN(INDEX('Documents'!$C$4:$C$503,_calc!$E$494))=0,"",INDEX('Documents'!$C$4:$C$503,_calc!$E$494))&amp;" – "&amp;IF(LEN(INDEX('Documents'!$A$4:$A$503,_calc!$E$494))=0,"",INDEX('Documents'!$A$4:$A$503,_calc!$E$494)))</f>
        <v/>
      </c>
      <c r="B492" s="43">
        <f>IF(_calc!$E$494="","",IF(ISNUMBER(INDEX('Documents'!$F$4:$F$503,_calc!$E$494)),TEXT(INDEX('Documents'!$F$4:$F$503,_calc!$E$494),"yyyy-mm-dd"),""))</f>
        <v/>
      </c>
      <c r="C492" s="43">
        <f>IF(_calc!$E$494="","","Contractor document")</f>
        <v/>
      </c>
      <c r="D492" s="43">
        <f>IF(_calc!$E$494="","",IF(ISNUMBER(INDEX('Documents'!$E$4:$E$503,_calc!$E$494)),TEXT(INDEX('Documents'!$E$4:$E$503,_calc!$E$494),"yyyy-mm-dd"),""))</f>
        <v/>
      </c>
      <c r="E492" s="43">
        <f>IF(_calc!$E$494="","",IF(LEN(INDEX('Documents'!$N$4:$N$503,_calc!$E$494))=0,"",INDEX('Documents'!$N$4:$N$503,_calc!$E$494)))</f>
        <v/>
      </c>
      <c r="F492" s="43">
        <f>IF(_calc!$E$494="","",TRIM(IF(LEN(IF(LEN(INDEX('Documents'!$B$4:$B$503,_calc!$E$494))=0,"",INDEX('Documents'!$B$4:$B$503,_calc!$E$494)))=0,"","Trade: "&amp;IF(LEN(INDEX('Documents'!$B$4:$B$503,_calc!$E$494))=0,"",INDEX('Documents'!$B$4:$B$503,_calc!$E$494))&amp;". ")&amp;IF(LEN(IF(LEN(INDEX('Documents'!$D$4:$D$503,_calc!$E$494))=0,"",INDEX('Documents'!$D$4:$D$503,_calc!$E$494)))=0,"","Ref: "&amp;IF(LEN(INDEX('Documents'!$D$4:$D$503,_calc!$E$494))=0,"",INDEX('Documents'!$D$4:$D$503,_calc!$E$494))&amp;". ")&amp;IF(LEN(IF(LEN(INDEX('Documents'!$K$4:$K$503,_calc!$E$494))=0,"",INDEX('Documents'!$K$4:$K$503,_calc!$E$494)))=0,"","On file: "&amp;IF(LEN(INDEX('Documents'!$K$4:$K$503,_calc!$E$494))=0,"",INDEX('Documents'!$K$4:$K$503,_calc!$E$494))&amp;". ")&amp;IF(LEN(IF(LEN(INDEX('Documents'!$L$4:$L$503,_calc!$E$494))=0,"",INDEX('Documents'!$L$4:$L$503,_calc!$E$494)))=0,"","Contractor email: "&amp;IF(LEN(INDEX('Documents'!$L$4:$L$503,_calc!$E$494))=0,"",INDEX('Documents'!$L$4:$L$503,_calc!$E$494))&amp;". ")&amp;IF(LEN(IF(LEN(INDEX('Documents'!$P$4:$P$503,_calc!$E$494))=0,"",INDEX('Documents'!$P$4:$P$503,_calc!$E$494)))=0,"",IF(LEN(INDEX('Documents'!$P$4:$P$503,_calc!$E$494))=0,"",INDEX('Documents'!$P$4:$P$503,_calc!$E$494)))))</f>
        <v/>
      </c>
      <c r="G492" s="43">
        <f>IF(_calc!$E$494="","",IF(LEN(INDEX('Documents'!$O$4:$O$503,_calc!$E$494))=0,"",INDEX('Documents'!$O$4:$O$503,_calc!$E$494)))</f>
        <v/>
      </c>
      <c r="K492" s="43">
        <f>IF(_calc!$E$494="","",IF(LEN(INDEX('Documents'!$M$4:$M$503,_calc!$E$494))=0,"",INDEX('Documents'!$M$4:$M$503,_calc!$E$494)))</f>
        <v/>
      </c>
    </row>
    <row r="493">
      <c r="A493" s="43">
        <f>IF(_calc!$E$495="","",IF(LEN(INDEX('Documents'!$C$4:$C$503,_calc!$E$495))=0,"",INDEX('Documents'!$C$4:$C$503,_calc!$E$495))&amp;" – "&amp;IF(LEN(INDEX('Documents'!$A$4:$A$503,_calc!$E$495))=0,"",INDEX('Documents'!$A$4:$A$503,_calc!$E$495)))</f>
        <v/>
      </c>
      <c r="B493" s="43">
        <f>IF(_calc!$E$495="","",IF(ISNUMBER(INDEX('Documents'!$F$4:$F$503,_calc!$E$495)),TEXT(INDEX('Documents'!$F$4:$F$503,_calc!$E$495),"yyyy-mm-dd"),""))</f>
        <v/>
      </c>
      <c r="C493" s="43">
        <f>IF(_calc!$E$495="","","Contractor document")</f>
        <v/>
      </c>
      <c r="D493" s="43">
        <f>IF(_calc!$E$495="","",IF(ISNUMBER(INDEX('Documents'!$E$4:$E$503,_calc!$E$495)),TEXT(INDEX('Documents'!$E$4:$E$503,_calc!$E$495),"yyyy-mm-dd"),""))</f>
        <v/>
      </c>
      <c r="E493" s="43">
        <f>IF(_calc!$E$495="","",IF(LEN(INDEX('Documents'!$N$4:$N$503,_calc!$E$495))=0,"",INDEX('Documents'!$N$4:$N$503,_calc!$E$495)))</f>
        <v/>
      </c>
      <c r="F493" s="43">
        <f>IF(_calc!$E$495="","",TRIM(IF(LEN(IF(LEN(INDEX('Documents'!$B$4:$B$503,_calc!$E$495))=0,"",INDEX('Documents'!$B$4:$B$503,_calc!$E$495)))=0,"","Trade: "&amp;IF(LEN(INDEX('Documents'!$B$4:$B$503,_calc!$E$495))=0,"",INDEX('Documents'!$B$4:$B$503,_calc!$E$495))&amp;". ")&amp;IF(LEN(IF(LEN(INDEX('Documents'!$D$4:$D$503,_calc!$E$495))=0,"",INDEX('Documents'!$D$4:$D$503,_calc!$E$495)))=0,"","Ref: "&amp;IF(LEN(INDEX('Documents'!$D$4:$D$503,_calc!$E$495))=0,"",INDEX('Documents'!$D$4:$D$503,_calc!$E$495))&amp;". ")&amp;IF(LEN(IF(LEN(INDEX('Documents'!$K$4:$K$503,_calc!$E$495))=0,"",INDEX('Documents'!$K$4:$K$503,_calc!$E$495)))=0,"","On file: "&amp;IF(LEN(INDEX('Documents'!$K$4:$K$503,_calc!$E$495))=0,"",INDEX('Documents'!$K$4:$K$503,_calc!$E$495))&amp;". ")&amp;IF(LEN(IF(LEN(INDEX('Documents'!$L$4:$L$503,_calc!$E$495))=0,"",INDEX('Documents'!$L$4:$L$503,_calc!$E$495)))=0,"","Contractor email: "&amp;IF(LEN(INDEX('Documents'!$L$4:$L$503,_calc!$E$495))=0,"",INDEX('Documents'!$L$4:$L$503,_calc!$E$495))&amp;". ")&amp;IF(LEN(IF(LEN(INDEX('Documents'!$P$4:$P$503,_calc!$E$495))=0,"",INDEX('Documents'!$P$4:$P$503,_calc!$E$495)))=0,"",IF(LEN(INDEX('Documents'!$P$4:$P$503,_calc!$E$495))=0,"",INDEX('Documents'!$P$4:$P$503,_calc!$E$495)))))</f>
        <v/>
      </c>
      <c r="G493" s="43">
        <f>IF(_calc!$E$495="","",IF(LEN(INDEX('Documents'!$O$4:$O$503,_calc!$E$495))=0,"",INDEX('Documents'!$O$4:$O$503,_calc!$E$495)))</f>
        <v/>
      </c>
      <c r="K493" s="43">
        <f>IF(_calc!$E$495="","",IF(LEN(INDEX('Documents'!$M$4:$M$503,_calc!$E$495))=0,"",INDEX('Documents'!$M$4:$M$503,_calc!$E$495)))</f>
        <v/>
      </c>
    </row>
    <row r="494">
      <c r="A494" s="43">
        <f>IF(_calc!$E$496="","",IF(LEN(INDEX('Documents'!$C$4:$C$503,_calc!$E$496))=0,"",INDEX('Documents'!$C$4:$C$503,_calc!$E$496))&amp;" – "&amp;IF(LEN(INDEX('Documents'!$A$4:$A$503,_calc!$E$496))=0,"",INDEX('Documents'!$A$4:$A$503,_calc!$E$496)))</f>
        <v/>
      </c>
      <c r="B494" s="43">
        <f>IF(_calc!$E$496="","",IF(ISNUMBER(INDEX('Documents'!$F$4:$F$503,_calc!$E$496)),TEXT(INDEX('Documents'!$F$4:$F$503,_calc!$E$496),"yyyy-mm-dd"),""))</f>
        <v/>
      </c>
      <c r="C494" s="43">
        <f>IF(_calc!$E$496="","","Contractor document")</f>
        <v/>
      </c>
      <c r="D494" s="43">
        <f>IF(_calc!$E$496="","",IF(ISNUMBER(INDEX('Documents'!$E$4:$E$503,_calc!$E$496)),TEXT(INDEX('Documents'!$E$4:$E$503,_calc!$E$496),"yyyy-mm-dd"),""))</f>
        <v/>
      </c>
      <c r="E494" s="43">
        <f>IF(_calc!$E$496="","",IF(LEN(INDEX('Documents'!$N$4:$N$503,_calc!$E$496))=0,"",INDEX('Documents'!$N$4:$N$503,_calc!$E$496)))</f>
        <v/>
      </c>
      <c r="F494" s="43">
        <f>IF(_calc!$E$496="","",TRIM(IF(LEN(IF(LEN(INDEX('Documents'!$B$4:$B$503,_calc!$E$496))=0,"",INDEX('Documents'!$B$4:$B$503,_calc!$E$496)))=0,"","Trade: "&amp;IF(LEN(INDEX('Documents'!$B$4:$B$503,_calc!$E$496))=0,"",INDEX('Documents'!$B$4:$B$503,_calc!$E$496))&amp;". ")&amp;IF(LEN(IF(LEN(INDEX('Documents'!$D$4:$D$503,_calc!$E$496))=0,"",INDEX('Documents'!$D$4:$D$503,_calc!$E$496)))=0,"","Ref: "&amp;IF(LEN(INDEX('Documents'!$D$4:$D$503,_calc!$E$496))=0,"",INDEX('Documents'!$D$4:$D$503,_calc!$E$496))&amp;". ")&amp;IF(LEN(IF(LEN(INDEX('Documents'!$K$4:$K$503,_calc!$E$496))=0,"",INDEX('Documents'!$K$4:$K$503,_calc!$E$496)))=0,"","On file: "&amp;IF(LEN(INDEX('Documents'!$K$4:$K$503,_calc!$E$496))=0,"",INDEX('Documents'!$K$4:$K$503,_calc!$E$496))&amp;". ")&amp;IF(LEN(IF(LEN(INDEX('Documents'!$L$4:$L$503,_calc!$E$496))=0,"",INDEX('Documents'!$L$4:$L$503,_calc!$E$496)))=0,"","Contractor email: "&amp;IF(LEN(INDEX('Documents'!$L$4:$L$503,_calc!$E$496))=0,"",INDEX('Documents'!$L$4:$L$503,_calc!$E$496))&amp;". ")&amp;IF(LEN(IF(LEN(INDEX('Documents'!$P$4:$P$503,_calc!$E$496))=0,"",INDEX('Documents'!$P$4:$P$503,_calc!$E$496)))=0,"",IF(LEN(INDEX('Documents'!$P$4:$P$503,_calc!$E$496))=0,"",INDEX('Documents'!$P$4:$P$503,_calc!$E$496)))))</f>
        <v/>
      </c>
      <c r="G494" s="43">
        <f>IF(_calc!$E$496="","",IF(LEN(INDEX('Documents'!$O$4:$O$503,_calc!$E$496))=0,"",INDEX('Documents'!$O$4:$O$503,_calc!$E$496)))</f>
        <v/>
      </c>
      <c r="K494" s="43">
        <f>IF(_calc!$E$496="","",IF(LEN(INDEX('Documents'!$M$4:$M$503,_calc!$E$496))=0,"",INDEX('Documents'!$M$4:$M$503,_calc!$E$496)))</f>
        <v/>
      </c>
    </row>
    <row r="495">
      <c r="A495" s="43">
        <f>IF(_calc!$E$497="","",IF(LEN(INDEX('Documents'!$C$4:$C$503,_calc!$E$497))=0,"",INDEX('Documents'!$C$4:$C$503,_calc!$E$497))&amp;" – "&amp;IF(LEN(INDEX('Documents'!$A$4:$A$503,_calc!$E$497))=0,"",INDEX('Documents'!$A$4:$A$503,_calc!$E$497)))</f>
        <v/>
      </c>
      <c r="B495" s="43">
        <f>IF(_calc!$E$497="","",IF(ISNUMBER(INDEX('Documents'!$F$4:$F$503,_calc!$E$497)),TEXT(INDEX('Documents'!$F$4:$F$503,_calc!$E$497),"yyyy-mm-dd"),""))</f>
        <v/>
      </c>
      <c r="C495" s="43">
        <f>IF(_calc!$E$497="","","Contractor document")</f>
        <v/>
      </c>
      <c r="D495" s="43">
        <f>IF(_calc!$E$497="","",IF(ISNUMBER(INDEX('Documents'!$E$4:$E$503,_calc!$E$497)),TEXT(INDEX('Documents'!$E$4:$E$503,_calc!$E$497),"yyyy-mm-dd"),""))</f>
        <v/>
      </c>
      <c r="E495" s="43">
        <f>IF(_calc!$E$497="","",IF(LEN(INDEX('Documents'!$N$4:$N$503,_calc!$E$497))=0,"",INDEX('Documents'!$N$4:$N$503,_calc!$E$497)))</f>
        <v/>
      </c>
      <c r="F495" s="43">
        <f>IF(_calc!$E$497="","",TRIM(IF(LEN(IF(LEN(INDEX('Documents'!$B$4:$B$503,_calc!$E$497))=0,"",INDEX('Documents'!$B$4:$B$503,_calc!$E$497)))=0,"","Trade: "&amp;IF(LEN(INDEX('Documents'!$B$4:$B$503,_calc!$E$497))=0,"",INDEX('Documents'!$B$4:$B$503,_calc!$E$497))&amp;". ")&amp;IF(LEN(IF(LEN(INDEX('Documents'!$D$4:$D$503,_calc!$E$497))=0,"",INDEX('Documents'!$D$4:$D$503,_calc!$E$497)))=0,"","Ref: "&amp;IF(LEN(INDEX('Documents'!$D$4:$D$503,_calc!$E$497))=0,"",INDEX('Documents'!$D$4:$D$503,_calc!$E$497))&amp;". ")&amp;IF(LEN(IF(LEN(INDEX('Documents'!$K$4:$K$503,_calc!$E$497))=0,"",INDEX('Documents'!$K$4:$K$503,_calc!$E$497)))=0,"","On file: "&amp;IF(LEN(INDEX('Documents'!$K$4:$K$503,_calc!$E$497))=0,"",INDEX('Documents'!$K$4:$K$503,_calc!$E$497))&amp;". ")&amp;IF(LEN(IF(LEN(INDEX('Documents'!$L$4:$L$503,_calc!$E$497))=0,"",INDEX('Documents'!$L$4:$L$503,_calc!$E$497)))=0,"","Contractor email: "&amp;IF(LEN(INDEX('Documents'!$L$4:$L$503,_calc!$E$497))=0,"",INDEX('Documents'!$L$4:$L$503,_calc!$E$497))&amp;". ")&amp;IF(LEN(IF(LEN(INDEX('Documents'!$P$4:$P$503,_calc!$E$497))=0,"",INDEX('Documents'!$P$4:$P$503,_calc!$E$497)))=0,"",IF(LEN(INDEX('Documents'!$P$4:$P$503,_calc!$E$497))=0,"",INDEX('Documents'!$P$4:$P$503,_calc!$E$497)))))</f>
        <v/>
      </c>
      <c r="G495" s="43">
        <f>IF(_calc!$E$497="","",IF(LEN(INDEX('Documents'!$O$4:$O$503,_calc!$E$497))=0,"",INDEX('Documents'!$O$4:$O$503,_calc!$E$497)))</f>
        <v/>
      </c>
      <c r="K495" s="43">
        <f>IF(_calc!$E$497="","",IF(LEN(INDEX('Documents'!$M$4:$M$503,_calc!$E$497))=0,"",INDEX('Documents'!$M$4:$M$503,_calc!$E$497)))</f>
        <v/>
      </c>
    </row>
    <row r="496">
      <c r="A496" s="43">
        <f>IF(_calc!$E$498="","",IF(LEN(INDEX('Documents'!$C$4:$C$503,_calc!$E$498))=0,"",INDEX('Documents'!$C$4:$C$503,_calc!$E$498))&amp;" – "&amp;IF(LEN(INDEX('Documents'!$A$4:$A$503,_calc!$E$498))=0,"",INDEX('Documents'!$A$4:$A$503,_calc!$E$498)))</f>
        <v/>
      </c>
      <c r="B496" s="43">
        <f>IF(_calc!$E$498="","",IF(ISNUMBER(INDEX('Documents'!$F$4:$F$503,_calc!$E$498)),TEXT(INDEX('Documents'!$F$4:$F$503,_calc!$E$498),"yyyy-mm-dd"),""))</f>
        <v/>
      </c>
      <c r="C496" s="43">
        <f>IF(_calc!$E$498="","","Contractor document")</f>
        <v/>
      </c>
      <c r="D496" s="43">
        <f>IF(_calc!$E$498="","",IF(ISNUMBER(INDEX('Documents'!$E$4:$E$503,_calc!$E$498)),TEXT(INDEX('Documents'!$E$4:$E$503,_calc!$E$498),"yyyy-mm-dd"),""))</f>
        <v/>
      </c>
      <c r="E496" s="43">
        <f>IF(_calc!$E$498="","",IF(LEN(INDEX('Documents'!$N$4:$N$503,_calc!$E$498))=0,"",INDEX('Documents'!$N$4:$N$503,_calc!$E$498)))</f>
        <v/>
      </c>
      <c r="F496" s="43">
        <f>IF(_calc!$E$498="","",TRIM(IF(LEN(IF(LEN(INDEX('Documents'!$B$4:$B$503,_calc!$E$498))=0,"",INDEX('Documents'!$B$4:$B$503,_calc!$E$498)))=0,"","Trade: "&amp;IF(LEN(INDEX('Documents'!$B$4:$B$503,_calc!$E$498))=0,"",INDEX('Documents'!$B$4:$B$503,_calc!$E$498))&amp;". ")&amp;IF(LEN(IF(LEN(INDEX('Documents'!$D$4:$D$503,_calc!$E$498))=0,"",INDEX('Documents'!$D$4:$D$503,_calc!$E$498)))=0,"","Ref: "&amp;IF(LEN(INDEX('Documents'!$D$4:$D$503,_calc!$E$498))=0,"",INDEX('Documents'!$D$4:$D$503,_calc!$E$498))&amp;". ")&amp;IF(LEN(IF(LEN(INDEX('Documents'!$K$4:$K$503,_calc!$E$498))=0,"",INDEX('Documents'!$K$4:$K$503,_calc!$E$498)))=0,"","On file: "&amp;IF(LEN(INDEX('Documents'!$K$4:$K$503,_calc!$E$498))=0,"",INDEX('Documents'!$K$4:$K$503,_calc!$E$498))&amp;". ")&amp;IF(LEN(IF(LEN(INDEX('Documents'!$L$4:$L$503,_calc!$E$498))=0,"",INDEX('Documents'!$L$4:$L$503,_calc!$E$498)))=0,"","Contractor email: "&amp;IF(LEN(INDEX('Documents'!$L$4:$L$503,_calc!$E$498))=0,"",INDEX('Documents'!$L$4:$L$503,_calc!$E$498))&amp;". ")&amp;IF(LEN(IF(LEN(INDEX('Documents'!$P$4:$P$503,_calc!$E$498))=0,"",INDEX('Documents'!$P$4:$P$503,_calc!$E$498)))=0,"",IF(LEN(INDEX('Documents'!$P$4:$P$503,_calc!$E$498))=0,"",INDEX('Documents'!$P$4:$P$503,_calc!$E$498)))))</f>
        <v/>
      </c>
      <c r="G496" s="43">
        <f>IF(_calc!$E$498="","",IF(LEN(INDEX('Documents'!$O$4:$O$503,_calc!$E$498))=0,"",INDEX('Documents'!$O$4:$O$503,_calc!$E$498)))</f>
        <v/>
      </c>
      <c r="K496" s="43">
        <f>IF(_calc!$E$498="","",IF(LEN(INDEX('Documents'!$M$4:$M$503,_calc!$E$498))=0,"",INDEX('Documents'!$M$4:$M$503,_calc!$E$498)))</f>
        <v/>
      </c>
    </row>
    <row r="497">
      <c r="A497" s="43">
        <f>IF(_calc!$E$499="","",IF(LEN(INDEX('Documents'!$C$4:$C$503,_calc!$E$499))=0,"",INDEX('Documents'!$C$4:$C$503,_calc!$E$499))&amp;" – "&amp;IF(LEN(INDEX('Documents'!$A$4:$A$503,_calc!$E$499))=0,"",INDEX('Documents'!$A$4:$A$503,_calc!$E$499)))</f>
        <v/>
      </c>
      <c r="B497" s="43">
        <f>IF(_calc!$E$499="","",IF(ISNUMBER(INDEX('Documents'!$F$4:$F$503,_calc!$E$499)),TEXT(INDEX('Documents'!$F$4:$F$503,_calc!$E$499),"yyyy-mm-dd"),""))</f>
        <v/>
      </c>
      <c r="C497" s="43">
        <f>IF(_calc!$E$499="","","Contractor document")</f>
        <v/>
      </c>
      <c r="D497" s="43">
        <f>IF(_calc!$E$499="","",IF(ISNUMBER(INDEX('Documents'!$E$4:$E$503,_calc!$E$499)),TEXT(INDEX('Documents'!$E$4:$E$503,_calc!$E$499),"yyyy-mm-dd"),""))</f>
        <v/>
      </c>
      <c r="E497" s="43">
        <f>IF(_calc!$E$499="","",IF(LEN(INDEX('Documents'!$N$4:$N$503,_calc!$E$499))=0,"",INDEX('Documents'!$N$4:$N$503,_calc!$E$499)))</f>
        <v/>
      </c>
      <c r="F497" s="43">
        <f>IF(_calc!$E$499="","",TRIM(IF(LEN(IF(LEN(INDEX('Documents'!$B$4:$B$503,_calc!$E$499))=0,"",INDEX('Documents'!$B$4:$B$503,_calc!$E$499)))=0,"","Trade: "&amp;IF(LEN(INDEX('Documents'!$B$4:$B$503,_calc!$E$499))=0,"",INDEX('Documents'!$B$4:$B$503,_calc!$E$499))&amp;". ")&amp;IF(LEN(IF(LEN(INDEX('Documents'!$D$4:$D$503,_calc!$E$499))=0,"",INDEX('Documents'!$D$4:$D$503,_calc!$E$499)))=0,"","Ref: "&amp;IF(LEN(INDEX('Documents'!$D$4:$D$503,_calc!$E$499))=0,"",INDEX('Documents'!$D$4:$D$503,_calc!$E$499))&amp;". ")&amp;IF(LEN(IF(LEN(INDEX('Documents'!$K$4:$K$503,_calc!$E$499))=0,"",INDEX('Documents'!$K$4:$K$503,_calc!$E$499)))=0,"","On file: "&amp;IF(LEN(INDEX('Documents'!$K$4:$K$503,_calc!$E$499))=0,"",INDEX('Documents'!$K$4:$K$503,_calc!$E$499))&amp;". ")&amp;IF(LEN(IF(LEN(INDEX('Documents'!$L$4:$L$503,_calc!$E$499))=0,"",INDEX('Documents'!$L$4:$L$503,_calc!$E$499)))=0,"","Contractor email: "&amp;IF(LEN(INDEX('Documents'!$L$4:$L$503,_calc!$E$499))=0,"",INDEX('Documents'!$L$4:$L$503,_calc!$E$499))&amp;". ")&amp;IF(LEN(IF(LEN(INDEX('Documents'!$P$4:$P$503,_calc!$E$499))=0,"",INDEX('Documents'!$P$4:$P$503,_calc!$E$499)))=0,"",IF(LEN(INDEX('Documents'!$P$4:$P$503,_calc!$E$499))=0,"",INDEX('Documents'!$P$4:$P$503,_calc!$E$499)))))</f>
        <v/>
      </c>
      <c r="G497" s="43">
        <f>IF(_calc!$E$499="","",IF(LEN(INDEX('Documents'!$O$4:$O$503,_calc!$E$499))=0,"",INDEX('Documents'!$O$4:$O$503,_calc!$E$499)))</f>
        <v/>
      </c>
      <c r="K497" s="43">
        <f>IF(_calc!$E$499="","",IF(LEN(INDEX('Documents'!$M$4:$M$503,_calc!$E$499))=0,"",INDEX('Documents'!$M$4:$M$503,_calc!$E$499)))</f>
        <v/>
      </c>
    </row>
    <row r="498">
      <c r="A498" s="43">
        <f>IF(_calc!$E$500="","",IF(LEN(INDEX('Documents'!$C$4:$C$503,_calc!$E$500))=0,"",INDEX('Documents'!$C$4:$C$503,_calc!$E$500))&amp;" – "&amp;IF(LEN(INDEX('Documents'!$A$4:$A$503,_calc!$E$500))=0,"",INDEX('Documents'!$A$4:$A$503,_calc!$E$500)))</f>
        <v/>
      </c>
      <c r="B498" s="43">
        <f>IF(_calc!$E$500="","",IF(ISNUMBER(INDEX('Documents'!$F$4:$F$503,_calc!$E$500)),TEXT(INDEX('Documents'!$F$4:$F$503,_calc!$E$500),"yyyy-mm-dd"),""))</f>
        <v/>
      </c>
      <c r="C498" s="43">
        <f>IF(_calc!$E$500="","","Contractor document")</f>
        <v/>
      </c>
      <c r="D498" s="43">
        <f>IF(_calc!$E$500="","",IF(ISNUMBER(INDEX('Documents'!$E$4:$E$503,_calc!$E$500)),TEXT(INDEX('Documents'!$E$4:$E$503,_calc!$E$500),"yyyy-mm-dd"),""))</f>
        <v/>
      </c>
      <c r="E498" s="43">
        <f>IF(_calc!$E$500="","",IF(LEN(INDEX('Documents'!$N$4:$N$503,_calc!$E$500))=0,"",INDEX('Documents'!$N$4:$N$503,_calc!$E$500)))</f>
        <v/>
      </c>
      <c r="F498" s="43">
        <f>IF(_calc!$E$500="","",TRIM(IF(LEN(IF(LEN(INDEX('Documents'!$B$4:$B$503,_calc!$E$500))=0,"",INDEX('Documents'!$B$4:$B$503,_calc!$E$500)))=0,"","Trade: "&amp;IF(LEN(INDEX('Documents'!$B$4:$B$503,_calc!$E$500))=0,"",INDEX('Documents'!$B$4:$B$503,_calc!$E$500))&amp;". ")&amp;IF(LEN(IF(LEN(INDEX('Documents'!$D$4:$D$503,_calc!$E$500))=0,"",INDEX('Documents'!$D$4:$D$503,_calc!$E$500)))=0,"","Ref: "&amp;IF(LEN(INDEX('Documents'!$D$4:$D$503,_calc!$E$500))=0,"",INDEX('Documents'!$D$4:$D$503,_calc!$E$500))&amp;". ")&amp;IF(LEN(IF(LEN(INDEX('Documents'!$K$4:$K$503,_calc!$E$500))=0,"",INDEX('Documents'!$K$4:$K$503,_calc!$E$500)))=0,"","On file: "&amp;IF(LEN(INDEX('Documents'!$K$4:$K$503,_calc!$E$500))=0,"",INDEX('Documents'!$K$4:$K$503,_calc!$E$500))&amp;". ")&amp;IF(LEN(IF(LEN(INDEX('Documents'!$L$4:$L$503,_calc!$E$500))=0,"",INDEX('Documents'!$L$4:$L$503,_calc!$E$500)))=0,"","Contractor email: "&amp;IF(LEN(INDEX('Documents'!$L$4:$L$503,_calc!$E$500))=0,"",INDEX('Documents'!$L$4:$L$503,_calc!$E$500))&amp;". ")&amp;IF(LEN(IF(LEN(INDEX('Documents'!$P$4:$P$503,_calc!$E$500))=0,"",INDEX('Documents'!$P$4:$P$503,_calc!$E$500)))=0,"",IF(LEN(INDEX('Documents'!$P$4:$P$503,_calc!$E$500))=0,"",INDEX('Documents'!$P$4:$P$503,_calc!$E$500)))))</f>
        <v/>
      </c>
      <c r="G498" s="43">
        <f>IF(_calc!$E$500="","",IF(LEN(INDEX('Documents'!$O$4:$O$503,_calc!$E$500))=0,"",INDEX('Documents'!$O$4:$O$503,_calc!$E$500)))</f>
        <v/>
      </c>
      <c r="K498" s="43">
        <f>IF(_calc!$E$500="","",IF(LEN(INDEX('Documents'!$M$4:$M$503,_calc!$E$500))=0,"",INDEX('Documents'!$M$4:$M$503,_calc!$E$500)))</f>
        <v/>
      </c>
    </row>
    <row r="499">
      <c r="A499" s="43">
        <f>IF(_calc!$E$501="","",IF(LEN(INDEX('Documents'!$C$4:$C$503,_calc!$E$501))=0,"",INDEX('Documents'!$C$4:$C$503,_calc!$E$501))&amp;" – "&amp;IF(LEN(INDEX('Documents'!$A$4:$A$503,_calc!$E$501))=0,"",INDEX('Documents'!$A$4:$A$503,_calc!$E$501)))</f>
        <v/>
      </c>
      <c r="B499" s="43">
        <f>IF(_calc!$E$501="","",IF(ISNUMBER(INDEX('Documents'!$F$4:$F$503,_calc!$E$501)),TEXT(INDEX('Documents'!$F$4:$F$503,_calc!$E$501),"yyyy-mm-dd"),""))</f>
        <v/>
      </c>
      <c r="C499" s="43">
        <f>IF(_calc!$E$501="","","Contractor document")</f>
        <v/>
      </c>
      <c r="D499" s="43">
        <f>IF(_calc!$E$501="","",IF(ISNUMBER(INDEX('Documents'!$E$4:$E$503,_calc!$E$501)),TEXT(INDEX('Documents'!$E$4:$E$503,_calc!$E$501),"yyyy-mm-dd"),""))</f>
        <v/>
      </c>
      <c r="E499" s="43">
        <f>IF(_calc!$E$501="","",IF(LEN(INDEX('Documents'!$N$4:$N$503,_calc!$E$501))=0,"",INDEX('Documents'!$N$4:$N$503,_calc!$E$501)))</f>
        <v/>
      </c>
      <c r="F499" s="43">
        <f>IF(_calc!$E$501="","",TRIM(IF(LEN(IF(LEN(INDEX('Documents'!$B$4:$B$503,_calc!$E$501))=0,"",INDEX('Documents'!$B$4:$B$503,_calc!$E$501)))=0,"","Trade: "&amp;IF(LEN(INDEX('Documents'!$B$4:$B$503,_calc!$E$501))=0,"",INDEX('Documents'!$B$4:$B$503,_calc!$E$501))&amp;". ")&amp;IF(LEN(IF(LEN(INDEX('Documents'!$D$4:$D$503,_calc!$E$501))=0,"",INDEX('Documents'!$D$4:$D$503,_calc!$E$501)))=0,"","Ref: "&amp;IF(LEN(INDEX('Documents'!$D$4:$D$503,_calc!$E$501))=0,"",INDEX('Documents'!$D$4:$D$503,_calc!$E$501))&amp;". ")&amp;IF(LEN(IF(LEN(INDEX('Documents'!$K$4:$K$503,_calc!$E$501))=0,"",INDEX('Documents'!$K$4:$K$503,_calc!$E$501)))=0,"","On file: "&amp;IF(LEN(INDEX('Documents'!$K$4:$K$503,_calc!$E$501))=0,"",INDEX('Documents'!$K$4:$K$503,_calc!$E$501))&amp;". ")&amp;IF(LEN(IF(LEN(INDEX('Documents'!$L$4:$L$503,_calc!$E$501))=0,"",INDEX('Documents'!$L$4:$L$503,_calc!$E$501)))=0,"","Contractor email: "&amp;IF(LEN(INDEX('Documents'!$L$4:$L$503,_calc!$E$501))=0,"",INDEX('Documents'!$L$4:$L$503,_calc!$E$501))&amp;". ")&amp;IF(LEN(IF(LEN(INDEX('Documents'!$P$4:$P$503,_calc!$E$501))=0,"",INDEX('Documents'!$P$4:$P$503,_calc!$E$501)))=0,"",IF(LEN(INDEX('Documents'!$P$4:$P$503,_calc!$E$501))=0,"",INDEX('Documents'!$P$4:$P$503,_calc!$E$501)))))</f>
        <v/>
      </c>
      <c r="G499" s="43">
        <f>IF(_calc!$E$501="","",IF(LEN(INDEX('Documents'!$O$4:$O$503,_calc!$E$501))=0,"",INDEX('Documents'!$O$4:$O$503,_calc!$E$501)))</f>
        <v/>
      </c>
      <c r="K499" s="43">
        <f>IF(_calc!$E$501="","",IF(LEN(INDEX('Documents'!$M$4:$M$503,_calc!$E$501))=0,"",INDEX('Documents'!$M$4:$M$503,_calc!$E$501)))</f>
        <v/>
      </c>
    </row>
    <row r="500">
      <c r="A500" s="43">
        <f>IF(_calc!$E$502="","",IF(LEN(INDEX('Documents'!$C$4:$C$503,_calc!$E$502))=0,"",INDEX('Documents'!$C$4:$C$503,_calc!$E$502))&amp;" – "&amp;IF(LEN(INDEX('Documents'!$A$4:$A$503,_calc!$E$502))=0,"",INDEX('Documents'!$A$4:$A$503,_calc!$E$502)))</f>
        <v/>
      </c>
      <c r="B500" s="43">
        <f>IF(_calc!$E$502="","",IF(ISNUMBER(INDEX('Documents'!$F$4:$F$503,_calc!$E$502)),TEXT(INDEX('Documents'!$F$4:$F$503,_calc!$E$502),"yyyy-mm-dd"),""))</f>
        <v/>
      </c>
      <c r="C500" s="43">
        <f>IF(_calc!$E$502="","","Contractor document")</f>
        <v/>
      </c>
      <c r="D500" s="43">
        <f>IF(_calc!$E$502="","",IF(ISNUMBER(INDEX('Documents'!$E$4:$E$503,_calc!$E$502)),TEXT(INDEX('Documents'!$E$4:$E$503,_calc!$E$502),"yyyy-mm-dd"),""))</f>
        <v/>
      </c>
      <c r="E500" s="43">
        <f>IF(_calc!$E$502="","",IF(LEN(INDEX('Documents'!$N$4:$N$503,_calc!$E$502))=0,"",INDEX('Documents'!$N$4:$N$503,_calc!$E$502)))</f>
        <v/>
      </c>
      <c r="F500" s="43">
        <f>IF(_calc!$E$502="","",TRIM(IF(LEN(IF(LEN(INDEX('Documents'!$B$4:$B$503,_calc!$E$502))=0,"",INDEX('Documents'!$B$4:$B$503,_calc!$E$502)))=0,"","Trade: "&amp;IF(LEN(INDEX('Documents'!$B$4:$B$503,_calc!$E$502))=0,"",INDEX('Documents'!$B$4:$B$503,_calc!$E$502))&amp;". ")&amp;IF(LEN(IF(LEN(INDEX('Documents'!$D$4:$D$503,_calc!$E$502))=0,"",INDEX('Documents'!$D$4:$D$503,_calc!$E$502)))=0,"","Ref: "&amp;IF(LEN(INDEX('Documents'!$D$4:$D$503,_calc!$E$502))=0,"",INDEX('Documents'!$D$4:$D$503,_calc!$E$502))&amp;". ")&amp;IF(LEN(IF(LEN(INDEX('Documents'!$K$4:$K$503,_calc!$E$502))=0,"",INDEX('Documents'!$K$4:$K$503,_calc!$E$502)))=0,"","On file: "&amp;IF(LEN(INDEX('Documents'!$K$4:$K$503,_calc!$E$502))=0,"",INDEX('Documents'!$K$4:$K$503,_calc!$E$502))&amp;". ")&amp;IF(LEN(IF(LEN(INDEX('Documents'!$L$4:$L$503,_calc!$E$502))=0,"",INDEX('Documents'!$L$4:$L$503,_calc!$E$502)))=0,"","Contractor email: "&amp;IF(LEN(INDEX('Documents'!$L$4:$L$503,_calc!$E$502))=0,"",INDEX('Documents'!$L$4:$L$503,_calc!$E$502))&amp;". ")&amp;IF(LEN(IF(LEN(INDEX('Documents'!$P$4:$P$503,_calc!$E$502))=0,"",INDEX('Documents'!$P$4:$P$503,_calc!$E$502)))=0,"",IF(LEN(INDEX('Documents'!$P$4:$P$503,_calc!$E$502))=0,"",INDEX('Documents'!$P$4:$P$503,_calc!$E$502)))))</f>
        <v/>
      </c>
      <c r="G500" s="43">
        <f>IF(_calc!$E$502="","",IF(LEN(INDEX('Documents'!$O$4:$O$503,_calc!$E$502))=0,"",INDEX('Documents'!$O$4:$O$503,_calc!$E$502)))</f>
        <v/>
      </c>
      <c r="K500" s="43">
        <f>IF(_calc!$E$502="","",IF(LEN(INDEX('Documents'!$M$4:$M$503,_calc!$E$502))=0,"",INDEX('Documents'!$M$4:$M$503,_calc!$E$502)))</f>
        <v/>
      </c>
    </row>
    <row r="501">
      <c r="A501" s="43">
        <f>IF(_calc!$E$503="","",IF(LEN(INDEX('Documents'!$C$4:$C$503,_calc!$E$503))=0,"",INDEX('Documents'!$C$4:$C$503,_calc!$E$503))&amp;" – "&amp;IF(LEN(INDEX('Documents'!$A$4:$A$503,_calc!$E$503))=0,"",INDEX('Documents'!$A$4:$A$503,_calc!$E$503)))</f>
        <v/>
      </c>
      <c r="B501" s="43">
        <f>IF(_calc!$E$503="","",IF(ISNUMBER(INDEX('Documents'!$F$4:$F$503,_calc!$E$503)),TEXT(INDEX('Documents'!$F$4:$F$503,_calc!$E$503),"yyyy-mm-dd"),""))</f>
        <v/>
      </c>
      <c r="C501" s="43">
        <f>IF(_calc!$E$503="","","Contractor document")</f>
        <v/>
      </c>
      <c r="D501" s="43">
        <f>IF(_calc!$E$503="","",IF(ISNUMBER(INDEX('Documents'!$E$4:$E$503,_calc!$E$503)),TEXT(INDEX('Documents'!$E$4:$E$503,_calc!$E$503),"yyyy-mm-dd"),""))</f>
        <v/>
      </c>
      <c r="E501" s="43">
        <f>IF(_calc!$E$503="","",IF(LEN(INDEX('Documents'!$N$4:$N$503,_calc!$E$503))=0,"",INDEX('Documents'!$N$4:$N$503,_calc!$E$503)))</f>
        <v/>
      </c>
      <c r="F501" s="43">
        <f>IF(_calc!$E$503="","",TRIM(IF(LEN(IF(LEN(INDEX('Documents'!$B$4:$B$503,_calc!$E$503))=0,"",INDEX('Documents'!$B$4:$B$503,_calc!$E$503)))=0,"","Trade: "&amp;IF(LEN(INDEX('Documents'!$B$4:$B$503,_calc!$E$503))=0,"",INDEX('Documents'!$B$4:$B$503,_calc!$E$503))&amp;". ")&amp;IF(LEN(IF(LEN(INDEX('Documents'!$D$4:$D$503,_calc!$E$503))=0,"",INDEX('Documents'!$D$4:$D$503,_calc!$E$503)))=0,"","Ref: "&amp;IF(LEN(INDEX('Documents'!$D$4:$D$503,_calc!$E$503))=0,"",INDEX('Documents'!$D$4:$D$503,_calc!$E$503))&amp;". ")&amp;IF(LEN(IF(LEN(INDEX('Documents'!$K$4:$K$503,_calc!$E$503))=0,"",INDEX('Documents'!$K$4:$K$503,_calc!$E$503)))=0,"","On file: "&amp;IF(LEN(INDEX('Documents'!$K$4:$K$503,_calc!$E$503))=0,"",INDEX('Documents'!$K$4:$K$503,_calc!$E$503))&amp;". ")&amp;IF(LEN(IF(LEN(INDEX('Documents'!$L$4:$L$503,_calc!$E$503))=0,"",INDEX('Documents'!$L$4:$L$503,_calc!$E$503)))=0,"","Contractor email: "&amp;IF(LEN(INDEX('Documents'!$L$4:$L$503,_calc!$E$503))=0,"",INDEX('Documents'!$L$4:$L$503,_calc!$E$503))&amp;". ")&amp;IF(LEN(IF(LEN(INDEX('Documents'!$P$4:$P$503,_calc!$E$503))=0,"",INDEX('Documents'!$P$4:$P$503,_calc!$E$503)))=0,"",IF(LEN(INDEX('Documents'!$P$4:$P$503,_calc!$E$503))=0,"",INDEX('Documents'!$P$4:$P$503,_calc!$E$503)))))</f>
        <v/>
      </c>
      <c r="G501" s="43">
        <f>IF(_calc!$E$503="","",IF(LEN(INDEX('Documents'!$O$4:$O$503,_calc!$E$503))=0,"",INDEX('Documents'!$O$4:$O$503,_calc!$E$503)))</f>
        <v/>
      </c>
      <c r="K501" s="43">
        <f>IF(_calc!$E$503="","",IF(LEN(INDEX('Documents'!$M$4:$M$503,_calc!$E$503))=0,"",INDEX('Documents'!$M$4:$M$503,_calc!$E$503)))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6" customWidth="1" min="3" max="3"/>
    <col width="50" customWidth="1" min="5" max="5"/>
  </cols>
  <sheetData>
    <row r="1">
      <c r="A1" s="13" t="inlineStr">
        <is>
          <t>Document</t>
        </is>
      </c>
      <c r="C1" s="13" t="inlineStr">
        <is>
          <t>Priority</t>
        </is>
      </c>
      <c r="E1" s="44" t="inlineStr">
        <is>
          <t>About these lists</t>
        </is>
      </c>
    </row>
    <row r="2">
      <c r="A2" s="43" t="inlineStr">
        <is>
          <t>Public liability insurance</t>
        </is>
      </c>
      <c r="C2" s="43" t="inlineStr">
        <is>
          <t>Low</t>
        </is>
      </c>
      <c r="E2" s="45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3" t="inlineStr">
        <is>
          <t>Employers' liability insurance</t>
        </is>
      </c>
      <c r="C3" s="43" t="inlineStr">
        <is>
          <t>Medium</t>
        </is>
      </c>
    </row>
    <row r="4">
      <c r="A4" s="43" t="inlineStr">
        <is>
          <t>General liability COI</t>
        </is>
      </c>
      <c r="C4" s="43" t="inlineStr">
        <is>
          <t>High</t>
        </is>
      </c>
    </row>
    <row r="5">
      <c r="A5" s="43" t="inlineStr">
        <is>
          <t>Workers' comp certificate</t>
        </is>
      </c>
    </row>
    <row r="6">
      <c r="A6" s="43" t="inlineStr">
        <is>
          <t>Professional indemnity insurance</t>
        </is>
      </c>
    </row>
    <row r="7">
      <c r="A7" s="43" t="inlineStr">
        <is>
          <t>Trade accreditation / registration</t>
        </is>
      </c>
    </row>
    <row r="8">
      <c r="A8" s="43" t="inlineStr">
        <is>
          <t>Risk assessment &amp; method statement</t>
        </is>
      </c>
    </row>
    <row r="9">
      <c r="A9" s="43" t="inlineStr">
        <is>
          <t>Health &amp; safety policy</t>
        </is>
      </c>
    </row>
    <row r="10">
      <c r="A10" s="43" t="inlineStr">
        <is>
          <t>Signed contract / agreement</t>
        </is>
      </c>
    </row>
    <row r="11">
      <c r="A11" s="43" t="inlineStr">
        <is>
          <t>Staff licence / card list</t>
        </is>
      </c>
    </row>
    <row r="12">
      <c r="A12" s="43" t="inlineStr">
        <is>
          <t>Tax / registration form</t>
        </is>
      </c>
    </row>
    <row r="13">
      <c r="A13" s="43" t="inlineStr">
        <is>
          <t>Other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IF(AND(LEN('Documents'!A4)&gt;0,ISNUMBER('Documents'!F4)),'Documents'!F4+1/100000,"")</f>
        <v/>
      </c>
      <c r="B4">
        <f>IF(AND(LEN('Documents'!A4)&gt;0,ISNUMBER('Documents'!F4)),MAX($B$3:B3)+1,"")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IF(AND(LEN('Documents'!A5)&gt;0,ISNUMBER('Documents'!F5)),'Documents'!F5+2/100000,"")</f>
        <v/>
      </c>
      <c r="B5">
        <f>IF(AND(LEN('Documents'!A5)&gt;0,ISNUMBER('Documents'!F5)),MAX($B$3:B4)+1,"")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IF(AND(LEN('Documents'!A6)&gt;0,ISNUMBER('Documents'!F6)),'Documents'!F6+3/100000,"")</f>
        <v/>
      </c>
      <c r="B6">
        <f>IF(AND(LEN('Documents'!A6)&gt;0,ISNUMBER('Documents'!F6)),MAX($B$3:B5)+1,"")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IF(AND(LEN('Documents'!A7)&gt;0,ISNUMBER('Documents'!F7)),'Documents'!F7+4/100000,"")</f>
        <v/>
      </c>
      <c r="B7">
        <f>IF(AND(LEN('Documents'!A7)&gt;0,ISNUMBER('Documents'!F7)),MAX($B$3:B6)+1,"")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IF(AND(LEN('Documents'!A8)&gt;0,ISNUMBER('Documents'!F8)),'Documents'!F8+5/100000,"")</f>
        <v/>
      </c>
      <c r="B8">
        <f>IF(AND(LEN('Documents'!A8)&gt;0,ISNUMBER('Documents'!F8)),MAX($B$3:B7)+1,"")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IF(AND(LEN('Documents'!A9)&gt;0,ISNUMBER('Documents'!F9)),'Documents'!F9+6/100000,"")</f>
        <v/>
      </c>
      <c r="B9">
        <f>IF(AND(LEN('Documents'!A9)&gt;0,ISNUMBER('Documents'!F9)),MAX($B$3:B8)+1,"")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IF(AND(LEN('Documents'!A10)&gt;0,ISNUMBER('Documents'!F10)),'Documents'!F10+7/100000,"")</f>
        <v/>
      </c>
      <c r="B10">
        <f>IF(AND(LEN('Documents'!A10)&gt;0,ISNUMBER('Documents'!F10)),MAX($B$3:B9)+1,"")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IF(AND(LEN('Documents'!A11)&gt;0,ISNUMBER('Documents'!F11)),'Documents'!F11+8/100000,"")</f>
        <v/>
      </c>
      <c r="B11">
        <f>IF(AND(LEN('Documents'!A11)&gt;0,ISNUMBER('Documents'!F11)),MAX($B$3:B10)+1,"")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IF(AND(LEN('Documents'!A12)&gt;0,ISNUMBER('Documents'!F12)),'Documents'!F12+9/100000,"")</f>
        <v/>
      </c>
      <c r="B12">
        <f>IF(AND(LEN('Documents'!A12)&gt;0,ISNUMBER('Documents'!F12)),MAX($B$3:B11)+1,"")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IF(AND(LEN('Documents'!A13)&gt;0,ISNUMBER('Documents'!F13)),'Documents'!F13+10/100000,"")</f>
        <v/>
      </c>
      <c r="B13">
        <f>IF(AND(LEN('Documents'!A13)&gt;0,ISNUMBER('Documents'!F13)),MAX($B$3:B12)+1,"")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IF(AND(LEN('Documents'!A14)&gt;0,ISNUMBER('Documents'!F14)),'Documents'!F14+11/100000,"")</f>
        <v/>
      </c>
      <c r="B14">
        <f>IF(AND(LEN('Documents'!A14)&gt;0,ISNUMBER('Documents'!F14)),MAX($B$3:B13)+1,"")</f>
        <v/>
      </c>
      <c r="E14">
        <f>IFERROR(MATCH(11,$B$4:$B$503,0),"")</f>
        <v/>
      </c>
    </row>
    <row r="15">
      <c r="A15">
        <f>IF(AND(LEN('Documents'!A15)&gt;0,ISNUMBER('Documents'!F15)),'Documents'!F15+12/100000,"")</f>
        <v/>
      </c>
      <c r="B15">
        <f>IF(AND(LEN('Documents'!A15)&gt;0,ISNUMBER('Documents'!F15)),MAX($B$3:B14)+1,"")</f>
        <v/>
      </c>
      <c r="E15">
        <f>IFERROR(MATCH(12,$B$4:$B$503,0),"")</f>
        <v/>
      </c>
    </row>
    <row r="16">
      <c r="A16">
        <f>IF(AND(LEN('Documents'!A16)&gt;0,ISNUMBER('Documents'!F16)),'Documents'!F16+13/100000,"")</f>
        <v/>
      </c>
      <c r="B16">
        <f>IF(AND(LEN('Documents'!A16)&gt;0,ISNUMBER('Documents'!F16)),MAX($B$3:B15)+1,"")</f>
        <v/>
      </c>
      <c r="E16">
        <f>IFERROR(MATCH(13,$B$4:$B$503,0),"")</f>
        <v/>
      </c>
    </row>
    <row r="17">
      <c r="A17">
        <f>IF(AND(LEN('Documents'!A17)&gt;0,ISNUMBER('Documents'!F17)),'Documents'!F17+14/100000,"")</f>
        <v/>
      </c>
      <c r="B17">
        <f>IF(AND(LEN('Documents'!A17)&gt;0,ISNUMBER('Documents'!F17)),MAX($B$3:B16)+1,"")</f>
        <v/>
      </c>
      <c r="E17">
        <f>IFERROR(MATCH(14,$B$4:$B$503,0),"")</f>
        <v/>
      </c>
    </row>
    <row r="18">
      <c r="A18">
        <f>IF(AND(LEN('Documents'!A18)&gt;0,ISNUMBER('Documents'!F18)),'Documents'!F18+15/100000,"")</f>
        <v/>
      </c>
      <c r="B18">
        <f>IF(AND(LEN('Documents'!A18)&gt;0,ISNUMBER('Documents'!F18)),MAX($B$3:B17)+1,"")</f>
        <v/>
      </c>
      <c r="E18">
        <f>IFERROR(MATCH(15,$B$4:$B$503,0),"")</f>
        <v/>
      </c>
    </row>
    <row r="19">
      <c r="A19">
        <f>IF(AND(LEN('Documents'!A19)&gt;0,ISNUMBER('Documents'!F19)),'Documents'!F19+16/100000,"")</f>
        <v/>
      </c>
      <c r="B19">
        <f>IF(AND(LEN('Documents'!A19)&gt;0,ISNUMBER('Documents'!F19)),MAX($B$3:B18)+1,"")</f>
        <v/>
      </c>
      <c r="E19">
        <f>IFERROR(MATCH(16,$B$4:$B$503,0),"")</f>
        <v/>
      </c>
    </row>
    <row r="20">
      <c r="A20">
        <f>IF(AND(LEN('Documents'!A20)&gt;0,ISNUMBER('Documents'!F20)),'Documents'!F20+17/100000,"")</f>
        <v/>
      </c>
      <c r="B20">
        <f>IF(AND(LEN('Documents'!A20)&gt;0,ISNUMBER('Documents'!F20)),MAX($B$3:B19)+1,"")</f>
        <v/>
      </c>
      <c r="E20">
        <f>IFERROR(MATCH(17,$B$4:$B$503,0),"")</f>
        <v/>
      </c>
    </row>
    <row r="21">
      <c r="A21">
        <f>IF(AND(LEN('Documents'!A21)&gt;0,ISNUMBER('Documents'!F21)),'Documents'!F21+18/100000,"")</f>
        <v/>
      </c>
      <c r="B21">
        <f>IF(AND(LEN('Documents'!A21)&gt;0,ISNUMBER('Documents'!F21)),MAX($B$3:B20)+1,"")</f>
        <v/>
      </c>
      <c r="E21">
        <f>IFERROR(MATCH(18,$B$4:$B$503,0),"")</f>
        <v/>
      </c>
    </row>
    <row r="22">
      <c r="A22">
        <f>IF(AND(LEN('Documents'!A22)&gt;0,ISNUMBER('Documents'!F22)),'Documents'!F22+19/100000,"")</f>
        <v/>
      </c>
      <c r="B22">
        <f>IF(AND(LEN('Documents'!A22)&gt;0,ISNUMBER('Documents'!F22)),MAX($B$3:B21)+1,"")</f>
        <v/>
      </c>
      <c r="E22">
        <f>IFERROR(MATCH(19,$B$4:$B$503,0),"")</f>
        <v/>
      </c>
    </row>
    <row r="23">
      <c r="A23">
        <f>IF(AND(LEN('Documents'!A23)&gt;0,ISNUMBER('Documents'!F23)),'Documents'!F23+20/100000,"")</f>
        <v/>
      </c>
      <c r="B23">
        <f>IF(AND(LEN('Documents'!A23)&gt;0,ISNUMBER('Documents'!F23)),MAX($B$3:B22)+1,"")</f>
        <v/>
      </c>
      <c r="E23">
        <f>IFERROR(MATCH(20,$B$4:$B$503,0),"")</f>
        <v/>
      </c>
    </row>
    <row r="24">
      <c r="A24">
        <f>IF(AND(LEN('Documents'!A24)&gt;0,ISNUMBER('Documents'!F24)),'Documents'!F24+21/100000,"")</f>
        <v/>
      </c>
      <c r="B24">
        <f>IF(AND(LEN('Documents'!A24)&gt;0,ISNUMBER('Documents'!F24)),MAX($B$3:B23)+1,"")</f>
        <v/>
      </c>
      <c r="E24">
        <f>IFERROR(MATCH(21,$B$4:$B$503,0),"")</f>
        <v/>
      </c>
    </row>
    <row r="25">
      <c r="A25">
        <f>IF(AND(LEN('Documents'!A25)&gt;0,ISNUMBER('Documents'!F25)),'Documents'!F25+22/100000,"")</f>
        <v/>
      </c>
      <c r="B25">
        <f>IF(AND(LEN('Documents'!A25)&gt;0,ISNUMBER('Documents'!F25)),MAX($B$3:B24)+1,"")</f>
        <v/>
      </c>
      <c r="E25">
        <f>IFERROR(MATCH(22,$B$4:$B$503,0),"")</f>
        <v/>
      </c>
    </row>
    <row r="26">
      <c r="A26">
        <f>IF(AND(LEN('Documents'!A26)&gt;0,ISNUMBER('Documents'!F26)),'Documents'!F26+23/100000,"")</f>
        <v/>
      </c>
      <c r="B26">
        <f>IF(AND(LEN('Documents'!A26)&gt;0,ISNUMBER('Documents'!F26)),MAX($B$3:B25)+1,"")</f>
        <v/>
      </c>
      <c r="E26">
        <f>IFERROR(MATCH(23,$B$4:$B$503,0),"")</f>
        <v/>
      </c>
    </row>
    <row r="27">
      <c r="A27">
        <f>IF(AND(LEN('Documents'!A27)&gt;0,ISNUMBER('Documents'!F27)),'Documents'!F27+24/100000,"")</f>
        <v/>
      </c>
      <c r="B27">
        <f>IF(AND(LEN('Documents'!A27)&gt;0,ISNUMBER('Documents'!F27)),MAX($B$3:B26)+1,"")</f>
        <v/>
      </c>
      <c r="E27">
        <f>IFERROR(MATCH(24,$B$4:$B$503,0),"")</f>
        <v/>
      </c>
    </row>
    <row r="28">
      <c r="A28">
        <f>IF(AND(LEN('Documents'!A28)&gt;0,ISNUMBER('Documents'!F28)),'Documents'!F28+25/100000,"")</f>
        <v/>
      </c>
      <c r="B28">
        <f>IF(AND(LEN('Documents'!A28)&gt;0,ISNUMBER('Documents'!F28)),MAX($B$3:B27)+1,"")</f>
        <v/>
      </c>
      <c r="E28">
        <f>IFERROR(MATCH(25,$B$4:$B$503,0),"")</f>
        <v/>
      </c>
    </row>
    <row r="29">
      <c r="A29">
        <f>IF(AND(LEN('Documents'!A29)&gt;0,ISNUMBER('Documents'!F29)),'Documents'!F29+26/100000,"")</f>
        <v/>
      </c>
      <c r="B29">
        <f>IF(AND(LEN('Documents'!A29)&gt;0,ISNUMBER('Documents'!F29)),MAX($B$3:B28)+1,"")</f>
        <v/>
      </c>
      <c r="E29">
        <f>IFERROR(MATCH(26,$B$4:$B$503,0),"")</f>
        <v/>
      </c>
    </row>
    <row r="30">
      <c r="A30">
        <f>IF(AND(LEN('Documents'!A30)&gt;0,ISNUMBER('Documents'!F30)),'Documents'!F30+27/100000,"")</f>
        <v/>
      </c>
      <c r="B30">
        <f>IF(AND(LEN('Documents'!A30)&gt;0,ISNUMBER('Documents'!F30)),MAX($B$3:B29)+1,"")</f>
        <v/>
      </c>
      <c r="E30">
        <f>IFERROR(MATCH(27,$B$4:$B$503,0),"")</f>
        <v/>
      </c>
    </row>
    <row r="31">
      <c r="A31">
        <f>IF(AND(LEN('Documents'!A31)&gt;0,ISNUMBER('Documents'!F31)),'Documents'!F31+28/100000,"")</f>
        <v/>
      </c>
      <c r="B31">
        <f>IF(AND(LEN('Documents'!A31)&gt;0,ISNUMBER('Documents'!F31)),MAX($B$3:B30)+1,"")</f>
        <v/>
      </c>
      <c r="E31">
        <f>IFERROR(MATCH(28,$B$4:$B$503,0),"")</f>
        <v/>
      </c>
    </row>
    <row r="32">
      <c r="A32">
        <f>IF(AND(LEN('Documents'!A32)&gt;0,ISNUMBER('Documents'!F32)),'Documents'!F32+29/100000,"")</f>
        <v/>
      </c>
      <c r="B32">
        <f>IF(AND(LEN('Documents'!A32)&gt;0,ISNUMBER('Documents'!F32)),MAX($B$3:B31)+1,"")</f>
        <v/>
      </c>
      <c r="E32">
        <f>IFERROR(MATCH(29,$B$4:$B$503,0),"")</f>
        <v/>
      </c>
    </row>
    <row r="33">
      <c r="A33">
        <f>IF(AND(LEN('Documents'!A33)&gt;0,ISNUMBER('Documents'!F33)),'Documents'!F33+30/100000,"")</f>
        <v/>
      </c>
      <c r="B33">
        <f>IF(AND(LEN('Documents'!A33)&gt;0,ISNUMBER('Documents'!F33)),MAX($B$3:B32)+1,"")</f>
        <v/>
      </c>
      <c r="E33">
        <f>IFERROR(MATCH(30,$B$4:$B$503,0),"")</f>
        <v/>
      </c>
    </row>
    <row r="34">
      <c r="A34">
        <f>IF(AND(LEN('Documents'!A34)&gt;0,ISNUMBER('Documents'!F34)),'Documents'!F34+31/100000,"")</f>
        <v/>
      </c>
      <c r="B34">
        <f>IF(AND(LEN('Documents'!A34)&gt;0,ISNUMBER('Documents'!F34)),MAX($B$3:B33)+1,"")</f>
        <v/>
      </c>
      <c r="E34">
        <f>IFERROR(MATCH(31,$B$4:$B$503,0),"")</f>
        <v/>
      </c>
    </row>
    <row r="35">
      <c r="A35">
        <f>IF(AND(LEN('Documents'!A35)&gt;0,ISNUMBER('Documents'!F35)),'Documents'!F35+32/100000,"")</f>
        <v/>
      </c>
      <c r="B35">
        <f>IF(AND(LEN('Documents'!A35)&gt;0,ISNUMBER('Documents'!F35)),MAX($B$3:B34)+1,"")</f>
        <v/>
      </c>
      <c r="E35">
        <f>IFERROR(MATCH(32,$B$4:$B$503,0),"")</f>
        <v/>
      </c>
    </row>
    <row r="36">
      <c r="A36">
        <f>IF(AND(LEN('Documents'!A36)&gt;0,ISNUMBER('Documents'!F36)),'Documents'!F36+33/100000,"")</f>
        <v/>
      </c>
      <c r="B36">
        <f>IF(AND(LEN('Documents'!A36)&gt;0,ISNUMBER('Documents'!F36)),MAX($B$3:B35)+1,"")</f>
        <v/>
      </c>
      <c r="E36">
        <f>IFERROR(MATCH(33,$B$4:$B$503,0),"")</f>
        <v/>
      </c>
    </row>
    <row r="37">
      <c r="A37">
        <f>IF(AND(LEN('Documents'!A37)&gt;0,ISNUMBER('Documents'!F37)),'Documents'!F37+34/100000,"")</f>
        <v/>
      </c>
      <c r="B37">
        <f>IF(AND(LEN('Documents'!A37)&gt;0,ISNUMBER('Documents'!F37)),MAX($B$3:B36)+1,"")</f>
        <v/>
      </c>
      <c r="E37">
        <f>IFERROR(MATCH(34,$B$4:$B$503,0),"")</f>
        <v/>
      </c>
    </row>
    <row r="38">
      <c r="A38">
        <f>IF(AND(LEN('Documents'!A38)&gt;0,ISNUMBER('Documents'!F38)),'Documents'!F38+35/100000,"")</f>
        <v/>
      </c>
      <c r="B38">
        <f>IF(AND(LEN('Documents'!A38)&gt;0,ISNUMBER('Documents'!F38)),MAX($B$3:B37)+1,"")</f>
        <v/>
      </c>
      <c r="E38">
        <f>IFERROR(MATCH(35,$B$4:$B$503,0),"")</f>
        <v/>
      </c>
    </row>
    <row r="39">
      <c r="A39">
        <f>IF(AND(LEN('Documents'!A39)&gt;0,ISNUMBER('Documents'!F39)),'Documents'!F39+36/100000,"")</f>
        <v/>
      </c>
      <c r="B39">
        <f>IF(AND(LEN('Documents'!A39)&gt;0,ISNUMBER('Documents'!F39)),MAX($B$3:B38)+1,"")</f>
        <v/>
      </c>
      <c r="E39">
        <f>IFERROR(MATCH(36,$B$4:$B$503,0),"")</f>
        <v/>
      </c>
    </row>
    <row r="40">
      <c r="A40">
        <f>IF(AND(LEN('Documents'!A40)&gt;0,ISNUMBER('Documents'!F40)),'Documents'!F40+37/100000,"")</f>
        <v/>
      </c>
      <c r="B40">
        <f>IF(AND(LEN('Documents'!A40)&gt;0,ISNUMBER('Documents'!F40)),MAX($B$3:B39)+1,"")</f>
        <v/>
      </c>
      <c r="E40">
        <f>IFERROR(MATCH(37,$B$4:$B$503,0),"")</f>
        <v/>
      </c>
    </row>
    <row r="41">
      <c r="A41">
        <f>IF(AND(LEN('Documents'!A41)&gt;0,ISNUMBER('Documents'!F41)),'Documents'!F41+38/100000,"")</f>
        <v/>
      </c>
      <c r="B41">
        <f>IF(AND(LEN('Documents'!A41)&gt;0,ISNUMBER('Documents'!F41)),MAX($B$3:B40)+1,"")</f>
        <v/>
      </c>
      <c r="E41">
        <f>IFERROR(MATCH(38,$B$4:$B$503,0),"")</f>
        <v/>
      </c>
    </row>
    <row r="42">
      <c r="A42">
        <f>IF(AND(LEN('Documents'!A42)&gt;0,ISNUMBER('Documents'!F42)),'Documents'!F42+39/100000,"")</f>
        <v/>
      </c>
      <c r="B42">
        <f>IF(AND(LEN('Documents'!A42)&gt;0,ISNUMBER('Documents'!F42)),MAX($B$3:B41)+1,"")</f>
        <v/>
      </c>
      <c r="E42">
        <f>IFERROR(MATCH(39,$B$4:$B$503,0),"")</f>
        <v/>
      </c>
    </row>
    <row r="43">
      <c r="A43">
        <f>IF(AND(LEN('Documents'!A43)&gt;0,ISNUMBER('Documents'!F43)),'Documents'!F43+40/100000,"")</f>
        <v/>
      </c>
      <c r="B43">
        <f>IF(AND(LEN('Documents'!A43)&gt;0,ISNUMBER('Documents'!F43)),MAX($B$3:B42)+1,"")</f>
        <v/>
      </c>
      <c r="E43">
        <f>IFERROR(MATCH(40,$B$4:$B$503,0),"")</f>
        <v/>
      </c>
    </row>
    <row r="44">
      <c r="A44">
        <f>IF(AND(LEN('Documents'!A44)&gt;0,ISNUMBER('Documents'!F44)),'Documents'!F44+41/100000,"")</f>
        <v/>
      </c>
      <c r="B44">
        <f>IF(AND(LEN('Documents'!A44)&gt;0,ISNUMBER('Documents'!F44)),MAX($B$3:B43)+1,"")</f>
        <v/>
      </c>
      <c r="E44">
        <f>IFERROR(MATCH(41,$B$4:$B$503,0),"")</f>
        <v/>
      </c>
    </row>
    <row r="45">
      <c r="A45">
        <f>IF(AND(LEN('Documents'!A45)&gt;0,ISNUMBER('Documents'!F45)),'Documents'!F45+42/100000,"")</f>
        <v/>
      </c>
      <c r="B45">
        <f>IF(AND(LEN('Documents'!A45)&gt;0,ISNUMBER('Documents'!F45)),MAX($B$3:B44)+1,"")</f>
        <v/>
      </c>
      <c r="E45">
        <f>IFERROR(MATCH(42,$B$4:$B$503,0),"")</f>
        <v/>
      </c>
    </row>
    <row r="46">
      <c r="A46">
        <f>IF(AND(LEN('Documents'!A46)&gt;0,ISNUMBER('Documents'!F46)),'Documents'!F46+43/100000,"")</f>
        <v/>
      </c>
      <c r="B46">
        <f>IF(AND(LEN('Documents'!A46)&gt;0,ISNUMBER('Documents'!F46)),MAX($B$3:B45)+1,"")</f>
        <v/>
      </c>
      <c r="E46">
        <f>IFERROR(MATCH(43,$B$4:$B$503,0),"")</f>
        <v/>
      </c>
    </row>
    <row r="47">
      <c r="A47">
        <f>IF(AND(LEN('Documents'!A47)&gt;0,ISNUMBER('Documents'!F47)),'Documents'!F47+44/100000,"")</f>
        <v/>
      </c>
      <c r="B47">
        <f>IF(AND(LEN('Documents'!A47)&gt;0,ISNUMBER('Documents'!F47)),MAX($B$3:B46)+1,"")</f>
        <v/>
      </c>
      <c r="E47">
        <f>IFERROR(MATCH(44,$B$4:$B$503,0),"")</f>
        <v/>
      </c>
    </row>
    <row r="48">
      <c r="A48">
        <f>IF(AND(LEN('Documents'!A48)&gt;0,ISNUMBER('Documents'!F48)),'Documents'!F48+45/100000,"")</f>
        <v/>
      </c>
      <c r="B48">
        <f>IF(AND(LEN('Documents'!A48)&gt;0,ISNUMBER('Documents'!F48)),MAX($B$3:B47)+1,"")</f>
        <v/>
      </c>
      <c r="E48">
        <f>IFERROR(MATCH(45,$B$4:$B$503,0),"")</f>
        <v/>
      </c>
    </row>
    <row r="49">
      <c r="A49">
        <f>IF(AND(LEN('Documents'!A49)&gt;0,ISNUMBER('Documents'!F49)),'Documents'!F49+46/100000,"")</f>
        <v/>
      </c>
      <c r="B49">
        <f>IF(AND(LEN('Documents'!A49)&gt;0,ISNUMBER('Documents'!F49)),MAX($B$3:B48)+1,"")</f>
        <v/>
      </c>
      <c r="E49">
        <f>IFERROR(MATCH(46,$B$4:$B$503,0),"")</f>
        <v/>
      </c>
    </row>
    <row r="50">
      <c r="A50">
        <f>IF(AND(LEN('Documents'!A50)&gt;0,ISNUMBER('Documents'!F50)),'Documents'!F50+47/100000,"")</f>
        <v/>
      </c>
      <c r="B50">
        <f>IF(AND(LEN('Documents'!A50)&gt;0,ISNUMBER('Documents'!F50)),MAX($B$3:B49)+1,"")</f>
        <v/>
      </c>
      <c r="E50">
        <f>IFERROR(MATCH(47,$B$4:$B$503,0),"")</f>
        <v/>
      </c>
    </row>
    <row r="51">
      <c r="A51">
        <f>IF(AND(LEN('Documents'!A51)&gt;0,ISNUMBER('Documents'!F51)),'Documents'!F51+48/100000,"")</f>
        <v/>
      </c>
      <c r="B51">
        <f>IF(AND(LEN('Documents'!A51)&gt;0,ISNUMBER('Documents'!F51)),MAX($B$3:B50)+1,"")</f>
        <v/>
      </c>
      <c r="E51">
        <f>IFERROR(MATCH(48,$B$4:$B$503,0),"")</f>
        <v/>
      </c>
    </row>
    <row r="52">
      <c r="A52">
        <f>IF(AND(LEN('Documents'!A52)&gt;0,ISNUMBER('Documents'!F52)),'Documents'!F52+49/100000,"")</f>
        <v/>
      </c>
      <c r="B52">
        <f>IF(AND(LEN('Documents'!A52)&gt;0,ISNUMBER('Documents'!F52)),MAX($B$3:B51)+1,"")</f>
        <v/>
      </c>
      <c r="E52">
        <f>IFERROR(MATCH(49,$B$4:$B$503,0),"")</f>
        <v/>
      </c>
    </row>
    <row r="53">
      <c r="A53">
        <f>IF(AND(LEN('Documents'!A53)&gt;0,ISNUMBER('Documents'!F53)),'Documents'!F53+50/100000,"")</f>
        <v/>
      </c>
      <c r="B53">
        <f>IF(AND(LEN('Documents'!A53)&gt;0,ISNUMBER('Documents'!F53)),MAX($B$3:B52)+1,"")</f>
        <v/>
      </c>
      <c r="E53">
        <f>IFERROR(MATCH(50,$B$4:$B$503,0),"")</f>
        <v/>
      </c>
    </row>
    <row r="54">
      <c r="A54">
        <f>IF(AND(LEN('Documents'!A54)&gt;0,ISNUMBER('Documents'!F54)),'Documents'!F54+51/100000,"")</f>
        <v/>
      </c>
      <c r="B54">
        <f>IF(AND(LEN('Documents'!A54)&gt;0,ISNUMBER('Documents'!F54)),MAX($B$3:B53)+1,"")</f>
        <v/>
      </c>
      <c r="E54">
        <f>IFERROR(MATCH(51,$B$4:$B$503,0),"")</f>
        <v/>
      </c>
    </row>
    <row r="55">
      <c r="A55">
        <f>IF(AND(LEN('Documents'!A55)&gt;0,ISNUMBER('Documents'!F55)),'Documents'!F55+52/100000,"")</f>
        <v/>
      </c>
      <c r="B55">
        <f>IF(AND(LEN('Documents'!A55)&gt;0,ISNUMBER('Documents'!F55)),MAX($B$3:B54)+1,"")</f>
        <v/>
      </c>
      <c r="E55">
        <f>IFERROR(MATCH(52,$B$4:$B$503,0),"")</f>
        <v/>
      </c>
    </row>
    <row r="56">
      <c r="A56">
        <f>IF(AND(LEN('Documents'!A56)&gt;0,ISNUMBER('Documents'!F56)),'Documents'!F56+53/100000,"")</f>
        <v/>
      </c>
      <c r="B56">
        <f>IF(AND(LEN('Documents'!A56)&gt;0,ISNUMBER('Documents'!F56)),MAX($B$3:B55)+1,"")</f>
        <v/>
      </c>
      <c r="E56">
        <f>IFERROR(MATCH(53,$B$4:$B$503,0),"")</f>
        <v/>
      </c>
    </row>
    <row r="57">
      <c r="A57">
        <f>IF(AND(LEN('Documents'!A57)&gt;0,ISNUMBER('Documents'!F57)),'Documents'!F57+54/100000,"")</f>
        <v/>
      </c>
      <c r="B57">
        <f>IF(AND(LEN('Documents'!A57)&gt;0,ISNUMBER('Documents'!F57)),MAX($B$3:B56)+1,"")</f>
        <v/>
      </c>
      <c r="E57">
        <f>IFERROR(MATCH(54,$B$4:$B$503,0),"")</f>
        <v/>
      </c>
    </row>
    <row r="58">
      <c r="A58">
        <f>IF(AND(LEN('Documents'!A58)&gt;0,ISNUMBER('Documents'!F58)),'Documents'!F58+55/100000,"")</f>
        <v/>
      </c>
      <c r="B58">
        <f>IF(AND(LEN('Documents'!A58)&gt;0,ISNUMBER('Documents'!F58)),MAX($B$3:B57)+1,"")</f>
        <v/>
      </c>
      <c r="E58">
        <f>IFERROR(MATCH(55,$B$4:$B$503,0),"")</f>
        <v/>
      </c>
    </row>
    <row r="59">
      <c r="A59">
        <f>IF(AND(LEN('Documents'!A59)&gt;0,ISNUMBER('Documents'!F59)),'Documents'!F59+56/100000,"")</f>
        <v/>
      </c>
      <c r="B59">
        <f>IF(AND(LEN('Documents'!A59)&gt;0,ISNUMBER('Documents'!F59)),MAX($B$3:B58)+1,"")</f>
        <v/>
      </c>
      <c r="E59">
        <f>IFERROR(MATCH(56,$B$4:$B$503,0),"")</f>
        <v/>
      </c>
    </row>
    <row r="60">
      <c r="A60">
        <f>IF(AND(LEN('Documents'!A60)&gt;0,ISNUMBER('Documents'!F60)),'Documents'!F60+57/100000,"")</f>
        <v/>
      </c>
      <c r="B60">
        <f>IF(AND(LEN('Documents'!A60)&gt;0,ISNUMBER('Documents'!F60)),MAX($B$3:B59)+1,"")</f>
        <v/>
      </c>
      <c r="E60">
        <f>IFERROR(MATCH(57,$B$4:$B$503,0),"")</f>
        <v/>
      </c>
    </row>
    <row r="61">
      <c r="A61">
        <f>IF(AND(LEN('Documents'!A61)&gt;0,ISNUMBER('Documents'!F61)),'Documents'!F61+58/100000,"")</f>
        <v/>
      </c>
      <c r="B61">
        <f>IF(AND(LEN('Documents'!A61)&gt;0,ISNUMBER('Documents'!F61)),MAX($B$3:B60)+1,"")</f>
        <v/>
      </c>
      <c r="E61">
        <f>IFERROR(MATCH(58,$B$4:$B$503,0),"")</f>
        <v/>
      </c>
    </row>
    <row r="62">
      <c r="A62">
        <f>IF(AND(LEN('Documents'!A62)&gt;0,ISNUMBER('Documents'!F62)),'Documents'!F62+59/100000,"")</f>
        <v/>
      </c>
      <c r="B62">
        <f>IF(AND(LEN('Documents'!A62)&gt;0,ISNUMBER('Documents'!F62)),MAX($B$3:B61)+1,"")</f>
        <v/>
      </c>
      <c r="E62">
        <f>IFERROR(MATCH(59,$B$4:$B$503,0),"")</f>
        <v/>
      </c>
    </row>
    <row r="63">
      <c r="A63">
        <f>IF(AND(LEN('Documents'!A63)&gt;0,ISNUMBER('Documents'!F63)),'Documents'!F63+60/100000,"")</f>
        <v/>
      </c>
      <c r="B63">
        <f>IF(AND(LEN('Documents'!A63)&gt;0,ISNUMBER('Documents'!F63)),MAX($B$3:B62)+1,"")</f>
        <v/>
      </c>
      <c r="E63">
        <f>IFERROR(MATCH(60,$B$4:$B$503,0),"")</f>
        <v/>
      </c>
    </row>
    <row r="64">
      <c r="A64">
        <f>IF(AND(LEN('Documents'!A64)&gt;0,ISNUMBER('Documents'!F64)),'Documents'!F64+61/100000,"")</f>
        <v/>
      </c>
      <c r="B64">
        <f>IF(AND(LEN('Documents'!A64)&gt;0,ISNUMBER('Documents'!F64)),MAX($B$3:B63)+1,"")</f>
        <v/>
      </c>
      <c r="E64">
        <f>IFERROR(MATCH(61,$B$4:$B$503,0),"")</f>
        <v/>
      </c>
    </row>
    <row r="65">
      <c r="A65">
        <f>IF(AND(LEN('Documents'!A65)&gt;0,ISNUMBER('Documents'!F65)),'Documents'!F65+62/100000,"")</f>
        <v/>
      </c>
      <c r="B65">
        <f>IF(AND(LEN('Documents'!A65)&gt;0,ISNUMBER('Documents'!F65)),MAX($B$3:B64)+1,"")</f>
        <v/>
      </c>
      <c r="E65">
        <f>IFERROR(MATCH(62,$B$4:$B$503,0),"")</f>
        <v/>
      </c>
    </row>
    <row r="66">
      <c r="A66">
        <f>IF(AND(LEN('Documents'!A66)&gt;0,ISNUMBER('Documents'!F66)),'Documents'!F66+63/100000,"")</f>
        <v/>
      </c>
      <c r="B66">
        <f>IF(AND(LEN('Documents'!A66)&gt;0,ISNUMBER('Documents'!F66)),MAX($B$3:B65)+1,"")</f>
        <v/>
      </c>
      <c r="E66">
        <f>IFERROR(MATCH(63,$B$4:$B$503,0),"")</f>
        <v/>
      </c>
    </row>
    <row r="67">
      <c r="A67">
        <f>IF(AND(LEN('Documents'!A67)&gt;0,ISNUMBER('Documents'!F67)),'Documents'!F67+64/100000,"")</f>
        <v/>
      </c>
      <c r="B67">
        <f>IF(AND(LEN('Documents'!A67)&gt;0,ISNUMBER('Documents'!F67)),MAX($B$3:B66)+1,"")</f>
        <v/>
      </c>
      <c r="E67">
        <f>IFERROR(MATCH(64,$B$4:$B$503,0),"")</f>
        <v/>
      </c>
    </row>
    <row r="68">
      <c r="A68">
        <f>IF(AND(LEN('Documents'!A68)&gt;0,ISNUMBER('Documents'!F68)),'Documents'!F68+65/100000,"")</f>
        <v/>
      </c>
      <c r="B68">
        <f>IF(AND(LEN('Documents'!A68)&gt;0,ISNUMBER('Documents'!F68)),MAX($B$3:B67)+1,"")</f>
        <v/>
      </c>
      <c r="E68">
        <f>IFERROR(MATCH(65,$B$4:$B$503,0),"")</f>
        <v/>
      </c>
    </row>
    <row r="69">
      <c r="A69">
        <f>IF(AND(LEN('Documents'!A69)&gt;0,ISNUMBER('Documents'!F69)),'Documents'!F69+66/100000,"")</f>
        <v/>
      </c>
      <c r="B69">
        <f>IF(AND(LEN('Documents'!A69)&gt;0,ISNUMBER('Documents'!F69)),MAX($B$3:B68)+1,"")</f>
        <v/>
      </c>
      <c r="E69">
        <f>IFERROR(MATCH(66,$B$4:$B$503,0),"")</f>
        <v/>
      </c>
    </row>
    <row r="70">
      <c r="A70">
        <f>IF(AND(LEN('Documents'!A70)&gt;0,ISNUMBER('Documents'!F70)),'Documents'!F70+67/100000,"")</f>
        <v/>
      </c>
      <c r="B70">
        <f>IF(AND(LEN('Documents'!A70)&gt;0,ISNUMBER('Documents'!F70)),MAX($B$3:B69)+1,"")</f>
        <v/>
      </c>
      <c r="E70">
        <f>IFERROR(MATCH(67,$B$4:$B$503,0),"")</f>
        <v/>
      </c>
    </row>
    <row r="71">
      <c r="A71">
        <f>IF(AND(LEN('Documents'!A71)&gt;0,ISNUMBER('Documents'!F71)),'Documents'!F71+68/100000,"")</f>
        <v/>
      </c>
      <c r="B71">
        <f>IF(AND(LEN('Documents'!A71)&gt;0,ISNUMBER('Documents'!F71)),MAX($B$3:B70)+1,"")</f>
        <v/>
      </c>
      <c r="E71">
        <f>IFERROR(MATCH(68,$B$4:$B$503,0),"")</f>
        <v/>
      </c>
    </row>
    <row r="72">
      <c r="A72">
        <f>IF(AND(LEN('Documents'!A72)&gt;0,ISNUMBER('Documents'!F72)),'Documents'!F72+69/100000,"")</f>
        <v/>
      </c>
      <c r="B72">
        <f>IF(AND(LEN('Documents'!A72)&gt;0,ISNUMBER('Documents'!F72)),MAX($B$3:B71)+1,"")</f>
        <v/>
      </c>
      <c r="E72">
        <f>IFERROR(MATCH(69,$B$4:$B$503,0),"")</f>
        <v/>
      </c>
    </row>
    <row r="73">
      <c r="A73">
        <f>IF(AND(LEN('Documents'!A73)&gt;0,ISNUMBER('Documents'!F73)),'Documents'!F73+70/100000,"")</f>
        <v/>
      </c>
      <c r="B73">
        <f>IF(AND(LEN('Documents'!A73)&gt;0,ISNUMBER('Documents'!F73)),MAX($B$3:B72)+1,"")</f>
        <v/>
      </c>
      <c r="E73">
        <f>IFERROR(MATCH(70,$B$4:$B$503,0),"")</f>
        <v/>
      </c>
    </row>
    <row r="74">
      <c r="A74">
        <f>IF(AND(LEN('Documents'!A74)&gt;0,ISNUMBER('Documents'!F74)),'Documents'!F74+71/100000,"")</f>
        <v/>
      </c>
      <c r="B74">
        <f>IF(AND(LEN('Documents'!A74)&gt;0,ISNUMBER('Documents'!F74)),MAX($B$3:B73)+1,"")</f>
        <v/>
      </c>
      <c r="E74">
        <f>IFERROR(MATCH(71,$B$4:$B$503,0),"")</f>
        <v/>
      </c>
    </row>
    <row r="75">
      <c r="A75">
        <f>IF(AND(LEN('Documents'!A75)&gt;0,ISNUMBER('Documents'!F75)),'Documents'!F75+72/100000,"")</f>
        <v/>
      </c>
      <c r="B75">
        <f>IF(AND(LEN('Documents'!A75)&gt;0,ISNUMBER('Documents'!F75)),MAX($B$3:B74)+1,"")</f>
        <v/>
      </c>
      <c r="E75">
        <f>IFERROR(MATCH(72,$B$4:$B$503,0),"")</f>
        <v/>
      </c>
    </row>
    <row r="76">
      <c r="A76">
        <f>IF(AND(LEN('Documents'!A76)&gt;0,ISNUMBER('Documents'!F76)),'Documents'!F76+73/100000,"")</f>
        <v/>
      </c>
      <c r="B76">
        <f>IF(AND(LEN('Documents'!A76)&gt;0,ISNUMBER('Documents'!F76)),MAX($B$3:B75)+1,"")</f>
        <v/>
      </c>
      <c r="E76">
        <f>IFERROR(MATCH(73,$B$4:$B$503,0),"")</f>
        <v/>
      </c>
    </row>
    <row r="77">
      <c r="A77">
        <f>IF(AND(LEN('Documents'!A77)&gt;0,ISNUMBER('Documents'!F77)),'Documents'!F77+74/100000,"")</f>
        <v/>
      </c>
      <c r="B77">
        <f>IF(AND(LEN('Documents'!A77)&gt;0,ISNUMBER('Documents'!F77)),MAX($B$3:B76)+1,"")</f>
        <v/>
      </c>
      <c r="E77">
        <f>IFERROR(MATCH(74,$B$4:$B$503,0),"")</f>
        <v/>
      </c>
    </row>
    <row r="78">
      <c r="A78">
        <f>IF(AND(LEN('Documents'!A78)&gt;0,ISNUMBER('Documents'!F78)),'Documents'!F78+75/100000,"")</f>
        <v/>
      </c>
      <c r="B78">
        <f>IF(AND(LEN('Documents'!A78)&gt;0,ISNUMBER('Documents'!F78)),MAX($B$3:B77)+1,"")</f>
        <v/>
      </c>
      <c r="E78">
        <f>IFERROR(MATCH(75,$B$4:$B$503,0),"")</f>
        <v/>
      </c>
    </row>
    <row r="79">
      <c r="A79">
        <f>IF(AND(LEN('Documents'!A79)&gt;0,ISNUMBER('Documents'!F79)),'Documents'!F79+76/100000,"")</f>
        <v/>
      </c>
      <c r="B79">
        <f>IF(AND(LEN('Documents'!A79)&gt;0,ISNUMBER('Documents'!F79)),MAX($B$3:B78)+1,"")</f>
        <v/>
      </c>
      <c r="E79">
        <f>IFERROR(MATCH(76,$B$4:$B$503,0),"")</f>
        <v/>
      </c>
    </row>
    <row r="80">
      <c r="A80">
        <f>IF(AND(LEN('Documents'!A80)&gt;0,ISNUMBER('Documents'!F80)),'Documents'!F80+77/100000,"")</f>
        <v/>
      </c>
      <c r="B80">
        <f>IF(AND(LEN('Documents'!A80)&gt;0,ISNUMBER('Documents'!F80)),MAX($B$3:B79)+1,"")</f>
        <v/>
      </c>
      <c r="E80">
        <f>IFERROR(MATCH(77,$B$4:$B$503,0),"")</f>
        <v/>
      </c>
    </row>
    <row r="81">
      <c r="A81">
        <f>IF(AND(LEN('Documents'!A81)&gt;0,ISNUMBER('Documents'!F81)),'Documents'!F81+78/100000,"")</f>
        <v/>
      </c>
      <c r="B81">
        <f>IF(AND(LEN('Documents'!A81)&gt;0,ISNUMBER('Documents'!F81)),MAX($B$3:B80)+1,"")</f>
        <v/>
      </c>
      <c r="E81">
        <f>IFERROR(MATCH(78,$B$4:$B$503,0),"")</f>
        <v/>
      </c>
    </row>
    <row r="82">
      <c r="A82">
        <f>IF(AND(LEN('Documents'!A82)&gt;0,ISNUMBER('Documents'!F82)),'Documents'!F82+79/100000,"")</f>
        <v/>
      </c>
      <c r="B82">
        <f>IF(AND(LEN('Documents'!A82)&gt;0,ISNUMBER('Documents'!F82)),MAX($B$3:B81)+1,"")</f>
        <v/>
      </c>
      <c r="E82">
        <f>IFERROR(MATCH(79,$B$4:$B$503,0),"")</f>
        <v/>
      </c>
    </row>
    <row r="83">
      <c r="A83">
        <f>IF(AND(LEN('Documents'!A83)&gt;0,ISNUMBER('Documents'!F83)),'Documents'!F83+80/100000,"")</f>
        <v/>
      </c>
      <c r="B83">
        <f>IF(AND(LEN('Documents'!A83)&gt;0,ISNUMBER('Documents'!F83)),MAX($B$3:B82)+1,"")</f>
        <v/>
      </c>
      <c r="E83">
        <f>IFERROR(MATCH(80,$B$4:$B$503,0),"")</f>
        <v/>
      </c>
    </row>
    <row r="84">
      <c r="A84">
        <f>IF(AND(LEN('Documents'!A84)&gt;0,ISNUMBER('Documents'!F84)),'Documents'!F84+81/100000,"")</f>
        <v/>
      </c>
      <c r="B84">
        <f>IF(AND(LEN('Documents'!A84)&gt;0,ISNUMBER('Documents'!F84)),MAX($B$3:B83)+1,"")</f>
        <v/>
      </c>
      <c r="E84">
        <f>IFERROR(MATCH(81,$B$4:$B$503,0),"")</f>
        <v/>
      </c>
    </row>
    <row r="85">
      <c r="A85">
        <f>IF(AND(LEN('Documents'!A85)&gt;0,ISNUMBER('Documents'!F85)),'Documents'!F85+82/100000,"")</f>
        <v/>
      </c>
      <c r="B85">
        <f>IF(AND(LEN('Documents'!A85)&gt;0,ISNUMBER('Documents'!F85)),MAX($B$3:B84)+1,"")</f>
        <v/>
      </c>
      <c r="E85">
        <f>IFERROR(MATCH(82,$B$4:$B$503,0),"")</f>
        <v/>
      </c>
    </row>
    <row r="86">
      <c r="A86">
        <f>IF(AND(LEN('Documents'!A86)&gt;0,ISNUMBER('Documents'!F86)),'Documents'!F86+83/100000,"")</f>
        <v/>
      </c>
      <c r="B86">
        <f>IF(AND(LEN('Documents'!A86)&gt;0,ISNUMBER('Documents'!F86)),MAX($B$3:B85)+1,"")</f>
        <v/>
      </c>
      <c r="E86">
        <f>IFERROR(MATCH(83,$B$4:$B$503,0),"")</f>
        <v/>
      </c>
    </row>
    <row r="87">
      <c r="A87">
        <f>IF(AND(LEN('Documents'!A87)&gt;0,ISNUMBER('Documents'!F87)),'Documents'!F87+84/100000,"")</f>
        <v/>
      </c>
      <c r="B87">
        <f>IF(AND(LEN('Documents'!A87)&gt;0,ISNUMBER('Documents'!F87)),MAX($B$3:B86)+1,"")</f>
        <v/>
      </c>
      <c r="E87">
        <f>IFERROR(MATCH(84,$B$4:$B$503,0),"")</f>
        <v/>
      </c>
    </row>
    <row r="88">
      <c r="A88">
        <f>IF(AND(LEN('Documents'!A88)&gt;0,ISNUMBER('Documents'!F88)),'Documents'!F88+85/100000,"")</f>
        <v/>
      </c>
      <c r="B88">
        <f>IF(AND(LEN('Documents'!A88)&gt;0,ISNUMBER('Documents'!F88)),MAX($B$3:B87)+1,"")</f>
        <v/>
      </c>
      <c r="E88">
        <f>IFERROR(MATCH(85,$B$4:$B$503,0),"")</f>
        <v/>
      </c>
    </row>
    <row r="89">
      <c r="A89">
        <f>IF(AND(LEN('Documents'!A89)&gt;0,ISNUMBER('Documents'!F89)),'Documents'!F89+86/100000,"")</f>
        <v/>
      </c>
      <c r="B89">
        <f>IF(AND(LEN('Documents'!A89)&gt;0,ISNUMBER('Documents'!F89)),MAX($B$3:B88)+1,"")</f>
        <v/>
      </c>
      <c r="E89">
        <f>IFERROR(MATCH(86,$B$4:$B$503,0),"")</f>
        <v/>
      </c>
    </row>
    <row r="90">
      <c r="A90">
        <f>IF(AND(LEN('Documents'!A90)&gt;0,ISNUMBER('Documents'!F90)),'Documents'!F90+87/100000,"")</f>
        <v/>
      </c>
      <c r="B90">
        <f>IF(AND(LEN('Documents'!A90)&gt;0,ISNUMBER('Documents'!F90)),MAX($B$3:B89)+1,"")</f>
        <v/>
      </c>
      <c r="E90">
        <f>IFERROR(MATCH(87,$B$4:$B$503,0),"")</f>
        <v/>
      </c>
    </row>
    <row r="91">
      <c r="A91">
        <f>IF(AND(LEN('Documents'!A91)&gt;0,ISNUMBER('Documents'!F91)),'Documents'!F91+88/100000,"")</f>
        <v/>
      </c>
      <c r="B91">
        <f>IF(AND(LEN('Documents'!A91)&gt;0,ISNUMBER('Documents'!F91)),MAX($B$3:B90)+1,"")</f>
        <v/>
      </c>
      <c r="E91">
        <f>IFERROR(MATCH(88,$B$4:$B$503,0),"")</f>
        <v/>
      </c>
    </row>
    <row r="92">
      <c r="A92">
        <f>IF(AND(LEN('Documents'!A92)&gt;0,ISNUMBER('Documents'!F92)),'Documents'!F92+89/100000,"")</f>
        <v/>
      </c>
      <c r="B92">
        <f>IF(AND(LEN('Documents'!A92)&gt;0,ISNUMBER('Documents'!F92)),MAX($B$3:B91)+1,"")</f>
        <v/>
      </c>
      <c r="E92">
        <f>IFERROR(MATCH(89,$B$4:$B$503,0),"")</f>
        <v/>
      </c>
    </row>
    <row r="93">
      <c r="A93">
        <f>IF(AND(LEN('Documents'!A93)&gt;0,ISNUMBER('Documents'!F93)),'Documents'!F93+90/100000,"")</f>
        <v/>
      </c>
      <c r="B93">
        <f>IF(AND(LEN('Documents'!A93)&gt;0,ISNUMBER('Documents'!F93)),MAX($B$3:B92)+1,"")</f>
        <v/>
      </c>
      <c r="E93">
        <f>IFERROR(MATCH(90,$B$4:$B$503,0),"")</f>
        <v/>
      </c>
    </row>
    <row r="94">
      <c r="A94">
        <f>IF(AND(LEN('Documents'!A94)&gt;0,ISNUMBER('Documents'!F94)),'Documents'!F94+91/100000,"")</f>
        <v/>
      </c>
      <c r="B94">
        <f>IF(AND(LEN('Documents'!A94)&gt;0,ISNUMBER('Documents'!F94)),MAX($B$3:B93)+1,"")</f>
        <v/>
      </c>
      <c r="E94">
        <f>IFERROR(MATCH(91,$B$4:$B$503,0),"")</f>
        <v/>
      </c>
    </row>
    <row r="95">
      <c r="A95">
        <f>IF(AND(LEN('Documents'!A95)&gt;0,ISNUMBER('Documents'!F95)),'Documents'!F95+92/100000,"")</f>
        <v/>
      </c>
      <c r="B95">
        <f>IF(AND(LEN('Documents'!A95)&gt;0,ISNUMBER('Documents'!F95)),MAX($B$3:B94)+1,"")</f>
        <v/>
      </c>
      <c r="E95">
        <f>IFERROR(MATCH(92,$B$4:$B$503,0),"")</f>
        <v/>
      </c>
    </row>
    <row r="96">
      <c r="A96">
        <f>IF(AND(LEN('Documents'!A96)&gt;0,ISNUMBER('Documents'!F96)),'Documents'!F96+93/100000,"")</f>
        <v/>
      </c>
      <c r="B96">
        <f>IF(AND(LEN('Documents'!A96)&gt;0,ISNUMBER('Documents'!F96)),MAX($B$3:B95)+1,"")</f>
        <v/>
      </c>
      <c r="E96">
        <f>IFERROR(MATCH(93,$B$4:$B$503,0),"")</f>
        <v/>
      </c>
    </row>
    <row r="97">
      <c r="A97">
        <f>IF(AND(LEN('Documents'!A97)&gt;0,ISNUMBER('Documents'!F97)),'Documents'!F97+94/100000,"")</f>
        <v/>
      </c>
      <c r="B97">
        <f>IF(AND(LEN('Documents'!A97)&gt;0,ISNUMBER('Documents'!F97)),MAX($B$3:B96)+1,"")</f>
        <v/>
      </c>
      <c r="E97">
        <f>IFERROR(MATCH(94,$B$4:$B$503,0),"")</f>
        <v/>
      </c>
    </row>
    <row r="98">
      <c r="A98">
        <f>IF(AND(LEN('Documents'!A98)&gt;0,ISNUMBER('Documents'!F98)),'Documents'!F98+95/100000,"")</f>
        <v/>
      </c>
      <c r="B98">
        <f>IF(AND(LEN('Documents'!A98)&gt;0,ISNUMBER('Documents'!F98)),MAX($B$3:B97)+1,"")</f>
        <v/>
      </c>
      <c r="E98">
        <f>IFERROR(MATCH(95,$B$4:$B$503,0),"")</f>
        <v/>
      </c>
    </row>
    <row r="99">
      <c r="A99">
        <f>IF(AND(LEN('Documents'!A99)&gt;0,ISNUMBER('Documents'!F99)),'Documents'!F99+96/100000,"")</f>
        <v/>
      </c>
      <c r="B99">
        <f>IF(AND(LEN('Documents'!A99)&gt;0,ISNUMBER('Documents'!F99)),MAX($B$3:B98)+1,"")</f>
        <v/>
      </c>
      <c r="E99">
        <f>IFERROR(MATCH(96,$B$4:$B$503,0),"")</f>
        <v/>
      </c>
    </row>
    <row r="100">
      <c r="A100">
        <f>IF(AND(LEN('Documents'!A100)&gt;0,ISNUMBER('Documents'!F100)),'Documents'!F100+97/100000,"")</f>
        <v/>
      </c>
      <c r="B100">
        <f>IF(AND(LEN('Documents'!A100)&gt;0,ISNUMBER('Documents'!F100)),MAX($B$3:B99)+1,"")</f>
        <v/>
      </c>
      <c r="E100">
        <f>IFERROR(MATCH(97,$B$4:$B$503,0),"")</f>
        <v/>
      </c>
    </row>
    <row r="101">
      <c r="A101">
        <f>IF(AND(LEN('Documents'!A101)&gt;0,ISNUMBER('Documents'!F101)),'Documents'!F101+98/100000,"")</f>
        <v/>
      </c>
      <c r="B101">
        <f>IF(AND(LEN('Documents'!A101)&gt;0,ISNUMBER('Documents'!F101)),MAX($B$3:B100)+1,"")</f>
        <v/>
      </c>
      <c r="E101">
        <f>IFERROR(MATCH(98,$B$4:$B$503,0),"")</f>
        <v/>
      </c>
    </row>
    <row r="102">
      <c r="A102">
        <f>IF(AND(LEN('Documents'!A102)&gt;0,ISNUMBER('Documents'!F102)),'Documents'!F102+99/100000,"")</f>
        <v/>
      </c>
      <c r="B102">
        <f>IF(AND(LEN('Documents'!A102)&gt;0,ISNUMBER('Documents'!F102)),MAX($B$3:B101)+1,"")</f>
        <v/>
      </c>
      <c r="E102">
        <f>IFERROR(MATCH(99,$B$4:$B$503,0),"")</f>
        <v/>
      </c>
    </row>
    <row r="103">
      <c r="A103">
        <f>IF(AND(LEN('Documents'!A103)&gt;0,ISNUMBER('Documents'!F103)),'Documents'!F103+100/100000,"")</f>
        <v/>
      </c>
      <c r="B103">
        <f>IF(AND(LEN('Documents'!A103)&gt;0,ISNUMBER('Documents'!F103)),MAX($B$3:B102)+1,"")</f>
        <v/>
      </c>
      <c r="E103">
        <f>IFERROR(MATCH(100,$B$4:$B$503,0),"")</f>
        <v/>
      </c>
    </row>
    <row r="104">
      <c r="A104">
        <f>IF(AND(LEN('Documents'!A104)&gt;0,ISNUMBER('Documents'!F104)),'Documents'!F104+101/100000,"")</f>
        <v/>
      </c>
      <c r="B104">
        <f>IF(AND(LEN('Documents'!A104)&gt;0,ISNUMBER('Documents'!F104)),MAX($B$3:B103)+1,"")</f>
        <v/>
      </c>
      <c r="E104">
        <f>IFERROR(MATCH(101,$B$4:$B$503,0),"")</f>
        <v/>
      </c>
    </row>
    <row r="105">
      <c r="A105">
        <f>IF(AND(LEN('Documents'!A105)&gt;0,ISNUMBER('Documents'!F105)),'Documents'!F105+102/100000,"")</f>
        <v/>
      </c>
      <c r="B105">
        <f>IF(AND(LEN('Documents'!A105)&gt;0,ISNUMBER('Documents'!F105)),MAX($B$3:B104)+1,"")</f>
        <v/>
      </c>
      <c r="E105">
        <f>IFERROR(MATCH(102,$B$4:$B$503,0),"")</f>
        <v/>
      </c>
    </row>
    <row r="106">
      <c r="A106">
        <f>IF(AND(LEN('Documents'!A106)&gt;0,ISNUMBER('Documents'!F106)),'Documents'!F106+103/100000,"")</f>
        <v/>
      </c>
      <c r="B106">
        <f>IF(AND(LEN('Documents'!A106)&gt;0,ISNUMBER('Documents'!F106)),MAX($B$3:B105)+1,"")</f>
        <v/>
      </c>
      <c r="E106">
        <f>IFERROR(MATCH(103,$B$4:$B$503,0),"")</f>
        <v/>
      </c>
    </row>
    <row r="107">
      <c r="A107">
        <f>IF(AND(LEN('Documents'!A107)&gt;0,ISNUMBER('Documents'!F107)),'Documents'!F107+104/100000,"")</f>
        <v/>
      </c>
      <c r="B107">
        <f>IF(AND(LEN('Documents'!A107)&gt;0,ISNUMBER('Documents'!F107)),MAX($B$3:B106)+1,"")</f>
        <v/>
      </c>
      <c r="E107">
        <f>IFERROR(MATCH(104,$B$4:$B$503,0),"")</f>
        <v/>
      </c>
    </row>
    <row r="108">
      <c r="A108">
        <f>IF(AND(LEN('Documents'!A108)&gt;0,ISNUMBER('Documents'!F108)),'Documents'!F108+105/100000,"")</f>
        <v/>
      </c>
      <c r="B108">
        <f>IF(AND(LEN('Documents'!A108)&gt;0,ISNUMBER('Documents'!F108)),MAX($B$3:B107)+1,"")</f>
        <v/>
      </c>
      <c r="E108">
        <f>IFERROR(MATCH(105,$B$4:$B$503,0),"")</f>
        <v/>
      </c>
    </row>
    <row r="109">
      <c r="A109">
        <f>IF(AND(LEN('Documents'!A109)&gt;0,ISNUMBER('Documents'!F109)),'Documents'!F109+106/100000,"")</f>
        <v/>
      </c>
      <c r="B109">
        <f>IF(AND(LEN('Documents'!A109)&gt;0,ISNUMBER('Documents'!F109)),MAX($B$3:B108)+1,"")</f>
        <v/>
      </c>
      <c r="E109">
        <f>IFERROR(MATCH(106,$B$4:$B$503,0),"")</f>
        <v/>
      </c>
    </row>
    <row r="110">
      <c r="A110">
        <f>IF(AND(LEN('Documents'!A110)&gt;0,ISNUMBER('Documents'!F110)),'Documents'!F110+107/100000,"")</f>
        <v/>
      </c>
      <c r="B110">
        <f>IF(AND(LEN('Documents'!A110)&gt;0,ISNUMBER('Documents'!F110)),MAX($B$3:B109)+1,"")</f>
        <v/>
      </c>
      <c r="E110">
        <f>IFERROR(MATCH(107,$B$4:$B$503,0),"")</f>
        <v/>
      </c>
    </row>
    <row r="111">
      <c r="A111">
        <f>IF(AND(LEN('Documents'!A111)&gt;0,ISNUMBER('Documents'!F111)),'Documents'!F111+108/100000,"")</f>
        <v/>
      </c>
      <c r="B111">
        <f>IF(AND(LEN('Documents'!A111)&gt;0,ISNUMBER('Documents'!F111)),MAX($B$3:B110)+1,"")</f>
        <v/>
      </c>
      <c r="E111">
        <f>IFERROR(MATCH(108,$B$4:$B$503,0),"")</f>
        <v/>
      </c>
    </row>
    <row r="112">
      <c r="A112">
        <f>IF(AND(LEN('Documents'!A112)&gt;0,ISNUMBER('Documents'!F112)),'Documents'!F112+109/100000,"")</f>
        <v/>
      </c>
      <c r="B112">
        <f>IF(AND(LEN('Documents'!A112)&gt;0,ISNUMBER('Documents'!F112)),MAX($B$3:B111)+1,"")</f>
        <v/>
      </c>
      <c r="E112">
        <f>IFERROR(MATCH(109,$B$4:$B$503,0),"")</f>
        <v/>
      </c>
    </row>
    <row r="113">
      <c r="A113">
        <f>IF(AND(LEN('Documents'!A113)&gt;0,ISNUMBER('Documents'!F113)),'Documents'!F113+110/100000,"")</f>
        <v/>
      </c>
      <c r="B113">
        <f>IF(AND(LEN('Documents'!A113)&gt;0,ISNUMBER('Documents'!F113)),MAX($B$3:B112)+1,"")</f>
        <v/>
      </c>
      <c r="E113">
        <f>IFERROR(MATCH(110,$B$4:$B$503,0),"")</f>
        <v/>
      </c>
    </row>
    <row r="114">
      <c r="A114">
        <f>IF(AND(LEN('Documents'!A114)&gt;0,ISNUMBER('Documents'!F114)),'Documents'!F114+111/100000,"")</f>
        <v/>
      </c>
      <c r="B114">
        <f>IF(AND(LEN('Documents'!A114)&gt;0,ISNUMBER('Documents'!F114)),MAX($B$3:B113)+1,"")</f>
        <v/>
      </c>
      <c r="E114">
        <f>IFERROR(MATCH(111,$B$4:$B$503,0),"")</f>
        <v/>
      </c>
    </row>
    <row r="115">
      <c r="A115">
        <f>IF(AND(LEN('Documents'!A115)&gt;0,ISNUMBER('Documents'!F115)),'Documents'!F115+112/100000,"")</f>
        <v/>
      </c>
      <c r="B115">
        <f>IF(AND(LEN('Documents'!A115)&gt;0,ISNUMBER('Documents'!F115)),MAX($B$3:B114)+1,"")</f>
        <v/>
      </c>
      <c r="E115">
        <f>IFERROR(MATCH(112,$B$4:$B$503,0),"")</f>
        <v/>
      </c>
    </row>
    <row r="116">
      <c r="A116">
        <f>IF(AND(LEN('Documents'!A116)&gt;0,ISNUMBER('Documents'!F116)),'Documents'!F116+113/100000,"")</f>
        <v/>
      </c>
      <c r="B116">
        <f>IF(AND(LEN('Documents'!A116)&gt;0,ISNUMBER('Documents'!F116)),MAX($B$3:B115)+1,"")</f>
        <v/>
      </c>
      <c r="E116">
        <f>IFERROR(MATCH(113,$B$4:$B$503,0),"")</f>
        <v/>
      </c>
    </row>
    <row r="117">
      <c r="A117">
        <f>IF(AND(LEN('Documents'!A117)&gt;0,ISNUMBER('Documents'!F117)),'Documents'!F117+114/100000,"")</f>
        <v/>
      </c>
      <c r="B117">
        <f>IF(AND(LEN('Documents'!A117)&gt;0,ISNUMBER('Documents'!F117)),MAX($B$3:B116)+1,"")</f>
        <v/>
      </c>
      <c r="E117">
        <f>IFERROR(MATCH(114,$B$4:$B$503,0),"")</f>
        <v/>
      </c>
    </row>
    <row r="118">
      <c r="A118">
        <f>IF(AND(LEN('Documents'!A118)&gt;0,ISNUMBER('Documents'!F118)),'Documents'!F118+115/100000,"")</f>
        <v/>
      </c>
      <c r="B118">
        <f>IF(AND(LEN('Documents'!A118)&gt;0,ISNUMBER('Documents'!F118)),MAX($B$3:B117)+1,"")</f>
        <v/>
      </c>
      <c r="E118">
        <f>IFERROR(MATCH(115,$B$4:$B$503,0),"")</f>
        <v/>
      </c>
    </row>
    <row r="119">
      <c r="A119">
        <f>IF(AND(LEN('Documents'!A119)&gt;0,ISNUMBER('Documents'!F119)),'Documents'!F119+116/100000,"")</f>
        <v/>
      </c>
      <c r="B119">
        <f>IF(AND(LEN('Documents'!A119)&gt;0,ISNUMBER('Documents'!F119)),MAX($B$3:B118)+1,"")</f>
        <v/>
      </c>
      <c r="E119">
        <f>IFERROR(MATCH(116,$B$4:$B$503,0),"")</f>
        <v/>
      </c>
    </row>
    <row r="120">
      <c r="A120">
        <f>IF(AND(LEN('Documents'!A120)&gt;0,ISNUMBER('Documents'!F120)),'Documents'!F120+117/100000,"")</f>
        <v/>
      </c>
      <c r="B120">
        <f>IF(AND(LEN('Documents'!A120)&gt;0,ISNUMBER('Documents'!F120)),MAX($B$3:B119)+1,"")</f>
        <v/>
      </c>
      <c r="E120">
        <f>IFERROR(MATCH(117,$B$4:$B$503,0),"")</f>
        <v/>
      </c>
    </row>
    <row r="121">
      <c r="A121">
        <f>IF(AND(LEN('Documents'!A121)&gt;0,ISNUMBER('Documents'!F121)),'Documents'!F121+118/100000,"")</f>
        <v/>
      </c>
      <c r="B121">
        <f>IF(AND(LEN('Documents'!A121)&gt;0,ISNUMBER('Documents'!F121)),MAX($B$3:B120)+1,"")</f>
        <v/>
      </c>
      <c r="E121">
        <f>IFERROR(MATCH(118,$B$4:$B$503,0),"")</f>
        <v/>
      </c>
    </row>
    <row r="122">
      <c r="A122">
        <f>IF(AND(LEN('Documents'!A122)&gt;0,ISNUMBER('Documents'!F122)),'Documents'!F122+119/100000,"")</f>
        <v/>
      </c>
      <c r="B122">
        <f>IF(AND(LEN('Documents'!A122)&gt;0,ISNUMBER('Documents'!F122)),MAX($B$3:B121)+1,"")</f>
        <v/>
      </c>
      <c r="E122">
        <f>IFERROR(MATCH(119,$B$4:$B$503,0),"")</f>
        <v/>
      </c>
    </row>
    <row r="123">
      <c r="A123">
        <f>IF(AND(LEN('Documents'!A123)&gt;0,ISNUMBER('Documents'!F123)),'Documents'!F123+120/100000,"")</f>
        <v/>
      </c>
      <c r="B123">
        <f>IF(AND(LEN('Documents'!A123)&gt;0,ISNUMBER('Documents'!F123)),MAX($B$3:B122)+1,"")</f>
        <v/>
      </c>
      <c r="E123">
        <f>IFERROR(MATCH(120,$B$4:$B$503,0),"")</f>
        <v/>
      </c>
    </row>
    <row r="124">
      <c r="A124">
        <f>IF(AND(LEN('Documents'!A124)&gt;0,ISNUMBER('Documents'!F124)),'Documents'!F124+121/100000,"")</f>
        <v/>
      </c>
      <c r="B124">
        <f>IF(AND(LEN('Documents'!A124)&gt;0,ISNUMBER('Documents'!F124)),MAX($B$3:B123)+1,"")</f>
        <v/>
      </c>
      <c r="E124">
        <f>IFERROR(MATCH(121,$B$4:$B$503,0),"")</f>
        <v/>
      </c>
    </row>
    <row r="125">
      <c r="A125">
        <f>IF(AND(LEN('Documents'!A125)&gt;0,ISNUMBER('Documents'!F125)),'Documents'!F125+122/100000,"")</f>
        <v/>
      </c>
      <c r="B125">
        <f>IF(AND(LEN('Documents'!A125)&gt;0,ISNUMBER('Documents'!F125)),MAX($B$3:B124)+1,"")</f>
        <v/>
      </c>
      <c r="E125">
        <f>IFERROR(MATCH(122,$B$4:$B$503,0),"")</f>
        <v/>
      </c>
    </row>
    <row r="126">
      <c r="A126">
        <f>IF(AND(LEN('Documents'!A126)&gt;0,ISNUMBER('Documents'!F126)),'Documents'!F126+123/100000,"")</f>
        <v/>
      </c>
      <c r="B126">
        <f>IF(AND(LEN('Documents'!A126)&gt;0,ISNUMBER('Documents'!F126)),MAX($B$3:B125)+1,"")</f>
        <v/>
      </c>
      <c r="E126">
        <f>IFERROR(MATCH(123,$B$4:$B$503,0),"")</f>
        <v/>
      </c>
    </row>
    <row r="127">
      <c r="A127">
        <f>IF(AND(LEN('Documents'!A127)&gt;0,ISNUMBER('Documents'!F127)),'Documents'!F127+124/100000,"")</f>
        <v/>
      </c>
      <c r="B127">
        <f>IF(AND(LEN('Documents'!A127)&gt;0,ISNUMBER('Documents'!F127)),MAX($B$3:B126)+1,"")</f>
        <v/>
      </c>
      <c r="E127">
        <f>IFERROR(MATCH(124,$B$4:$B$503,0),"")</f>
        <v/>
      </c>
    </row>
    <row r="128">
      <c r="A128">
        <f>IF(AND(LEN('Documents'!A128)&gt;0,ISNUMBER('Documents'!F128)),'Documents'!F128+125/100000,"")</f>
        <v/>
      </c>
      <c r="B128">
        <f>IF(AND(LEN('Documents'!A128)&gt;0,ISNUMBER('Documents'!F128)),MAX($B$3:B127)+1,"")</f>
        <v/>
      </c>
      <c r="E128">
        <f>IFERROR(MATCH(125,$B$4:$B$503,0),"")</f>
        <v/>
      </c>
    </row>
    <row r="129">
      <c r="A129">
        <f>IF(AND(LEN('Documents'!A129)&gt;0,ISNUMBER('Documents'!F129)),'Documents'!F129+126/100000,"")</f>
        <v/>
      </c>
      <c r="B129">
        <f>IF(AND(LEN('Documents'!A129)&gt;0,ISNUMBER('Documents'!F129)),MAX($B$3:B128)+1,"")</f>
        <v/>
      </c>
      <c r="E129">
        <f>IFERROR(MATCH(126,$B$4:$B$503,0),"")</f>
        <v/>
      </c>
    </row>
    <row r="130">
      <c r="A130">
        <f>IF(AND(LEN('Documents'!A130)&gt;0,ISNUMBER('Documents'!F130)),'Documents'!F130+127/100000,"")</f>
        <v/>
      </c>
      <c r="B130">
        <f>IF(AND(LEN('Documents'!A130)&gt;0,ISNUMBER('Documents'!F130)),MAX($B$3:B129)+1,"")</f>
        <v/>
      </c>
      <c r="E130">
        <f>IFERROR(MATCH(127,$B$4:$B$503,0),"")</f>
        <v/>
      </c>
    </row>
    <row r="131">
      <c r="A131">
        <f>IF(AND(LEN('Documents'!A131)&gt;0,ISNUMBER('Documents'!F131)),'Documents'!F131+128/100000,"")</f>
        <v/>
      </c>
      <c r="B131">
        <f>IF(AND(LEN('Documents'!A131)&gt;0,ISNUMBER('Documents'!F131)),MAX($B$3:B130)+1,"")</f>
        <v/>
      </c>
      <c r="E131">
        <f>IFERROR(MATCH(128,$B$4:$B$503,0),"")</f>
        <v/>
      </c>
    </row>
    <row r="132">
      <c r="A132">
        <f>IF(AND(LEN('Documents'!A132)&gt;0,ISNUMBER('Documents'!F132)),'Documents'!F132+129/100000,"")</f>
        <v/>
      </c>
      <c r="B132">
        <f>IF(AND(LEN('Documents'!A132)&gt;0,ISNUMBER('Documents'!F132)),MAX($B$3:B131)+1,"")</f>
        <v/>
      </c>
      <c r="E132">
        <f>IFERROR(MATCH(129,$B$4:$B$503,0),"")</f>
        <v/>
      </c>
    </row>
    <row r="133">
      <c r="A133">
        <f>IF(AND(LEN('Documents'!A133)&gt;0,ISNUMBER('Documents'!F133)),'Documents'!F133+130/100000,"")</f>
        <v/>
      </c>
      <c r="B133">
        <f>IF(AND(LEN('Documents'!A133)&gt;0,ISNUMBER('Documents'!F133)),MAX($B$3:B132)+1,"")</f>
        <v/>
      </c>
      <c r="E133">
        <f>IFERROR(MATCH(130,$B$4:$B$503,0),"")</f>
        <v/>
      </c>
    </row>
    <row r="134">
      <c r="A134">
        <f>IF(AND(LEN('Documents'!A134)&gt;0,ISNUMBER('Documents'!F134)),'Documents'!F134+131/100000,"")</f>
        <v/>
      </c>
      <c r="B134">
        <f>IF(AND(LEN('Documents'!A134)&gt;0,ISNUMBER('Documents'!F134)),MAX($B$3:B133)+1,"")</f>
        <v/>
      </c>
      <c r="E134">
        <f>IFERROR(MATCH(131,$B$4:$B$503,0),"")</f>
        <v/>
      </c>
    </row>
    <row r="135">
      <c r="A135">
        <f>IF(AND(LEN('Documents'!A135)&gt;0,ISNUMBER('Documents'!F135)),'Documents'!F135+132/100000,"")</f>
        <v/>
      </c>
      <c r="B135">
        <f>IF(AND(LEN('Documents'!A135)&gt;0,ISNUMBER('Documents'!F135)),MAX($B$3:B134)+1,"")</f>
        <v/>
      </c>
      <c r="E135">
        <f>IFERROR(MATCH(132,$B$4:$B$503,0),"")</f>
        <v/>
      </c>
    </row>
    <row r="136">
      <c r="A136">
        <f>IF(AND(LEN('Documents'!A136)&gt;0,ISNUMBER('Documents'!F136)),'Documents'!F136+133/100000,"")</f>
        <v/>
      </c>
      <c r="B136">
        <f>IF(AND(LEN('Documents'!A136)&gt;0,ISNUMBER('Documents'!F136)),MAX($B$3:B135)+1,"")</f>
        <v/>
      </c>
      <c r="E136">
        <f>IFERROR(MATCH(133,$B$4:$B$503,0),"")</f>
        <v/>
      </c>
    </row>
    <row r="137">
      <c r="A137">
        <f>IF(AND(LEN('Documents'!A137)&gt;0,ISNUMBER('Documents'!F137)),'Documents'!F137+134/100000,"")</f>
        <v/>
      </c>
      <c r="B137">
        <f>IF(AND(LEN('Documents'!A137)&gt;0,ISNUMBER('Documents'!F137)),MAX($B$3:B136)+1,"")</f>
        <v/>
      </c>
      <c r="E137">
        <f>IFERROR(MATCH(134,$B$4:$B$503,0),"")</f>
        <v/>
      </c>
    </row>
    <row r="138">
      <c r="A138">
        <f>IF(AND(LEN('Documents'!A138)&gt;0,ISNUMBER('Documents'!F138)),'Documents'!F138+135/100000,"")</f>
        <v/>
      </c>
      <c r="B138">
        <f>IF(AND(LEN('Documents'!A138)&gt;0,ISNUMBER('Documents'!F138)),MAX($B$3:B137)+1,"")</f>
        <v/>
      </c>
      <c r="E138">
        <f>IFERROR(MATCH(135,$B$4:$B$503,0),"")</f>
        <v/>
      </c>
    </row>
    <row r="139">
      <c r="A139">
        <f>IF(AND(LEN('Documents'!A139)&gt;0,ISNUMBER('Documents'!F139)),'Documents'!F139+136/100000,"")</f>
        <v/>
      </c>
      <c r="B139">
        <f>IF(AND(LEN('Documents'!A139)&gt;0,ISNUMBER('Documents'!F139)),MAX($B$3:B138)+1,"")</f>
        <v/>
      </c>
      <c r="E139">
        <f>IFERROR(MATCH(136,$B$4:$B$503,0),"")</f>
        <v/>
      </c>
    </row>
    <row r="140">
      <c r="A140">
        <f>IF(AND(LEN('Documents'!A140)&gt;0,ISNUMBER('Documents'!F140)),'Documents'!F140+137/100000,"")</f>
        <v/>
      </c>
      <c r="B140">
        <f>IF(AND(LEN('Documents'!A140)&gt;0,ISNUMBER('Documents'!F140)),MAX($B$3:B139)+1,"")</f>
        <v/>
      </c>
      <c r="E140">
        <f>IFERROR(MATCH(137,$B$4:$B$503,0),"")</f>
        <v/>
      </c>
    </row>
    <row r="141">
      <c r="A141">
        <f>IF(AND(LEN('Documents'!A141)&gt;0,ISNUMBER('Documents'!F141)),'Documents'!F141+138/100000,"")</f>
        <v/>
      </c>
      <c r="B141">
        <f>IF(AND(LEN('Documents'!A141)&gt;0,ISNUMBER('Documents'!F141)),MAX($B$3:B140)+1,"")</f>
        <v/>
      </c>
      <c r="E141">
        <f>IFERROR(MATCH(138,$B$4:$B$503,0),"")</f>
        <v/>
      </c>
    </row>
    <row r="142">
      <c r="A142">
        <f>IF(AND(LEN('Documents'!A142)&gt;0,ISNUMBER('Documents'!F142)),'Documents'!F142+139/100000,"")</f>
        <v/>
      </c>
      <c r="B142">
        <f>IF(AND(LEN('Documents'!A142)&gt;0,ISNUMBER('Documents'!F142)),MAX($B$3:B141)+1,"")</f>
        <v/>
      </c>
      <c r="E142">
        <f>IFERROR(MATCH(139,$B$4:$B$503,0),"")</f>
        <v/>
      </c>
    </row>
    <row r="143">
      <c r="A143">
        <f>IF(AND(LEN('Documents'!A143)&gt;0,ISNUMBER('Documents'!F143)),'Documents'!F143+140/100000,"")</f>
        <v/>
      </c>
      <c r="B143">
        <f>IF(AND(LEN('Documents'!A143)&gt;0,ISNUMBER('Documents'!F143)),MAX($B$3:B142)+1,"")</f>
        <v/>
      </c>
      <c r="E143">
        <f>IFERROR(MATCH(140,$B$4:$B$503,0),"")</f>
        <v/>
      </c>
    </row>
    <row r="144">
      <c r="A144">
        <f>IF(AND(LEN('Documents'!A144)&gt;0,ISNUMBER('Documents'!F144)),'Documents'!F144+141/100000,"")</f>
        <v/>
      </c>
      <c r="B144">
        <f>IF(AND(LEN('Documents'!A144)&gt;0,ISNUMBER('Documents'!F144)),MAX($B$3:B143)+1,"")</f>
        <v/>
      </c>
      <c r="E144">
        <f>IFERROR(MATCH(141,$B$4:$B$503,0),"")</f>
        <v/>
      </c>
    </row>
    <row r="145">
      <c r="A145">
        <f>IF(AND(LEN('Documents'!A145)&gt;0,ISNUMBER('Documents'!F145)),'Documents'!F145+142/100000,"")</f>
        <v/>
      </c>
      <c r="B145">
        <f>IF(AND(LEN('Documents'!A145)&gt;0,ISNUMBER('Documents'!F145)),MAX($B$3:B144)+1,"")</f>
        <v/>
      </c>
      <c r="E145">
        <f>IFERROR(MATCH(142,$B$4:$B$503,0),"")</f>
        <v/>
      </c>
    </row>
    <row r="146">
      <c r="A146">
        <f>IF(AND(LEN('Documents'!A146)&gt;0,ISNUMBER('Documents'!F146)),'Documents'!F146+143/100000,"")</f>
        <v/>
      </c>
      <c r="B146">
        <f>IF(AND(LEN('Documents'!A146)&gt;0,ISNUMBER('Documents'!F146)),MAX($B$3:B145)+1,"")</f>
        <v/>
      </c>
      <c r="E146">
        <f>IFERROR(MATCH(143,$B$4:$B$503,0),"")</f>
        <v/>
      </c>
    </row>
    <row r="147">
      <c r="A147">
        <f>IF(AND(LEN('Documents'!A147)&gt;0,ISNUMBER('Documents'!F147)),'Documents'!F147+144/100000,"")</f>
        <v/>
      </c>
      <c r="B147">
        <f>IF(AND(LEN('Documents'!A147)&gt;0,ISNUMBER('Documents'!F147)),MAX($B$3:B146)+1,"")</f>
        <v/>
      </c>
      <c r="E147">
        <f>IFERROR(MATCH(144,$B$4:$B$503,0),"")</f>
        <v/>
      </c>
    </row>
    <row r="148">
      <c r="A148">
        <f>IF(AND(LEN('Documents'!A148)&gt;0,ISNUMBER('Documents'!F148)),'Documents'!F148+145/100000,"")</f>
        <v/>
      </c>
      <c r="B148">
        <f>IF(AND(LEN('Documents'!A148)&gt;0,ISNUMBER('Documents'!F148)),MAX($B$3:B147)+1,"")</f>
        <v/>
      </c>
      <c r="E148">
        <f>IFERROR(MATCH(145,$B$4:$B$503,0),"")</f>
        <v/>
      </c>
    </row>
    <row r="149">
      <c r="A149">
        <f>IF(AND(LEN('Documents'!A149)&gt;0,ISNUMBER('Documents'!F149)),'Documents'!F149+146/100000,"")</f>
        <v/>
      </c>
      <c r="B149">
        <f>IF(AND(LEN('Documents'!A149)&gt;0,ISNUMBER('Documents'!F149)),MAX($B$3:B148)+1,"")</f>
        <v/>
      </c>
      <c r="E149">
        <f>IFERROR(MATCH(146,$B$4:$B$503,0),"")</f>
        <v/>
      </c>
    </row>
    <row r="150">
      <c r="A150">
        <f>IF(AND(LEN('Documents'!A150)&gt;0,ISNUMBER('Documents'!F150)),'Documents'!F150+147/100000,"")</f>
        <v/>
      </c>
      <c r="B150">
        <f>IF(AND(LEN('Documents'!A150)&gt;0,ISNUMBER('Documents'!F150)),MAX($B$3:B149)+1,"")</f>
        <v/>
      </c>
      <c r="E150">
        <f>IFERROR(MATCH(147,$B$4:$B$503,0),"")</f>
        <v/>
      </c>
    </row>
    <row r="151">
      <c r="A151">
        <f>IF(AND(LEN('Documents'!A151)&gt;0,ISNUMBER('Documents'!F151)),'Documents'!F151+148/100000,"")</f>
        <v/>
      </c>
      <c r="B151">
        <f>IF(AND(LEN('Documents'!A151)&gt;0,ISNUMBER('Documents'!F151)),MAX($B$3:B150)+1,"")</f>
        <v/>
      </c>
      <c r="E151">
        <f>IFERROR(MATCH(148,$B$4:$B$503,0),"")</f>
        <v/>
      </c>
    </row>
    <row r="152">
      <c r="A152">
        <f>IF(AND(LEN('Documents'!A152)&gt;0,ISNUMBER('Documents'!F152)),'Documents'!F152+149/100000,"")</f>
        <v/>
      </c>
      <c r="B152">
        <f>IF(AND(LEN('Documents'!A152)&gt;0,ISNUMBER('Documents'!F152)),MAX($B$3:B151)+1,"")</f>
        <v/>
      </c>
      <c r="E152">
        <f>IFERROR(MATCH(149,$B$4:$B$503,0),"")</f>
        <v/>
      </c>
    </row>
    <row r="153">
      <c r="A153">
        <f>IF(AND(LEN('Documents'!A153)&gt;0,ISNUMBER('Documents'!F153)),'Documents'!F153+150/100000,"")</f>
        <v/>
      </c>
      <c r="B153">
        <f>IF(AND(LEN('Documents'!A153)&gt;0,ISNUMBER('Documents'!F153)),MAX($B$3:B152)+1,"")</f>
        <v/>
      </c>
      <c r="E153">
        <f>IFERROR(MATCH(150,$B$4:$B$503,0),"")</f>
        <v/>
      </c>
    </row>
    <row r="154">
      <c r="A154">
        <f>IF(AND(LEN('Documents'!A154)&gt;0,ISNUMBER('Documents'!F154)),'Documents'!F154+151/100000,"")</f>
        <v/>
      </c>
      <c r="B154">
        <f>IF(AND(LEN('Documents'!A154)&gt;0,ISNUMBER('Documents'!F154)),MAX($B$3:B153)+1,"")</f>
        <v/>
      </c>
      <c r="E154">
        <f>IFERROR(MATCH(151,$B$4:$B$503,0),"")</f>
        <v/>
      </c>
    </row>
    <row r="155">
      <c r="A155">
        <f>IF(AND(LEN('Documents'!A155)&gt;0,ISNUMBER('Documents'!F155)),'Documents'!F155+152/100000,"")</f>
        <v/>
      </c>
      <c r="B155">
        <f>IF(AND(LEN('Documents'!A155)&gt;0,ISNUMBER('Documents'!F155)),MAX($B$3:B154)+1,"")</f>
        <v/>
      </c>
      <c r="E155">
        <f>IFERROR(MATCH(152,$B$4:$B$503,0),"")</f>
        <v/>
      </c>
    </row>
    <row r="156">
      <c r="A156">
        <f>IF(AND(LEN('Documents'!A156)&gt;0,ISNUMBER('Documents'!F156)),'Documents'!F156+153/100000,"")</f>
        <v/>
      </c>
      <c r="B156">
        <f>IF(AND(LEN('Documents'!A156)&gt;0,ISNUMBER('Documents'!F156)),MAX($B$3:B155)+1,"")</f>
        <v/>
      </c>
      <c r="E156">
        <f>IFERROR(MATCH(153,$B$4:$B$503,0),"")</f>
        <v/>
      </c>
    </row>
    <row r="157">
      <c r="A157">
        <f>IF(AND(LEN('Documents'!A157)&gt;0,ISNUMBER('Documents'!F157)),'Documents'!F157+154/100000,"")</f>
        <v/>
      </c>
      <c r="B157">
        <f>IF(AND(LEN('Documents'!A157)&gt;0,ISNUMBER('Documents'!F157)),MAX($B$3:B156)+1,"")</f>
        <v/>
      </c>
      <c r="E157">
        <f>IFERROR(MATCH(154,$B$4:$B$503,0),"")</f>
        <v/>
      </c>
    </row>
    <row r="158">
      <c r="A158">
        <f>IF(AND(LEN('Documents'!A158)&gt;0,ISNUMBER('Documents'!F158)),'Documents'!F158+155/100000,"")</f>
        <v/>
      </c>
      <c r="B158">
        <f>IF(AND(LEN('Documents'!A158)&gt;0,ISNUMBER('Documents'!F158)),MAX($B$3:B157)+1,"")</f>
        <v/>
      </c>
      <c r="E158">
        <f>IFERROR(MATCH(155,$B$4:$B$503,0),"")</f>
        <v/>
      </c>
    </row>
    <row r="159">
      <c r="A159">
        <f>IF(AND(LEN('Documents'!A159)&gt;0,ISNUMBER('Documents'!F159)),'Documents'!F159+156/100000,"")</f>
        <v/>
      </c>
      <c r="B159">
        <f>IF(AND(LEN('Documents'!A159)&gt;0,ISNUMBER('Documents'!F159)),MAX($B$3:B158)+1,"")</f>
        <v/>
      </c>
      <c r="E159">
        <f>IFERROR(MATCH(156,$B$4:$B$503,0),"")</f>
        <v/>
      </c>
    </row>
    <row r="160">
      <c r="A160">
        <f>IF(AND(LEN('Documents'!A160)&gt;0,ISNUMBER('Documents'!F160)),'Documents'!F160+157/100000,"")</f>
        <v/>
      </c>
      <c r="B160">
        <f>IF(AND(LEN('Documents'!A160)&gt;0,ISNUMBER('Documents'!F160)),MAX($B$3:B159)+1,"")</f>
        <v/>
      </c>
      <c r="E160">
        <f>IFERROR(MATCH(157,$B$4:$B$503,0),"")</f>
        <v/>
      </c>
    </row>
    <row r="161">
      <c r="A161">
        <f>IF(AND(LEN('Documents'!A161)&gt;0,ISNUMBER('Documents'!F161)),'Documents'!F161+158/100000,"")</f>
        <v/>
      </c>
      <c r="B161">
        <f>IF(AND(LEN('Documents'!A161)&gt;0,ISNUMBER('Documents'!F161)),MAX($B$3:B160)+1,"")</f>
        <v/>
      </c>
      <c r="E161">
        <f>IFERROR(MATCH(158,$B$4:$B$503,0),"")</f>
        <v/>
      </c>
    </row>
    <row r="162">
      <c r="A162">
        <f>IF(AND(LEN('Documents'!A162)&gt;0,ISNUMBER('Documents'!F162)),'Documents'!F162+159/100000,"")</f>
        <v/>
      </c>
      <c r="B162">
        <f>IF(AND(LEN('Documents'!A162)&gt;0,ISNUMBER('Documents'!F162)),MAX($B$3:B161)+1,"")</f>
        <v/>
      </c>
      <c r="E162">
        <f>IFERROR(MATCH(159,$B$4:$B$503,0),"")</f>
        <v/>
      </c>
    </row>
    <row r="163">
      <c r="A163">
        <f>IF(AND(LEN('Documents'!A163)&gt;0,ISNUMBER('Documents'!F163)),'Documents'!F163+160/100000,"")</f>
        <v/>
      </c>
      <c r="B163">
        <f>IF(AND(LEN('Documents'!A163)&gt;0,ISNUMBER('Documents'!F163)),MAX($B$3:B162)+1,"")</f>
        <v/>
      </c>
      <c r="E163">
        <f>IFERROR(MATCH(160,$B$4:$B$503,0),"")</f>
        <v/>
      </c>
    </row>
    <row r="164">
      <c r="A164">
        <f>IF(AND(LEN('Documents'!A164)&gt;0,ISNUMBER('Documents'!F164)),'Documents'!F164+161/100000,"")</f>
        <v/>
      </c>
      <c r="B164">
        <f>IF(AND(LEN('Documents'!A164)&gt;0,ISNUMBER('Documents'!F164)),MAX($B$3:B163)+1,"")</f>
        <v/>
      </c>
      <c r="E164">
        <f>IFERROR(MATCH(161,$B$4:$B$503,0),"")</f>
        <v/>
      </c>
    </row>
    <row r="165">
      <c r="A165">
        <f>IF(AND(LEN('Documents'!A165)&gt;0,ISNUMBER('Documents'!F165)),'Documents'!F165+162/100000,"")</f>
        <v/>
      </c>
      <c r="B165">
        <f>IF(AND(LEN('Documents'!A165)&gt;0,ISNUMBER('Documents'!F165)),MAX($B$3:B164)+1,"")</f>
        <v/>
      </c>
      <c r="E165">
        <f>IFERROR(MATCH(162,$B$4:$B$503,0),"")</f>
        <v/>
      </c>
    </row>
    <row r="166">
      <c r="A166">
        <f>IF(AND(LEN('Documents'!A166)&gt;0,ISNUMBER('Documents'!F166)),'Documents'!F166+163/100000,"")</f>
        <v/>
      </c>
      <c r="B166">
        <f>IF(AND(LEN('Documents'!A166)&gt;0,ISNUMBER('Documents'!F166)),MAX($B$3:B165)+1,"")</f>
        <v/>
      </c>
      <c r="E166">
        <f>IFERROR(MATCH(163,$B$4:$B$503,0),"")</f>
        <v/>
      </c>
    </row>
    <row r="167">
      <c r="A167">
        <f>IF(AND(LEN('Documents'!A167)&gt;0,ISNUMBER('Documents'!F167)),'Documents'!F167+164/100000,"")</f>
        <v/>
      </c>
      <c r="B167">
        <f>IF(AND(LEN('Documents'!A167)&gt;0,ISNUMBER('Documents'!F167)),MAX($B$3:B166)+1,"")</f>
        <v/>
      </c>
      <c r="E167">
        <f>IFERROR(MATCH(164,$B$4:$B$503,0),"")</f>
        <v/>
      </c>
    </row>
    <row r="168">
      <c r="A168">
        <f>IF(AND(LEN('Documents'!A168)&gt;0,ISNUMBER('Documents'!F168)),'Documents'!F168+165/100000,"")</f>
        <v/>
      </c>
      <c r="B168">
        <f>IF(AND(LEN('Documents'!A168)&gt;0,ISNUMBER('Documents'!F168)),MAX($B$3:B167)+1,"")</f>
        <v/>
      </c>
      <c r="E168">
        <f>IFERROR(MATCH(165,$B$4:$B$503,0),"")</f>
        <v/>
      </c>
    </row>
    <row r="169">
      <c r="A169">
        <f>IF(AND(LEN('Documents'!A169)&gt;0,ISNUMBER('Documents'!F169)),'Documents'!F169+166/100000,"")</f>
        <v/>
      </c>
      <c r="B169">
        <f>IF(AND(LEN('Documents'!A169)&gt;0,ISNUMBER('Documents'!F169)),MAX($B$3:B168)+1,"")</f>
        <v/>
      </c>
      <c r="E169">
        <f>IFERROR(MATCH(166,$B$4:$B$503,0),"")</f>
        <v/>
      </c>
    </row>
    <row r="170">
      <c r="A170">
        <f>IF(AND(LEN('Documents'!A170)&gt;0,ISNUMBER('Documents'!F170)),'Documents'!F170+167/100000,"")</f>
        <v/>
      </c>
      <c r="B170">
        <f>IF(AND(LEN('Documents'!A170)&gt;0,ISNUMBER('Documents'!F170)),MAX($B$3:B169)+1,"")</f>
        <v/>
      </c>
      <c r="E170">
        <f>IFERROR(MATCH(167,$B$4:$B$503,0),"")</f>
        <v/>
      </c>
    </row>
    <row r="171">
      <c r="A171">
        <f>IF(AND(LEN('Documents'!A171)&gt;0,ISNUMBER('Documents'!F171)),'Documents'!F171+168/100000,"")</f>
        <v/>
      </c>
      <c r="B171">
        <f>IF(AND(LEN('Documents'!A171)&gt;0,ISNUMBER('Documents'!F171)),MAX($B$3:B170)+1,"")</f>
        <v/>
      </c>
      <c r="E171">
        <f>IFERROR(MATCH(168,$B$4:$B$503,0),"")</f>
        <v/>
      </c>
    </row>
    <row r="172">
      <c r="A172">
        <f>IF(AND(LEN('Documents'!A172)&gt;0,ISNUMBER('Documents'!F172)),'Documents'!F172+169/100000,"")</f>
        <v/>
      </c>
      <c r="B172">
        <f>IF(AND(LEN('Documents'!A172)&gt;0,ISNUMBER('Documents'!F172)),MAX($B$3:B171)+1,"")</f>
        <v/>
      </c>
      <c r="E172">
        <f>IFERROR(MATCH(169,$B$4:$B$503,0),"")</f>
        <v/>
      </c>
    </row>
    <row r="173">
      <c r="A173">
        <f>IF(AND(LEN('Documents'!A173)&gt;0,ISNUMBER('Documents'!F173)),'Documents'!F173+170/100000,"")</f>
        <v/>
      </c>
      <c r="B173">
        <f>IF(AND(LEN('Documents'!A173)&gt;0,ISNUMBER('Documents'!F173)),MAX($B$3:B172)+1,"")</f>
        <v/>
      </c>
      <c r="E173">
        <f>IFERROR(MATCH(170,$B$4:$B$503,0),"")</f>
        <v/>
      </c>
    </row>
    <row r="174">
      <c r="A174">
        <f>IF(AND(LEN('Documents'!A174)&gt;0,ISNUMBER('Documents'!F174)),'Documents'!F174+171/100000,"")</f>
        <v/>
      </c>
      <c r="B174">
        <f>IF(AND(LEN('Documents'!A174)&gt;0,ISNUMBER('Documents'!F174)),MAX($B$3:B173)+1,"")</f>
        <v/>
      </c>
      <c r="E174">
        <f>IFERROR(MATCH(171,$B$4:$B$503,0),"")</f>
        <v/>
      </c>
    </row>
    <row r="175">
      <c r="A175">
        <f>IF(AND(LEN('Documents'!A175)&gt;0,ISNUMBER('Documents'!F175)),'Documents'!F175+172/100000,"")</f>
        <v/>
      </c>
      <c r="B175">
        <f>IF(AND(LEN('Documents'!A175)&gt;0,ISNUMBER('Documents'!F175)),MAX($B$3:B174)+1,"")</f>
        <v/>
      </c>
      <c r="E175">
        <f>IFERROR(MATCH(172,$B$4:$B$503,0),"")</f>
        <v/>
      </c>
    </row>
    <row r="176">
      <c r="A176">
        <f>IF(AND(LEN('Documents'!A176)&gt;0,ISNUMBER('Documents'!F176)),'Documents'!F176+173/100000,"")</f>
        <v/>
      </c>
      <c r="B176">
        <f>IF(AND(LEN('Documents'!A176)&gt;0,ISNUMBER('Documents'!F176)),MAX($B$3:B175)+1,"")</f>
        <v/>
      </c>
      <c r="E176">
        <f>IFERROR(MATCH(173,$B$4:$B$503,0),"")</f>
        <v/>
      </c>
    </row>
    <row r="177">
      <c r="A177">
        <f>IF(AND(LEN('Documents'!A177)&gt;0,ISNUMBER('Documents'!F177)),'Documents'!F177+174/100000,"")</f>
        <v/>
      </c>
      <c r="B177">
        <f>IF(AND(LEN('Documents'!A177)&gt;0,ISNUMBER('Documents'!F177)),MAX($B$3:B176)+1,"")</f>
        <v/>
      </c>
      <c r="E177">
        <f>IFERROR(MATCH(174,$B$4:$B$503,0),"")</f>
        <v/>
      </c>
    </row>
    <row r="178">
      <c r="A178">
        <f>IF(AND(LEN('Documents'!A178)&gt;0,ISNUMBER('Documents'!F178)),'Documents'!F178+175/100000,"")</f>
        <v/>
      </c>
      <c r="B178">
        <f>IF(AND(LEN('Documents'!A178)&gt;0,ISNUMBER('Documents'!F178)),MAX($B$3:B177)+1,"")</f>
        <v/>
      </c>
      <c r="E178">
        <f>IFERROR(MATCH(175,$B$4:$B$503,0),"")</f>
        <v/>
      </c>
    </row>
    <row r="179">
      <c r="A179">
        <f>IF(AND(LEN('Documents'!A179)&gt;0,ISNUMBER('Documents'!F179)),'Documents'!F179+176/100000,"")</f>
        <v/>
      </c>
      <c r="B179">
        <f>IF(AND(LEN('Documents'!A179)&gt;0,ISNUMBER('Documents'!F179)),MAX($B$3:B178)+1,"")</f>
        <v/>
      </c>
      <c r="E179">
        <f>IFERROR(MATCH(176,$B$4:$B$503,0),"")</f>
        <v/>
      </c>
    </row>
    <row r="180">
      <c r="A180">
        <f>IF(AND(LEN('Documents'!A180)&gt;0,ISNUMBER('Documents'!F180)),'Documents'!F180+177/100000,"")</f>
        <v/>
      </c>
      <c r="B180">
        <f>IF(AND(LEN('Documents'!A180)&gt;0,ISNUMBER('Documents'!F180)),MAX($B$3:B179)+1,"")</f>
        <v/>
      </c>
      <c r="E180">
        <f>IFERROR(MATCH(177,$B$4:$B$503,0),"")</f>
        <v/>
      </c>
    </row>
    <row r="181">
      <c r="A181">
        <f>IF(AND(LEN('Documents'!A181)&gt;0,ISNUMBER('Documents'!F181)),'Documents'!F181+178/100000,"")</f>
        <v/>
      </c>
      <c r="B181">
        <f>IF(AND(LEN('Documents'!A181)&gt;0,ISNUMBER('Documents'!F181)),MAX($B$3:B180)+1,"")</f>
        <v/>
      </c>
      <c r="E181">
        <f>IFERROR(MATCH(178,$B$4:$B$503,0),"")</f>
        <v/>
      </c>
    </row>
    <row r="182">
      <c r="A182">
        <f>IF(AND(LEN('Documents'!A182)&gt;0,ISNUMBER('Documents'!F182)),'Documents'!F182+179/100000,"")</f>
        <v/>
      </c>
      <c r="B182">
        <f>IF(AND(LEN('Documents'!A182)&gt;0,ISNUMBER('Documents'!F182)),MAX($B$3:B181)+1,"")</f>
        <v/>
      </c>
      <c r="E182">
        <f>IFERROR(MATCH(179,$B$4:$B$503,0),"")</f>
        <v/>
      </c>
    </row>
    <row r="183">
      <c r="A183">
        <f>IF(AND(LEN('Documents'!A183)&gt;0,ISNUMBER('Documents'!F183)),'Documents'!F183+180/100000,"")</f>
        <v/>
      </c>
      <c r="B183">
        <f>IF(AND(LEN('Documents'!A183)&gt;0,ISNUMBER('Documents'!F183)),MAX($B$3:B182)+1,"")</f>
        <v/>
      </c>
      <c r="E183">
        <f>IFERROR(MATCH(180,$B$4:$B$503,0),"")</f>
        <v/>
      </c>
    </row>
    <row r="184">
      <c r="A184">
        <f>IF(AND(LEN('Documents'!A184)&gt;0,ISNUMBER('Documents'!F184)),'Documents'!F184+181/100000,"")</f>
        <v/>
      </c>
      <c r="B184">
        <f>IF(AND(LEN('Documents'!A184)&gt;0,ISNUMBER('Documents'!F184)),MAX($B$3:B183)+1,"")</f>
        <v/>
      </c>
      <c r="E184">
        <f>IFERROR(MATCH(181,$B$4:$B$503,0),"")</f>
        <v/>
      </c>
    </row>
    <row r="185">
      <c r="A185">
        <f>IF(AND(LEN('Documents'!A185)&gt;0,ISNUMBER('Documents'!F185)),'Documents'!F185+182/100000,"")</f>
        <v/>
      </c>
      <c r="B185">
        <f>IF(AND(LEN('Documents'!A185)&gt;0,ISNUMBER('Documents'!F185)),MAX($B$3:B184)+1,"")</f>
        <v/>
      </c>
      <c r="E185">
        <f>IFERROR(MATCH(182,$B$4:$B$503,0),"")</f>
        <v/>
      </c>
    </row>
    <row r="186">
      <c r="A186">
        <f>IF(AND(LEN('Documents'!A186)&gt;0,ISNUMBER('Documents'!F186)),'Documents'!F186+183/100000,"")</f>
        <v/>
      </c>
      <c r="B186">
        <f>IF(AND(LEN('Documents'!A186)&gt;0,ISNUMBER('Documents'!F186)),MAX($B$3:B185)+1,"")</f>
        <v/>
      </c>
      <c r="E186">
        <f>IFERROR(MATCH(183,$B$4:$B$503,0),"")</f>
        <v/>
      </c>
    </row>
    <row r="187">
      <c r="A187">
        <f>IF(AND(LEN('Documents'!A187)&gt;0,ISNUMBER('Documents'!F187)),'Documents'!F187+184/100000,"")</f>
        <v/>
      </c>
      <c r="B187">
        <f>IF(AND(LEN('Documents'!A187)&gt;0,ISNUMBER('Documents'!F187)),MAX($B$3:B186)+1,"")</f>
        <v/>
      </c>
      <c r="E187">
        <f>IFERROR(MATCH(184,$B$4:$B$503,0),"")</f>
        <v/>
      </c>
    </row>
    <row r="188">
      <c r="A188">
        <f>IF(AND(LEN('Documents'!A188)&gt;0,ISNUMBER('Documents'!F188)),'Documents'!F188+185/100000,"")</f>
        <v/>
      </c>
      <c r="B188">
        <f>IF(AND(LEN('Documents'!A188)&gt;0,ISNUMBER('Documents'!F188)),MAX($B$3:B187)+1,"")</f>
        <v/>
      </c>
      <c r="E188">
        <f>IFERROR(MATCH(185,$B$4:$B$503,0),"")</f>
        <v/>
      </c>
    </row>
    <row r="189">
      <c r="A189">
        <f>IF(AND(LEN('Documents'!A189)&gt;0,ISNUMBER('Documents'!F189)),'Documents'!F189+186/100000,"")</f>
        <v/>
      </c>
      <c r="B189">
        <f>IF(AND(LEN('Documents'!A189)&gt;0,ISNUMBER('Documents'!F189)),MAX($B$3:B188)+1,"")</f>
        <v/>
      </c>
      <c r="E189">
        <f>IFERROR(MATCH(186,$B$4:$B$503,0),"")</f>
        <v/>
      </c>
    </row>
    <row r="190">
      <c r="A190">
        <f>IF(AND(LEN('Documents'!A190)&gt;0,ISNUMBER('Documents'!F190)),'Documents'!F190+187/100000,"")</f>
        <v/>
      </c>
      <c r="B190">
        <f>IF(AND(LEN('Documents'!A190)&gt;0,ISNUMBER('Documents'!F190)),MAX($B$3:B189)+1,"")</f>
        <v/>
      </c>
      <c r="E190">
        <f>IFERROR(MATCH(187,$B$4:$B$503,0),"")</f>
        <v/>
      </c>
    </row>
    <row r="191">
      <c r="A191">
        <f>IF(AND(LEN('Documents'!A191)&gt;0,ISNUMBER('Documents'!F191)),'Documents'!F191+188/100000,"")</f>
        <v/>
      </c>
      <c r="B191">
        <f>IF(AND(LEN('Documents'!A191)&gt;0,ISNUMBER('Documents'!F191)),MAX($B$3:B190)+1,"")</f>
        <v/>
      </c>
      <c r="E191">
        <f>IFERROR(MATCH(188,$B$4:$B$503,0),"")</f>
        <v/>
      </c>
    </row>
    <row r="192">
      <c r="A192">
        <f>IF(AND(LEN('Documents'!A192)&gt;0,ISNUMBER('Documents'!F192)),'Documents'!F192+189/100000,"")</f>
        <v/>
      </c>
      <c r="B192">
        <f>IF(AND(LEN('Documents'!A192)&gt;0,ISNUMBER('Documents'!F192)),MAX($B$3:B191)+1,"")</f>
        <v/>
      </c>
      <c r="E192">
        <f>IFERROR(MATCH(189,$B$4:$B$503,0),"")</f>
        <v/>
      </c>
    </row>
    <row r="193">
      <c r="A193">
        <f>IF(AND(LEN('Documents'!A193)&gt;0,ISNUMBER('Documents'!F193)),'Documents'!F193+190/100000,"")</f>
        <v/>
      </c>
      <c r="B193">
        <f>IF(AND(LEN('Documents'!A193)&gt;0,ISNUMBER('Documents'!F193)),MAX($B$3:B192)+1,"")</f>
        <v/>
      </c>
      <c r="E193">
        <f>IFERROR(MATCH(190,$B$4:$B$503,0),"")</f>
        <v/>
      </c>
    </row>
    <row r="194">
      <c r="A194">
        <f>IF(AND(LEN('Documents'!A194)&gt;0,ISNUMBER('Documents'!F194)),'Documents'!F194+191/100000,"")</f>
        <v/>
      </c>
      <c r="B194">
        <f>IF(AND(LEN('Documents'!A194)&gt;0,ISNUMBER('Documents'!F194)),MAX($B$3:B193)+1,"")</f>
        <v/>
      </c>
      <c r="E194">
        <f>IFERROR(MATCH(191,$B$4:$B$503,0),"")</f>
        <v/>
      </c>
    </row>
    <row r="195">
      <c r="A195">
        <f>IF(AND(LEN('Documents'!A195)&gt;0,ISNUMBER('Documents'!F195)),'Documents'!F195+192/100000,"")</f>
        <v/>
      </c>
      <c r="B195">
        <f>IF(AND(LEN('Documents'!A195)&gt;0,ISNUMBER('Documents'!F195)),MAX($B$3:B194)+1,"")</f>
        <v/>
      </c>
      <c r="E195">
        <f>IFERROR(MATCH(192,$B$4:$B$503,0),"")</f>
        <v/>
      </c>
    </row>
    <row r="196">
      <c r="A196">
        <f>IF(AND(LEN('Documents'!A196)&gt;0,ISNUMBER('Documents'!F196)),'Documents'!F196+193/100000,"")</f>
        <v/>
      </c>
      <c r="B196">
        <f>IF(AND(LEN('Documents'!A196)&gt;0,ISNUMBER('Documents'!F196)),MAX($B$3:B195)+1,"")</f>
        <v/>
      </c>
      <c r="E196">
        <f>IFERROR(MATCH(193,$B$4:$B$503,0),"")</f>
        <v/>
      </c>
    </row>
    <row r="197">
      <c r="A197">
        <f>IF(AND(LEN('Documents'!A197)&gt;0,ISNUMBER('Documents'!F197)),'Documents'!F197+194/100000,"")</f>
        <v/>
      </c>
      <c r="B197">
        <f>IF(AND(LEN('Documents'!A197)&gt;0,ISNUMBER('Documents'!F197)),MAX($B$3:B196)+1,"")</f>
        <v/>
      </c>
      <c r="E197">
        <f>IFERROR(MATCH(194,$B$4:$B$503,0),"")</f>
        <v/>
      </c>
    </row>
    <row r="198">
      <c r="A198">
        <f>IF(AND(LEN('Documents'!A198)&gt;0,ISNUMBER('Documents'!F198)),'Documents'!F198+195/100000,"")</f>
        <v/>
      </c>
      <c r="B198">
        <f>IF(AND(LEN('Documents'!A198)&gt;0,ISNUMBER('Documents'!F198)),MAX($B$3:B197)+1,"")</f>
        <v/>
      </c>
      <c r="E198">
        <f>IFERROR(MATCH(195,$B$4:$B$503,0),"")</f>
        <v/>
      </c>
    </row>
    <row r="199">
      <c r="A199">
        <f>IF(AND(LEN('Documents'!A199)&gt;0,ISNUMBER('Documents'!F199)),'Documents'!F199+196/100000,"")</f>
        <v/>
      </c>
      <c r="B199">
        <f>IF(AND(LEN('Documents'!A199)&gt;0,ISNUMBER('Documents'!F199)),MAX($B$3:B198)+1,"")</f>
        <v/>
      </c>
      <c r="E199">
        <f>IFERROR(MATCH(196,$B$4:$B$503,0),"")</f>
        <v/>
      </c>
    </row>
    <row r="200">
      <c r="A200">
        <f>IF(AND(LEN('Documents'!A200)&gt;0,ISNUMBER('Documents'!F200)),'Documents'!F200+197/100000,"")</f>
        <v/>
      </c>
      <c r="B200">
        <f>IF(AND(LEN('Documents'!A200)&gt;0,ISNUMBER('Documents'!F200)),MAX($B$3:B199)+1,"")</f>
        <v/>
      </c>
      <c r="E200">
        <f>IFERROR(MATCH(197,$B$4:$B$503,0),"")</f>
        <v/>
      </c>
    </row>
    <row r="201">
      <c r="A201">
        <f>IF(AND(LEN('Documents'!A201)&gt;0,ISNUMBER('Documents'!F201)),'Documents'!F201+198/100000,"")</f>
        <v/>
      </c>
      <c r="B201">
        <f>IF(AND(LEN('Documents'!A201)&gt;0,ISNUMBER('Documents'!F201)),MAX($B$3:B200)+1,"")</f>
        <v/>
      </c>
      <c r="E201">
        <f>IFERROR(MATCH(198,$B$4:$B$503,0),"")</f>
        <v/>
      </c>
    </row>
    <row r="202">
      <c r="A202">
        <f>IF(AND(LEN('Documents'!A202)&gt;0,ISNUMBER('Documents'!F202)),'Documents'!F202+199/100000,"")</f>
        <v/>
      </c>
      <c r="B202">
        <f>IF(AND(LEN('Documents'!A202)&gt;0,ISNUMBER('Documents'!F202)),MAX($B$3:B201)+1,"")</f>
        <v/>
      </c>
      <c r="E202">
        <f>IFERROR(MATCH(199,$B$4:$B$503,0),"")</f>
        <v/>
      </c>
    </row>
    <row r="203">
      <c r="A203">
        <f>IF(AND(LEN('Documents'!A203)&gt;0,ISNUMBER('Documents'!F203)),'Documents'!F203+200/100000,"")</f>
        <v/>
      </c>
      <c r="B203">
        <f>IF(AND(LEN('Documents'!A203)&gt;0,ISNUMBER('Documents'!F203)),MAX($B$3:B202)+1,"")</f>
        <v/>
      </c>
      <c r="E203">
        <f>IFERROR(MATCH(200,$B$4:$B$503,0),"")</f>
        <v/>
      </c>
    </row>
    <row r="204">
      <c r="A204">
        <f>IF(AND(LEN('Documents'!A204)&gt;0,ISNUMBER('Documents'!F204)),'Documents'!F204+201/100000,"")</f>
        <v/>
      </c>
      <c r="B204">
        <f>IF(AND(LEN('Documents'!A204)&gt;0,ISNUMBER('Documents'!F204)),MAX($B$3:B203)+1,"")</f>
        <v/>
      </c>
      <c r="E204">
        <f>IFERROR(MATCH(201,$B$4:$B$503,0),"")</f>
        <v/>
      </c>
    </row>
    <row r="205">
      <c r="A205">
        <f>IF(AND(LEN('Documents'!A205)&gt;0,ISNUMBER('Documents'!F205)),'Documents'!F205+202/100000,"")</f>
        <v/>
      </c>
      <c r="B205">
        <f>IF(AND(LEN('Documents'!A205)&gt;0,ISNUMBER('Documents'!F205)),MAX($B$3:B204)+1,"")</f>
        <v/>
      </c>
      <c r="E205">
        <f>IFERROR(MATCH(202,$B$4:$B$503,0),"")</f>
        <v/>
      </c>
    </row>
    <row r="206">
      <c r="A206">
        <f>IF(AND(LEN('Documents'!A206)&gt;0,ISNUMBER('Documents'!F206)),'Documents'!F206+203/100000,"")</f>
        <v/>
      </c>
      <c r="B206">
        <f>IF(AND(LEN('Documents'!A206)&gt;0,ISNUMBER('Documents'!F206)),MAX($B$3:B205)+1,"")</f>
        <v/>
      </c>
      <c r="E206">
        <f>IFERROR(MATCH(203,$B$4:$B$503,0),"")</f>
        <v/>
      </c>
    </row>
    <row r="207">
      <c r="A207">
        <f>IF(AND(LEN('Documents'!A207)&gt;0,ISNUMBER('Documents'!F207)),'Documents'!F207+204/100000,"")</f>
        <v/>
      </c>
      <c r="B207">
        <f>IF(AND(LEN('Documents'!A207)&gt;0,ISNUMBER('Documents'!F207)),MAX($B$3:B206)+1,"")</f>
        <v/>
      </c>
      <c r="E207">
        <f>IFERROR(MATCH(204,$B$4:$B$503,0),"")</f>
        <v/>
      </c>
    </row>
    <row r="208">
      <c r="A208">
        <f>IF(AND(LEN('Documents'!A208)&gt;0,ISNUMBER('Documents'!F208)),'Documents'!F208+205/100000,"")</f>
        <v/>
      </c>
      <c r="B208">
        <f>IF(AND(LEN('Documents'!A208)&gt;0,ISNUMBER('Documents'!F208)),MAX($B$3:B207)+1,"")</f>
        <v/>
      </c>
      <c r="E208">
        <f>IFERROR(MATCH(205,$B$4:$B$503,0),"")</f>
        <v/>
      </c>
    </row>
    <row r="209">
      <c r="A209">
        <f>IF(AND(LEN('Documents'!A209)&gt;0,ISNUMBER('Documents'!F209)),'Documents'!F209+206/100000,"")</f>
        <v/>
      </c>
      <c r="B209">
        <f>IF(AND(LEN('Documents'!A209)&gt;0,ISNUMBER('Documents'!F209)),MAX($B$3:B208)+1,"")</f>
        <v/>
      </c>
      <c r="E209">
        <f>IFERROR(MATCH(206,$B$4:$B$503,0),"")</f>
        <v/>
      </c>
    </row>
    <row r="210">
      <c r="A210">
        <f>IF(AND(LEN('Documents'!A210)&gt;0,ISNUMBER('Documents'!F210)),'Documents'!F210+207/100000,"")</f>
        <v/>
      </c>
      <c r="B210">
        <f>IF(AND(LEN('Documents'!A210)&gt;0,ISNUMBER('Documents'!F210)),MAX($B$3:B209)+1,"")</f>
        <v/>
      </c>
      <c r="E210">
        <f>IFERROR(MATCH(207,$B$4:$B$503,0),"")</f>
        <v/>
      </c>
    </row>
    <row r="211">
      <c r="A211">
        <f>IF(AND(LEN('Documents'!A211)&gt;0,ISNUMBER('Documents'!F211)),'Documents'!F211+208/100000,"")</f>
        <v/>
      </c>
      <c r="B211">
        <f>IF(AND(LEN('Documents'!A211)&gt;0,ISNUMBER('Documents'!F211)),MAX($B$3:B210)+1,"")</f>
        <v/>
      </c>
      <c r="E211">
        <f>IFERROR(MATCH(208,$B$4:$B$503,0),"")</f>
        <v/>
      </c>
    </row>
    <row r="212">
      <c r="A212">
        <f>IF(AND(LEN('Documents'!A212)&gt;0,ISNUMBER('Documents'!F212)),'Documents'!F212+209/100000,"")</f>
        <v/>
      </c>
      <c r="B212">
        <f>IF(AND(LEN('Documents'!A212)&gt;0,ISNUMBER('Documents'!F212)),MAX($B$3:B211)+1,"")</f>
        <v/>
      </c>
      <c r="E212">
        <f>IFERROR(MATCH(209,$B$4:$B$503,0),"")</f>
        <v/>
      </c>
    </row>
    <row r="213">
      <c r="A213">
        <f>IF(AND(LEN('Documents'!A213)&gt;0,ISNUMBER('Documents'!F213)),'Documents'!F213+210/100000,"")</f>
        <v/>
      </c>
      <c r="B213">
        <f>IF(AND(LEN('Documents'!A213)&gt;0,ISNUMBER('Documents'!F213)),MAX($B$3:B212)+1,"")</f>
        <v/>
      </c>
      <c r="E213">
        <f>IFERROR(MATCH(210,$B$4:$B$503,0),"")</f>
        <v/>
      </c>
    </row>
    <row r="214">
      <c r="A214">
        <f>IF(AND(LEN('Documents'!A214)&gt;0,ISNUMBER('Documents'!F214)),'Documents'!F214+211/100000,"")</f>
        <v/>
      </c>
      <c r="B214">
        <f>IF(AND(LEN('Documents'!A214)&gt;0,ISNUMBER('Documents'!F214)),MAX($B$3:B213)+1,"")</f>
        <v/>
      </c>
      <c r="E214">
        <f>IFERROR(MATCH(211,$B$4:$B$503,0),"")</f>
        <v/>
      </c>
    </row>
    <row r="215">
      <c r="A215">
        <f>IF(AND(LEN('Documents'!A215)&gt;0,ISNUMBER('Documents'!F215)),'Documents'!F215+212/100000,"")</f>
        <v/>
      </c>
      <c r="B215">
        <f>IF(AND(LEN('Documents'!A215)&gt;0,ISNUMBER('Documents'!F215)),MAX($B$3:B214)+1,"")</f>
        <v/>
      </c>
      <c r="E215">
        <f>IFERROR(MATCH(212,$B$4:$B$503,0),"")</f>
        <v/>
      </c>
    </row>
    <row r="216">
      <c r="A216">
        <f>IF(AND(LEN('Documents'!A216)&gt;0,ISNUMBER('Documents'!F216)),'Documents'!F216+213/100000,"")</f>
        <v/>
      </c>
      <c r="B216">
        <f>IF(AND(LEN('Documents'!A216)&gt;0,ISNUMBER('Documents'!F216)),MAX($B$3:B215)+1,"")</f>
        <v/>
      </c>
      <c r="E216">
        <f>IFERROR(MATCH(213,$B$4:$B$503,0),"")</f>
        <v/>
      </c>
    </row>
    <row r="217">
      <c r="A217">
        <f>IF(AND(LEN('Documents'!A217)&gt;0,ISNUMBER('Documents'!F217)),'Documents'!F217+214/100000,"")</f>
        <v/>
      </c>
      <c r="B217">
        <f>IF(AND(LEN('Documents'!A217)&gt;0,ISNUMBER('Documents'!F217)),MAX($B$3:B216)+1,"")</f>
        <v/>
      </c>
      <c r="E217">
        <f>IFERROR(MATCH(214,$B$4:$B$503,0),"")</f>
        <v/>
      </c>
    </row>
    <row r="218">
      <c r="A218">
        <f>IF(AND(LEN('Documents'!A218)&gt;0,ISNUMBER('Documents'!F218)),'Documents'!F218+215/100000,"")</f>
        <v/>
      </c>
      <c r="B218">
        <f>IF(AND(LEN('Documents'!A218)&gt;0,ISNUMBER('Documents'!F218)),MAX($B$3:B217)+1,"")</f>
        <v/>
      </c>
      <c r="E218">
        <f>IFERROR(MATCH(215,$B$4:$B$503,0),"")</f>
        <v/>
      </c>
    </row>
    <row r="219">
      <c r="A219">
        <f>IF(AND(LEN('Documents'!A219)&gt;0,ISNUMBER('Documents'!F219)),'Documents'!F219+216/100000,"")</f>
        <v/>
      </c>
      <c r="B219">
        <f>IF(AND(LEN('Documents'!A219)&gt;0,ISNUMBER('Documents'!F219)),MAX($B$3:B218)+1,"")</f>
        <v/>
      </c>
      <c r="E219">
        <f>IFERROR(MATCH(216,$B$4:$B$503,0),"")</f>
        <v/>
      </c>
    </row>
    <row r="220">
      <c r="A220">
        <f>IF(AND(LEN('Documents'!A220)&gt;0,ISNUMBER('Documents'!F220)),'Documents'!F220+217/100000,"")</f>
        <v/>
      </c>
      <c r="B220">
        <f>IF(AND(LEN('Documents'!A220)&gt;0,ISNUMBER('Documents'!F220)),MAX($B$3:B219)+1,"")</f>
        <v/>
      </c>
      <c r="E220">
        <f>IFERROR(MATCH(217,$B$4:$B$503,0),"")</f>
        <v/>
      </c>
    </row>
    <row r="221">
      <c r="A221">
        <f>IF(AND(LEN('Documents'!A221)&gt;0,ISNUMBER('Documents'!F221)),'Documents'!F221+218/100000,"")</f>
        <v/>
      </c>
      <c r="B221">
        <f>IF(AND(LEN('Documents'!A221)&gt;0,ISNUMBER('Documents'!F221)),MAX($B$3:B220)+1,"")</f>
        <v/>
      </c>
      <c r="E221">
        <f>IFERROR(MATCH(218,$B$4:$B$503,0),"")</f>
        <v/>
      </c>
    </row>
    <row r="222">
      <c r="A222">
        <f>IF(AND(LEN('Documents'!A222)&gt;0,ISNUMBER('Documents'!F222)),'Documents'!F222+219/100000,"")</f>
        <v/>
      </c>
      <c r="B222">
        <f>IF(AND(LEN('Documents'!A222)&gt;0,ISNUMBER('Documents'!F222)),MAX($B$3:B221)+1,"")</f>
        <v/>
      </c>
      <c r="E222">
        <f>IFERROR(MATCH(219,$B$4:$B$503,0),"")</f>
        <v/>
      </c>
    </row>
    <row r="223">
      <c r="A223">
        <f>IF(AND(LEN('Documents'!A223)&gt;0,ISNUMBER('Documents'!F223)),'Documents'!F223+220/100000,"")</f>
        <v/>
      </c>
      <c r="B223">
        <f>IF(AND(LEN('Documents'!A223)&gt;0,ISNUMBER('Documents'!F223)),MAX($B$3:B222)+1,"")</f>
        <v/>
      </c>
      <c r="E223">
        <f>IFERROR(MATCH(220,$B$4:$B$503,0),"")</f>
        <v/>
      </c>
    </row>
    <row r="224">
      <c r="A224">
        <f>IF(AND(LEN('Documents'!A224)&gt;0,ISNUMBER('Documents'!F224)),'Documents'!F224+221/100000,"")</f>
        <v/>
      </c>
      <c r="B224">
        <f>IF(AND(LEN('Documents'!A224)&gt;0,ISNUMBER('Documents'!F224)),MAX($B$3:B223)+1,"")</f>
        <v/>
      </c>
      <c r="E224">
        <f>IFERROR(MATCH(221,$B$4:$B$503,0),"")</f>
        <v/>
      </c>
    </row>
    <row r="225">
      <c r="A225">
        <f>IF(AND(LEN('Documents'!A225)&gt;0,ISNUMBER('Documents'!F225)),'Documents'!F225+222/100000,"")</f>
        <v/>
      </c>
      <c r="B225">
        <f>IF(AND(LEN('Documents'!A225)&gt;0,ISNUMBER('Documents'!F225)),MAX($B$3:B224)+1,"")</f>
        <v/>
      </c>
      <c r="E225">
        <f>IFERROR(MATCH(222,$B$4:$B$503,0),"")</f>
        <v/>
      </c>
    </row>
    <row r="226">
      <c r="A226">
        <f>IF(AND(LEN('Documents'!A226)&gt;0,ISNUMBER('Documents'!F226)),'Documents'!F226+223/100000,"")</f>
        <v/>
      </c>
      <c r="B226">
        <f>IF(AND(LEN('Documents'!A226)&gt;0,ISNUMBER('Documents'!F226)),MAX($B$3:B225)+1,"")</f>
        <v/>
      </c>
      <c r="E226">
        <f>IFERROR(MATCH(223,$B$4:$B$503,0),"")</f>
        <v/>
      </c>
    </row>
    <row r="227">
      <c r="A227">
        <f>IF(AND(LEN('Documents'!A227)&gt;0,ISNUMBER('Documents'!F227)),'Documents'!F227+224/100000,"")</f>
        <v/>
      </c>
      <c r="B227">
        <f>IF(AND(LEN('Documents'!A227)&gt;0,ISNUMBER('Documents'!F227)),MAX($B$3:B226)+1,"")</f>
        <v/>
      </c>
      <c r="E227">
        <f>IFERROR(MATCH(224,$B$4:$B$503,0),"")</f>
        <v/>
      </c>
    </row>
    <row r="228">
      <c r="A228">
        <f>IF(AND(LEN('Documents'!A228)&gt;0,ISNUMBER('Documents'!F228)),'Documents'!F228+225/100000,"")</f>
        <v/>
      </c>
      <c r="B228">
        <f>IF(AND(LEN('Documents'!A228)&gt;0,ISNUMBER('Documents'!F228)),MAX($B$3:B227)+1,"")</f>
        <v/>
      </c>
      <c r="E228">
        <f>IFERROR(MATCH(225,$B$4:$B$503,0),"")</f>
        <v/>
      </c>
    </row>
    <row r="229">
      <c r="A229">
        <f>IF(AND(LEN('Documents'!A229)&gt;0,ISNUMBER('Documents'!F229)),'Documents'!F229+226/100000,"")</f>
        <v/>
      </c>
      <c r="B229">
        <f>IF(AND(LEN('Documents'!A229)&gt;0,ISNUMBER('Documents'!F229)),MAX($B$3:B228)+1,"")</f>
        <v/>
      </c>
      <c r="E229">
        <f>IFERROR(MATCH(226,$B$4:$B$503,0),"")</f>
        <v/>
      </c>
    </row>
    <row r="230">
      <c r="A230">
        <f>IF(AND(LEN('Documents'!A230)&gt;0,ISNUMBER('Documents'!F230)),'Documents'!F230+227/100000,"")</f>
        <v/>
      </c>
      <c r="B230">
        <f>IF(AND(LEN('Documents'!A230)&gt;0,ISNUMBER('Documents'!F230)),MAX($B$3:B229)+1,"")</f>
        <v/>
      </c>
      <c r="E230">
        <f>IFERROR(MATCH(227,$B$4:$B$503,0),"")</f>
        <v/>
      </c>
    </row>
    <row r="231">
      <c r="A231">
        <f>IF(AND(LEN('Documents'!A231)&gt;0,ISNUMBER('Documents'!F231)),'Documents'!F231+228/100000,"")</f>
        <v/>
      </c>
      <c r="B231">
        <f>IF(AND(LEN('Documents'!A231)&gt;0,ISNUMBER('Documents'!F231)),MAX($B$3:B230)+1,"")</f>
        <v/>
      </c>
      <c r="E231">
        <f>IFERROR(MATCH(228,$B$4:$B$503,0),"")</f>
        <v/>
      </c>
    </row>
    <row r="232">
      <c r="A232">
        <f>IF(AND(LEN('Documents'!A232)&gt;0,ISNUMBER('Documents'!F232)),'Documents'!F232+229/100000,"")</f>
        <v/>
      </c>
      <c r="B232">
        <f>IF(AND(LEN('Documents'!A232)&gt;0,ISNUMBER('Documents'!F232)),MAX($B$3:B231)+1,"")</f>
        <v/>
      </c>
      <c r="E232">
        <f>IFERROR(MATCH(229,$B$4:$B$503,0),"")</f>
        <v/>
      </c>
    </row>
    <row r="233">
      <c r="A233">
        <f>IF(AND(LEN('Documents'!A233)&gt;0,ISNUMBER('Documents'!F233)),'Documents'!F233+230/100000,"")</f>
        <v/>
      </c>
      <c r="B233">
        <f>IF(AND(LEN('Documents'!A233)&gt;0,ISNUMBER('Documents'!F233)),MAX($B$3:B232)+1,"")</f>
        <v/>
      </c>
      <c r="E233">
        <f>IFERROR(MATCH(230,$B$4:$B$503,0),"")</f>
        <v/>
      </c>
    </row>
    <row r="234">
      <c r="A234">
        <f>IF(AND(LEN('Documents'!A234)&gt;0,ISNUMBER('Documents'!F234)),'Documents'!F234+231/100000,"")</f>
        <v/>
      </c>
      <c r="B234">
        <f>IF(AND(LEN('Documents'!A234)&gt;0,ISNUMBER('Documents'!F234)),MAX($B$3:B233)+1,"")</f>
        <v/>
      </c>
      <c r="E234">
        <f>IFERROR(MATCH(231,$B$4:$B$503,0),"")</f>
        <v/>
      </c>
    </row>
    <row r="235">
      <c r="A235">
        <f>IF(AND(LEN('Documents'!A235)&gt;0,ISNUMBER('Documents'!F235)),'Documents'!F235+232/100000,"")</f>
        <v/>
      </c>
      <c r="B235">
        <f>IF(AND(LEN('Documents'!A235)&gt;0,ISNUMBER('Documents'!F235)),MAX($B$3:B234)+1,"")</f>
        <v/>
      </c>
      <c r="E235">
        <f>IFERROR(MATCH(232,$B$4:$B$503,0),"")</f>
        <v/>
      </c>
    </row>
    <row r="236">
      <c r="A236">
        <f>IF(AND(LEN('Documents'!A236)&gt;0,ISNUMBER('Documents'!F236)),'Documents'!F236+233/100000,"")</f>
        <v/>
      </c>
      <c r="B236">
        <f>IF(AND(LEN('Documents'!A236)&gt;0,ISNUMBER('Documents'!F236)),MAX($B$3:B235)+1,"")</f>
        <v/>
      </c>
      <c r="E236">
        <f>IFERROR(MATCH(233,$B$4:$B$503,0),"")</f>
        <v/>
      </c>
    </row>
    <row r="237">
      <c r="A237">
        <f>IF(AND(LEN('Documents'!A237)&gt;0,ISNUMBER('Documents'!F237)),'Documents'!F237+234/100000,"")</f>
        <v/>
      </c>
      <c r="B237">
        <f>IF(AND(LEN('Documents'!A237)&gt;0,ISNUMBER('Documents'!F237)),MAX($B$3:B236)+1,"")</f>
        <v/>
      </c>
      <c r="E237">
        <f>IFERROR(MATCH(234,$B$4:$B$503,0),"")</f>
        <v/>
      </c>
    </row>
    <row r="238">
      <c r="A238">
        <f>IF(AND(LEN('Documents'!A238)&gt;0,ISNUMBER('Documents'!F238)),'Documents'!F238+235/100000,"")</f>
        <v/>
      </c>
      <c r="B238">
        <f>IF(AND(LEN('Documents'!A238)&gt;0,ISNUMBER('Documents'!F238)),MAX($B$3:B237)+1,"")</f>
        <v/>
      </c>
      <c r="E238">
        <f>IFERROR(MATCH(235,$B$4:$B$503,0),"")</f>
        <v/>
      </c>
    </row>
    <row r="239">
      <c r="A239">
        <f>IF(AND(LEN('Documents'!A239)&gt;0,ISNUMBER('Documents'!F239)),'Documents'!F239+236/100000,"")</f>
        <v/>
      </c>
      <c r="B239">
        <f>IF(AND(LEN('Documents'!A239)&gt;0,ISNUMBER('Documents'!F239)),MAX($B$3:B238)+1,"")</f>
        <v/>
      </c>
      <c r="E239">
        <f>IFERROR(MATCH(236,$B$4:$B$503,0),"")</f>
        <v/>
      </c>
    </row>
    <row r="240">
      <c r="A240">
        <f>IF(AND(LEN('Documents'!A240)&gt;0,ISNUMBER('Documents'!F240)),'Documents'!F240+237/100000,"")</f>
        <v/>
      </c>
      <c r="B240">
        <f>IF(AND(LEN('Documents'!A240)&gt;0,ISNUMBER('Documents'!F240)),MAX($B$3:B239)+1,"")</f>
        <v/>
      </c>
      <c r="E240">
        <f>IFERROR(MATCH(237,$B$4:$B$503,0),"")</f>
        <v/>
      </c>
    </row>
    <row r="241">
      <c r="A241">
        <f>IF(AND(LEN('Documents'!A241)&gt;0,ISNUMBER('Documents'!F241)),'Documents'!F241+238/100000,"")</f>
        <v/>
      </c>
      <c r="B241">
        <f>IF(AND(LEN('Documents'!A241)&gt;0,ISNUMBER('Documents'!F241)),MAX($B$3:B240)+1,"")</f>
        <v/>
      </c>
      <c r="E241">
        <f>IFERROR(MATCH(238,$B$4:$B$503,0),"")</f>
        <v/>
      </c>
    </row>
    <row r="242">
      <c r="A242">
        <f>IF(AND(LEN('Documents'!A242)&gt;0,ISNUMBER('Documents'!F242)),'Documents'!F242+239/100000,"")</f>
        <v/>
      </c>
      <c r="B242">
        <f>IF(AND(LEN('Documents'!A242)&gt;0,ISNUMBER('Documents'!F242)),MAX($B$3:B241)+1,"")</f>
        <v/>
      </c>
      <c r="E242">
        <f>IFERROR(MATCH(239,$B$4:$B$503,0),"")</f>
        <v/>
      </c>
    </row>
    <row r="243">
      <c r="A243">
        <f>IF(AND(LEN('Documents'!A243)&gt;0,ISNUMBER('Documents'!F243)),'Documents'!F243+240/100000,"")</f>
        <v/>
      </c>
      <c r="B243">
        <f>IF(AND(LEN('Documents'!A243)&gt;0,ISNUMBER('Documents'!F243)),MAX($B$3:B242)+1,"")</f>
        <v/>
      </c>
      <c r="E243">
        <f>IFERROR(MATCH(240,$B$4:$B$503,0),"")</f>
        <v/>
      </c>
    </row>
    <row r="244">
      <c r="A244">
        <f>IF(AND(LEN('Documents'!A244)&gt;0,ISNUMBER('Documents'!F244)),'Documents'!F244+241/100000,"")</f>
        <v/>
      </c>
      <c r="B244">
        <f>IF(AND(LEN('Documents'!A244)&gt;0,ISNUMBER('Documents'!F244)),MAX($B$3:B243)+1,"")</f>
        <v/>
      </c>
      <c r="E244">
        <f>IFERROR(MATCH(241,$B$4:$B$503,0),"")</f>
        <v/>
      </c>
    </row>
    <row r="245">
      <c r="A245">
        <f>IF(AND(LEN('Documents'!A245)&gt;0,ISNUMBER('Documents'!F245)),'Documents'!F245+242/100000,"")</f>
        <v/>
      </c>
      <c r="B245">
        <f>IF(AND(LEN('Documents'!A245)&gt;0,ISNUMBER('Documents'!F245)),MAX($B$3:B244)+1,"")</f>
        <v/>
      </c>
      <c r="E245">
        <f>IFERROR(MATCH(242,$B$4:$B$503,0),"")</f>
        <v/>
      </c>
    </row>
    <row r="246">
      <c r="A246">
        <f>IF(AND(LEN('Documents'!A246)&gt;0,ISNUMBER('Documents'!F246)),'Documents'!F246+243/100000,"")</f>
        <v/>
      </c>
      <c r="B246">
        <f>IF(AND(LEN('Documents'!A246)&gt;0,ISNUMBER('Documents'!F246)),MAX($B$3:B245)+1,"")</f>
        <v/>
      </c>
      <c r="E246">
        <f>IFERROR(MATCH(243,$B$4:$B$503,0),"")</f>
        <v/>
      </c>
    </row>
    <row r="247">
      <c r="A247">
        <f>IF(AND(LEN('Documents'!A247)&gt;0,ISNUMBER('Documents'!F247)),'Documents'!F247+244/100000,"")</f>
        <v/>
      </c>
      <c r="B247">
        <f>IF(AND(LEN('Documents'!A247)&gt;0,ISNUMBER('Documents'!F247)),MAX($B$3:B246)+1,"")</f>
        <v/>
      </c>
      <c r="E247">
        <f>IFERROR(MATCH(244,$B$4:$B$503,0),"")</f>
        <v/>
      </c>
    </row>
    <row r="248">
      <c r="A248">
        <f>IF(AND(LEN('Documents'!A248)&gt;0,ISNUMBER('Documents'!F248)),'Documents'!F248+245/100000,"")</f>
        <v/>
      </c>
      <c r="B248">
        <f>IF(AND(LEN('Documents'!A248)&gt;0,ISNUMBER('Documents'!F248)),MAX($B$3:B247)+1,"")</f>
        <v/>
      </c>
      <c r="E248">
        <f>IFERROR(MATCH(245,$B$4:$B$503,0),"")</f>
        <v/>
      </c>
    </row>
    <row r="249">
      <c r="A249">
        <f>IF(AND(LEN('Documents'!A249)&gt;0,ISNUMBER('Documents'!F249)),'Documents'!F249+246/100000,"")</f>
        <v/>
      </c>
      <c r="B249">
        <f>IF(AND(LEN('Documents'!A249)&gt;0,ISNUMBER('Documents'!F249)),MAX($B$3:B248)+1,"")</f>
        <v/>
      </c>
      <c r="E249">
        <f>IFERROR(MATCH(246,$B$4:$B$503,0),"")</f>
        <v/>
      </c>
    </row>
    <row r="250">
      <c r="A250">
        <f>IF(AND(LEN('Documents'!A250)&gt;0,ISNUMBER('Documents'!F250)),'Documents'!F250+247/100000,"")</f>
        <v/>
      </c>
      <c r="B250">
        <f>IF(AND(LEN('Documents'!A250)&gt;0,ISNUMBER('Documents'!F250)),MAX($B$3:B249)+1,"")</f>
        <v/>
      </c>
      <c r="E250">
        <f>IFERROR(MATCH(247,$B$4:$B$503,0),"")</f>
        <v/>
      </c>
    </row>
    <row r="251">
      <c r="A251">
        <f>IF(AND(LEN('Documents'!A251)&gt;0,ISNUMBER('Documents'!F251)),'Documents'!F251+248/100000,"")</f>
        <v/>
      </c>
      <c r="B251">
        <f>IF(AND(LEN('Documents'!A251)&gt;0,ISNUMBER('Documents'!F251)),MAX($B$3:B250)+1,"")</f>
        <v/>
      </c>
      <c r="E251">
        <f>IFERROR(MATCH(248,$B$4:$B$503,0),"")</f>
        <v/>
      </c>
    </row>
    <row r="252">
      <c r="A252">
        <f>IF(AND(LEN('Documents'!A252)&gt;0,ISNUMBER('Documents'!F252)),'Documents'!F252+249/100000,"")</f>
        <v/>
      </c>
      <c r="B252">
        <f>IF(AND(LEN('Documents'!A252)&gt;0,ISNUMBER('Documents'!F252)),MAX($B$3:B251)+1,"")</f>
        <v/>
      </c>
      <c r="E252">
        <f>IFERROR(MATCH(249,$B$4:$B$503,0),"")</f>
        <v/>
      </c>
    </row>
    <row r="253">
      <c r="A253">
        <f>IF(AND(LEN('Documents'!A253)&gt;0,ISNUMBER('Documents'!F253)),'Documents'!F253+250/100000,"")</f>
        <v/>
      </c>
      <c r="B253">
        <f>IF(AND(LEN('Documents'!A253)&gt;0,ISNUMBER('Documents'!F253)),MAX($B$3:B252)+1,"")</f>
        <v/>
      </c>
      <c r="E253">
        <f>IFERROR(MATCH(250,$B$4:$B$503,0),"")</f>
        <v/>
      </c>
    </row>
    <row r="254">
      <c r="A254">
        <f>IF(AND(LEN('Documents'!A254)&gt;0,ISNUMBER('Documents'!F254)),'Documents'!F254+251/100000,"")</f>
        <v/>
      </c>
      <c r="B254">
        <f>IF(AND(LEN('Documents'!A254)&gt;0,ISNUMBER('Documents'!F254)),MAX($B$3:B253)+1,"")</f>
        <v/>
      </c>
      <c r="E254">
        <f>IFERROR(MATCH(251,$B$4:$B$503,0),"")</f>
        <v/>
      </c>
    </row>
    <row r="255">
      <c r="A255">
        <f>IF(AND(LEN('Documents'!A255)&gt;0,ISNUMBER('Documents'!F255)),'Documents'!F255+252/100000,"")</f>
        <v/>
      </c>
      <c r="B255">
        <f>IF(AND(LEN('Documents'!A255)&gt;0,ISNUMBER('Documents'!F255)),MAX($B$3:B254)+1,"")</f>
        <v/>
      </c>
      <c r="E255">
        <f>IFERROR(MATCH(252,$B$4:$B$503,0),"")</f>
        <v/>
      </c>
    </row>
    <row r="256">
      <c r="A256">
        <f>IF(AND(LEN('Documents'!A256)&gt;0,ISNUMBER('Documents'!F256)),'Documents'!F256+253/100000,"")</f>
        <v/>
      </c>
      <c r="B256">
        <f>IF(AND(LEN('Documents'!A256)&gt;0,ISNUMBER('Documents'!F256)),MAX($B$3:B255)+1,"")</f>
        <v/>
      </c>
      <c r="E256">
        <f>IFERROR(MATCH(253,$B$4:$B$503,0),"")</f>
        <v/>
      </c>
    </row>
    <row r="257">
      <c r="A257">
        <f>IF(AND(LEN('Documents'!A257)&gt;0,ISNUMBER('Documents'!F257)),'Documents'!F257+254/100000,"")</f>
        <v/>
      </c>
      <c r="B257">
        <f>IF(AND(LEN('Documents'!A257)&gt;0,ISNUMBER('Documents'!F257)),MAX($B$3:B256)+1,"")</f>
        <v/>
      </c>
      <c r="E257">
        <f>IFERROR(MATCH(254,$B$4:$B$503,0),"")</f>
        <v/>
      </c>
    </row>
    <row r="258">
      <c r="A258">
        <f>IF(AND(LEN('Documents'!A258)&gt;0,ISNUMBER('Documents'!F258)),'Documents'!F258+255/100000,"")</f>
        <v/>
      </c>
      <c r="B258">
        <f>IF(AND(LEN('Documents'!A258)&gt;0,ISNUMBER('Documents'!F258)),MAX($B$3:B257)+1,"")</f>
        <v/>
      </c>
      <c r="E258">
        <f>IFERROR(MATCH(255,$B$4:$B$503,0),"")</f>
        <v/>
      </c>
    </row>
    <row r="259">
      <c r="A259">
        <f>IF(AND(LEN('Documents'!A259)&gt;0,ISNUMBER('Documents'!F259)),'Documents'!F259+256/100000,"")</f>
        <v/>
      </c>
      <c r="B259">
        <f>IF(AND(LEN('Documents'!A259)&gt;0,ISNUMBER('Documents'!F259)),MAX($B$3:B258)+1,"")</f>
        <v/>
      </c>
      <c r="E259">
        <f>IFERROR(MATCH(256,$B$4:$B$503,0),"")</f>
        <v/>
      </c>
    </row>
    <row r="260">
      <c r="A260">
        <f>IF(AND(LEN('Documents'!A260)&gt;0,ISNUMBER('Documents'!F260)),'Documents'!F260+257/100000,"")</f>
        <v/>
      </c>
      <c r="B260">
        <f>IF(AND(LEN('Documents'!A260)&gt;0,ISNUMBER('Documents'!F260)),MAX($B$3:B259)+1,"")</f>
        <v/>
      </c>
      <c r="E260">
        <f>IFERROR(MATCH(257,$B$4:$B$503,0),"")</f>
        <v/>
      </c>
    </row>
    <row r="261">
      <c r="A261">
        <f>IF(AND(LEN('Documents'!A261)&gt;0,ISNUMBER('Documents'!F261)),'Documents'!F261+258/100000,"")</f>
        <v/>
      </c>
      <c r="B261">
        <f>IF(AND(LEN('Documents'!A261)&gt;0,ISNUMBER('Documents'!F261)),MAX($B$3:B260)+1,"")</f>
        <v/>
      </c>
      <c r="E261">
        <f>IFERROR(MATCH(258,$B$4:$B$503,0),"")</f>
        <v/>
      </c>
    </row>
    <row r="262">
      <c r="A262">
        <f>IF(AND(LEN('Documents'!A262)&gt;0,ISNUMBER('Documents'!F262)),'Documents'!F262+259/100000,"")</f>
        <v/>
      </c>
      <c r="B262">
        <f>IF(AND(LEN('Documents'!A262)&gt;0,ISNUMBER('Documents'!F262)),MAX($B$3:B261)+1,"")</f>
        <v/>
      </c>
      <c r="E262">
        <f>IFERROR(MATCH(259,$B$4:$B$503,0),"")</f>
        <v/>
      </c>
    </row>
    <row r="263">
      <c r="A263">
        <f>IF(AND(LEN('Documents'!A263)&gt;0,ISNUMBER('Documents'!F263)),'Documents'!F263+260/100000,"")</f>
        <v/>
      </c>
      <c r="B263">
        <f>IF(AND(LEN('Documents'!A263)&gt;0,ISNUMBER('Documents'!F263)),MAX($B$3:B262)+1,"")</f>
        <v/>
      </c>
      <c r="E263">
        <f>IFERROR(MATCH(260,$B$4:$B$503,0),"")</f>
        <v/>
      </c>
    </row>
    <row r="264">
      <c r="A264">
        <f>IF(AND(LEN('Documents'!A264)&gt;0,ISNUMBER('Documents'!F264)),'Documents'!F264+261/100000,"")</f>
        <v/>
      </c>
      <c r="B264">
        <f>IF(AND(LEN('Documents'!A264)&gt;0,ISNUMBER('Documents'!F264)),MAX($B$3:B263)+1,"")</f>
        <v/>
      </c>
      <c r="E264">
        <f>IFERROR(MATCH(261,$B$4:$B$503,0),"")</f>
        <v/>
      </c>
    </row>
    <row r="265">
      <c r="A265">
        <f>IF(AND(LEN('Documents'!A265)&gt;0,ISNUMBER('Documents'!F265)),'Documents'!F265+262/100000,"")</f>
        <v/>
      </c>
      <c r="B265">
        <f>IF(AND(LEN('Documents'!A265)&gt;0,ISNUMBER('Documents'!F265)),MAX($B$3:B264)+1,"")</f>
        <v/>
      </c>
      <c r="E265">
        <f>IFERROR(MATCH(262,$B$4:$B$503,0),"")</f>
        <v/>
      </c>
    </row>
    <row r="266">
      <c r="A266">
        <f>IF(AND(LEN('Documents'!A266)&gt;0,ISNUMBER('Documents'!F266)),'Documents'!F266+263/100000,"")</f>
        <v/>
      </c>
      <c r="B266">
        <f>IF(AND(LEN('Documents'!A266)&gt;0,ISNUMBER('Documents'!F266)),MAX($B$3:B265)+1,"")</f>
        <v/>
      </c>
      <c r="E266">
        <f>IFERROR(MATCH(263,$B$4:$B$503,0),"")</f>
        <v/>
      </c>
    </row>
    <row r="267">
      <c r="A267">
        <f>IF(AND(LEN('Documents'!A267)&gt;0,ISNUMBER('Documents'!F267)),'Documents'!F267+264/100000,"")</f>
        <v/>
      </c>
      <c r="B267">
        <f>IF(AND(LEN('Documents'!A267)&gt;0,ISNUMBER('Documents'!F267)),MAX($B$3:B266)+1,"")</f>
        <v/>
      </c>
      <c r="E267">
        <f>IFERROR(MATCH(264,$B$4:$B$503,0),"")</f>
        <v/>
      </c>
    </row>
    <row r="268">
      <c r="A268">
        <f>IF(AND(LEN('Documents'!A268)&gt;0,ISNUMBER('Documents'!F268)),'Documents'!F268+265/100000,"")</f>
        <v/>
      </c>
      <c r="B268">
        <f>IF(AND(LEN('Documents'!A268)&gt;0,ISNUMBER('Documents'!F268)),MAX($B$3:B267)+1,"")</f>
        <v/>
      </c>
      <c r="E268">
        <f>IFERROR(MATCH(265,$B$4:$B$503,0),"")</f>
        <v/>
      </c>
    </row>
    <row r="269">
      <c r="A269">
        <f>IF(AND(LEN('Documents'!A269)&gt;0,ISNUMBER('Documents'!F269)),'Documents'!F269+266/100000,"")</f>
        <v/>
      </c>
      <c r="B269">
        <f>IF(AND(LEN('Documents'!A269)&gt;0,ISNUMBER('Documents'!F269)),MAX($B$3:B268)+1,"")</f>
        <v/>
      </c>
      <c r="E269">
        <f>IFERROR(MATCH(266,$B$4:$B$503,0),"")</f>
        <v/>
      </c>
    </row>
    <row r="270">
      <c r="A270">
        <f>IF(AND(LEN('Documents'!A270)&gt;0,ISNUMBER('Documents'!F270)),'Documents'!F270+267/100000,"")</f>
        <v/>
      </c>
      <c r="B270">
        <f>IF(AND(LEN('Documents'!A270)&gt;0,ISNUMBER('Documents'!F270)),MAX($B$3:B269)+1,"")</f>
        <v/>
      </c>
      <c r="E270">
        <f>IFERROR(MATCH(267,$B$4:$B$503,0),"")</f>
        <v/>
      </c>
    </row>
    <row r="271">
      <c r="A271">
        <f>IF(AND(LEN('Documents'!A271)&gt;0,ISNUMBER('Documents'!F271)),'Documents'!F271+268/100000,"")</f>
        <v/>
      </c>
      <c r="B271">
        <f>IF(AND(LEN('Documents'!A271)&gt;0,ISNUMBER('Documents'!F271)),MAX($B$3:B270)+1,"")</f>
        <v/>
      </c>
      <c r="E271">
        <f>IFERROR(MATCH(268,$B$4:$B$503,0),"")</f>
        <v/>
      </c>
    </row>
    <row r="272">
      <c r="A272">
        <f>IF(AND(LEN('Documents'!A272)&gt;0,ISNUMBER('Documents'!F272)),'Documents'!F272+269/100000,"")</f>
        <v/>
      </c>
      <c r="B272">
        <f>IF(AND(LEN('Documents'!A272)&gt;0,ISNUMBER('Documents'!F272)),MAX($B$3:B271)+1,"")</f>
        <v/>
      </c>
      <c r="E272">
        <f>IFERROR(MATCH(269,$B$4:$B$503,0),"")</f>
        <v/>
      </c>
    </row>
    <row r="273">
      <c r="A273">
        <f>IF(AND(LEN('Documents'!A273)&gt;0,ISNUMBER('Documents'!F273)),'Documents'!F273+270/100000,"")</f>
        <v/>
      </c>
      <c r="B273">
        <f>IF(AND(LEN('Documents'!A273)&gt;0,ISNUMBER('Documents'!F273)),MAX($B$3:B272)+1,"")</f>
        <v/>
      </c>
      <c r="E273">
        <f>IFERROR(MATCH(270,$B$4:$B$503,0),"")</f>
        <v/>
      </c>
    </row>
    <row r="274">
      <c r="A274">
        <f>IF(AND(LEN('Documents'!A274)&gt;0,ISNUMBER('Documents'!F274)),'Documents'!F274+271/100000,"")</f>
        <v/>
      </c>
      <c r="B274">
        <f>IF(AND(LEN('Documents'!A274)&gt;0,ISNUMBER('Documents'!F274)),MAX($B$3:B273)+1,"")</f>
        <v/>
      </c>
      <c r="E274">
        <f>IFERROR(MATCH(271,$B$4:$B$503,0),"")</f>
        <v/>
      </c>
    </row>
    <row r="275">
      <c r="A275">
        <f>IF(AND(LEN('Documents'!A275)&gt;0,ISNUMBER('Documents'!F275)),'Documents'!F275+272/100000,"")</f>
        <v/>
      </c>
      <c r="B275">
        <f>IF(AND(LEN('Documents'!A275)&gt;0,ISNUMBER('Documents'!F275)),MAX($B$3:B274)+1,"")</f>
        <v/>
      </c>
      <c r="E275">
        <f>IFERROR(MATCH(272,$B$4:$B$503,0),"")</f>
        <v/>
      </c>
    </row>
    <row r="276">
      <c r="A276">
        <f>IF(AND(LEN('Documents'!A276)&gt;0,ISNUMBER('Documents'!F276)),'Documents'!F276+273/100000,"")</f>
        <v/>
      </c>
      <c r="B276">
        <f>IF(AND(LEN('Documents'!A276)&gt;0,ISNUMBER('Documents'!F276)),MAX($B$3:B275)+1,"")</f>
        <v/>
      </c>
      <c r="E276">
        <f>IFERROR(MATCH(273,$B$4:$B$503,0),"")</f>
        <v/>
      </c>
    </row>
    <row r="277">
      <c r="A277">
        <f>IF(AND(LEN('Documents'!A277)&gt;0,ISNUMBER('Documents'!F277)),'Documents'!F277+274/100000,"")</f>
        <v/>
      </c>
      <c r="B277">
        <f>IF(AND(LEN('Documents'!A277)&gt;0,ISNUMBER('Documents'!F277)),MAX($B$3:B276)+1,"")</f>
        <v/>
      </c>
      <c r="E277">
        <f>IFERROR(MATCH(274,$B$4:$B$503,0),"")</f>
        <v/>
      </c>
    </row>
    <row r="278">
      <c r="A278">
        <f>IF(AND(LEN('Documents'!A278)&gt;0,ISNUMBER('Documents'!F278)),'Documents'!F278+275/100000,"")</f>
        <v/>
      </c>
      <c r="B278">
        <f>IF(AND(LEN('Documents'!A278)&gt;0,ISNUMBER('Documents'!F278)),MAX($B$3:B277)+1,"")</f>
        <v/>
      </c>
      <c r="E278">
        <f>IFERROR(MATCH(275,$B$4:$B$503,0),"")</f>
        <v/>
      </c>
    </row>
    <row r="279">
      <c r="A279">
        <f>IF(AND(LEN('Documents'!A279)&gt;0,ISNUMBER('Documents'!F279)),'Documents'!F279+276/100000,"")</f>
        <v/>
      </c>
      <c r="B279">
        <f>IF(AND(LEN('Documents'!A279)&gt;0,ISNUMBER('Documents'!F279)),MAX($B$3:B278)+1,"")</f>
        <v/>
      </c>
      <c r="E279">
        <f>IFERROR(MATCH(276,$B$4:$B$503,0),"")</f>
        <v/>
      </c>
    </row>
    <row r="280">
      <c r="A280">
        <f>IF(AND(LEN('Documents'!A280)&gt;0,ISNUMBER('Documents'!F280)),'Documents'!F280+277/100000,"")</f>
        <v/>
      </c>
      <c r="B280">
        <f>IF(AND(LEN('Documents'!A280)&gt;0,ISNUMBER('Documents'!F280)),MAX($B$3:B279)+1,"")</f>
        <v/>
      </c>
      <c r="E280">
        <f>IFERROR(MATCH(277,$B$4:$B$503,0),"")</f>
        <v/>
      </c>
    </row>
    <row r="281">
      <c r="A281">
        <f>IF(AND(LEN('Documents'!A281)&gt;0,ISNUMBER('Documents'!F281)),'Documents'!F281+278/100000,"")</f>
        <v/>
      </c>
      <c r="B281">
        <f>IF(AND(LEN('Documents'!A281)&gt;0,ISNUMBER('Documents'!F281)),MAX($B$3:B280)+1,"")</f>
        <v/>
      </c>
      <c r="E281">
        <f>IFERROR(MATCH(278,$B$4:$B$503,0),"")</f>
        <v/>
      </c>
    </row>
    <row r="282">
      <c r="A282">
        <f>IF(AND(LEN('Documents'!A282)&gt;0,ISNUMBER('Documents'!F282)),'Documents'!F282+279/100000,"")</f>
        <v/>
      </c>
      <c r="B282">
        <f>IF(AND(LEN('Documents'!A282)&gt;0,ISNUMBER('Documents'!F282)),MAX($B$3:B281)+1,"")</f>
        <v/>
      </c>
      <c r="E282">
        <f>IFERROR(MATCH(279,$B$4:$B$503,0),"")</f>
        <v/>
      </c>
    </row>
    <row r="283">
      <c r="A283">
        <f>IF(AND(LEN('Documents'!A283)&gt;0,ISNUMBER('Documents'!F283)),'Documents'!F283+280/100000,"")</f>
        <v/>
      </c>
      <c r="B283">
        <f>IF(AND(LEN('Documents'!A283)&gt;0,ISNUMBER('Documents'!F283)),MAX($B$3:B282)+1,"")</f>
        <v/>
      </c>
      <c r="E283">
        <f>IFERROR(MATCH(280,$B$4:$B$503,0),"")</f>
        <v/>
      </c>
    </row>
    <row r="284">
      <c r="A284">
        <f>IF(AND(LEN('Documents'!A284)&gt;0,ISNUMBER('Documents'!F284)),'Documents'!F284+281/100000,"")</f>
        <v/>
      </c>
      <c r="B284">
        <f>IF(AND(LEN('Documents'!A284)&gt;0,ISNUMBER('Documents'!F284)),MAX($B$3:B283)+1,"")</f>
        <v/>
      </c>
      <c r="E284">
        <f>IFERROR(MATCH(281,$B$4:$B$503,0),"")</f>
        <v/>
      </c>
    </row>
    <row r="285">
      <c r="A285">
        <f>IF(AND(LEN('Documents'!A285)&gt;0,ISNUMBER('Documents'!F285)),'Documents'!F285+282/100000,"")</f>
        <v/>
      </c>
      <c r="B285">
        <f>IF(AND(LEN('Documents'!A285)&gt;0,ISNUMBER('Documents'!F285)),MAX($B$3:B284)+1,"")</f>
        <v/>
      </c>
      <c r="E285">
        <f>IFERROR(MATCH(282,$B$4:$B$503,0),"")</f>
        <v/>
      </c>
    </row>
    <row r="286">
      <c r="A286">
        <f>IF(AND(LEN('Documents'!A286)&gt;0,ISNUMBER('Documents'!F286)),'Documents'!F286+283/100000,"")</f>
        <v/>
      </c>
      <c r="B286">
        <f>IF(AND(LEN('Documents'!A286)&gt;0,ISNUMBER('Documents'!F286)),MAX($B$3:B285)+1,"")</f>
        <v/>
      </c>
      <c r="E286">
        <f>IFERROR(MATCH(283,$B$4:$B$503,0),"")</f>
        <v/>
      </c>
    </row>
    <row r="287">
      <c r="A287">
        <f>IF(AND(LEN('Documents'!A287)&gt;0,ISNUMBER('Documents'!F287)),'Documents'!F287+284/100000,"")</f>
        <v/>
      </c>
      <c r="B287">
        <f>IF(AND(LEN('Documents'!A287)&gt;0,ISNUMBER('Documents'!F287)),MAX($B$3:B286)+1,"")</f>
        <v/>
      </c>
      <c r="E287">
        <f>IFERROR(MATCH(284,$B$4:$B$503,0),"")</f>
        <v/>
      </c>
    </row>
    <row r="288">
      <c r="A288">
        <f>IF(AND(LEN('Documents'!A288)&gt;0,ISNUMBER('Documents'!F288)),'Documents'!F288+285/100000,"")</f>
        <v/>
      </c>
      <c r="B288">
        <f>IF(AND(LEN('Documents'!A288)&gt;0,ISNUMBER('Documents'!F288)),MAX($B$3:B287)+1,"")</f>
        <v/>
      </c>
      <c r="E288">
        <f>IFERROR(MATCH(285,$B$4:$B$503,0),"")</f>
        <v/>
      </c>
    </row>
    <row r="289">
      <c r="A289">
        <f>IF(AND(LEN('Documents'!A289)&gt;0,ISNUMBER('Documents'!F289)),'Documents'!F289+286/100000,"")</f>
        <v/>
      </c>
      <c r="B289">
        <f>IF(AND(LEN('Documents'!A289)&gt;0,ISNUMBER('Documents'!F289)),MAX($B$3:B288)+1,"")</f>
        <v/>
      </c>
      <c r="E289">
        <f>IFERROR(MATCH(286,$B$4:$B$503,0),"")</f>
        <v/>
      </c>
    </row>
    <row r="290">
      <c r="A290">
        <f>IF(AND(LEN('Documents'!A290)&gt;0,ISNUMBER('Documents'!F290)),'Documents'!F290+287/100000,"")</f>
        <v/>
      </c>
      <c r="B290">
        <f>IF(AND(LEN('Documents'!A290)&gt;0,ISNUMBER('Documents'!F290)),MAX($B$3:B289)+1,"")</f>
        <v/>
      </c>
      <c r="E290">
        <f>IFERROR(MATCH(287,$B$4:$B$503,0),"")</f>
        <v/>
      </c>
    </row>
    <row r="291">
      <c r="A291">
        <f>IF(AND(LEN('Documents'!A291)&gt;0,ISNUMBER('Documents'!F291)),'Documents'!F291+288/100000,"")</f>
        <v/>
      </c>
      <c r="B291">
        <f>IF(AND(LEN('Documents'!A291)&gt;0,ISNUMBER('Documents'!F291)),MAX($B$3:B290)+1,"")</f>
        <v/>
      </c>
      <c r="E291">
        <f>IFERROR(MATCH(288,$B$4:$B$503,0),"")</f>
        <v/>
      </c>
    </row>
    <row r="292">
      <c r="A292">
        <f>IF(AND(LEN('Documents'!A292)&gt;0,ISNUMBER('Documents'!F292)),'Documents'!F292+289/100000,"")</f>
        <v/>
      </c>
      <c r="B292">
        <f>IF(AND(LEN('Documents'!A292)&gt;0,ISNUMBER('Documents'!F292)),MAX($B$3:B291)+1,"")</f>
        <v/>
      </c>
      <c r="E292">
        <f>IFERROR(MATCH(289,$B$4:$B$503,0),"")</f>
        <v/>
      </c>
    </row>
    <row r="293">
      <c r="A293">
        <f>IF(AND(LEN('Documents'!A293)&gt;0,ISNUMBER('Documents'!F293)),'Documents'!F293+290/100000,"")</f>
        <v/>
      </c>
      <c r="B293">
        <f>IF(AND(LEN('Documents'!A293)&gt;0,ISNUMBER('Documents'!F293)),MAX($B$3:B292)+1,"")</f>
        <v/>
      </c>
      <c r="E293">
        <f>IFERROR(MATCH(290,$B$4:$B$503,0),"")</f>
        <v/>
      </c>
    </row>
    <row r="294">
      <c r="A294">
        <f>IF(AND(LEN('Documents'!A294)&gt;0,ISNUMBER('Documents'!F294)),'Documents'!F294+291/100000,"")</f>
        <v/>
      </c>
      <c r="B294">
        <f>IF(AND(LEN('Documents'!A294)&gt;0,ISNUMBER('Documents'!F294)),MAX($B$3:B293)+1,"")</f>
        <v/>
      </c>
      <c r="E294">
        <f>IFERROR(MATCH(291,$B$4:$B$503,0),"")</f>
        <v/>
      </c>
    </row>
    <row r="295">
      <c r="A295">
        <f>IF(AND(LEN('Documents'!A295)&gt;0,ISNUMBER('Documents'!F295)),'Documents'!F295+292/100000,"")</f>
        <v/>
      </c>
      <c r="B295">
        <f>IF(AND(LEN('Documents'!A295)&gt;0,ISNUMBER('Documents'!F295)),MAX($B$3:B294)+1,"")</f>
        <v/>
      </c>
      <c r="E295">
        <f>IFERROR(MATCH(292,$B$4:$B$503,0),"")</f>
        <v/>
      </c>
    </row>
    <row r="296">
      <c r="A296">
        <f>IF(AND(LEN('Documents'!A296)&gt;0,ISNUMBER('Documents'!F296)),'Documents'!F296+293/100000,"")</f>
        <v/>
      </c>
      <c r="B296">
        <f>IF(AND(LEN('Documents'!A296)&gt;0,ISNUMBER('Documents'!F296)),MAX($B$3:B295)+1,"")</f>
        <v/>
      </c>
      <c r="E296">
        <f>IFERROR(MATCH(293,$B$4:$B$503,0),"")</f>
        <v/>
      </c>
    </row>
    <row r="297">
      <c r="A297">
        <f>IF(AND(LEN('Documents'!A297)&gt;0,ISNUMBER('Documents'!F297)),'Documents'!F297+294/100000,"")</f>
        <v/>
      </c>
      <c r="B297">
        <f>IF(AND(LEN('Documents'!A297)&gt;0,ISNUMBER('Documents'!F297)),MAX($B$3:B296)+1,"")</f>
        <v/>
      </c>
      <c r="E297">
        <f>IFERROR(MATCH(294,$B$4:$B$503,0),"")</f>
        <v/>
      </c>
    </row>
    <row r="298">
      <c r="A298">
        <f>IF(AND(LEN('Documents'!A298)&gt;0,ISNUMBER('Documents'!F298)),'Documents'!F298+295/100000,"")</f>
        <v/>
      </c>
      <c r="B298">
        <f>IF(AND(LEN('Documents'!A298)&gt;0,ISNUMBER('Documents'!F298)),MAX($B$3:B297)+1,"")</f>
        <v/>
      </c>
      <c r="E298">
        <f>IFERROR(MATCH(295,$B$4:$B$503,0),"")</f>
        <v/>
      </c>
    </row>
    <row r="299">
      <c r="A299">
        <f>IF(AND(LEN('Documents'!A299)&gt;0,ISNUMBER('Documents'!F299)),'Documents'!F299+296/100000,"")</f>
        <v/>
      </c>
      <c r="B299">
        <f>IF(AND(LEN('Documents'!A299)&gt;0,ISNUMBER('Documents'!F299)),MAX($B$3:B298)+1,"")</f>
        <v/>
      </c>
      <c r="E299">
        <f>IFERROR(MATCH(296,$B$4:$B$503,0),"")</f>
        <v/>
      </c>
    </row>
    <row r="300">
      <c r="A300">
        <f>IF(AND(LEN('Documents'!A300)&gt;0,ISNUMBER('Documents'!F300)),'Documents'!F300+297/100000,"")</f>
        <v/>
      </c>
      <c r="B300">
        <f>IF(AND(LEN('Documents'!A300)&gt;0,ISNUMBER('Documents'!F300)),MAX($B$3:B299)+1,"")</f>
        <v/>
      </c>
      <c r="E300">
        <f>IFERROR(MATCH(297,$B$4:$B$503,0),"")</f>
        <v/>
      </c>
    </row>
    <row r="301">
      <c r="A301">
        <f>IF(AND(LEN('Documents'!A301)&gt;0,ISNUMBER('Documents'!F301)),'Documents'!F301+298/100000,"")</f>
        <v/>
      </c>
      <c r="B301">
        <f>IF(AND(LEN('Documents'!A301)&gt;0,ISNUMBER('Documents'!F301)),MAX($B$3:B300)+1,"")</f>
        <v/>
      </c>
      <c r="E301">
        <f>IFERROR(MATCH(298,$B$4:$B$503,0),"")</f>
        <v/>
      </c>
    </row>
    <row r="302">
      <c r="A302">
        <f>IF(AND(LEN('Documents'!A302)&gt;0,ISNUMBER('Documents'!F302)),'Documents'!F302+299/100000,"")</f>
        <v/>
      </c>
      <c r="B302">
        <f>IF(AND(LEN('Documents'!A302)&gt;0,ISNUMBER('Documents'!F302)),MAX($B$3:B301)+1,"")</f>
        <v/>
      </c>
      <c r="E302">
        <f>IFERROR(MATCH(299,$B$4:$B$503,0),"")</f>
        <v/>
      </c>
    </row>
    <row r="303">
      <c r="A303">
        <f>IF(AND(LEN('Documents'!A303)&gt;0,ISNUMBER('Documents'!F303)),'Documents'!F303+300/100000,"")</f>
        <v/>
      </c>
      <c r="B303">
        <f>IF(AND(LEN('Documents'!A303)&gt;0,ISNUMBER('Documents'!F303)),MAX($B$3:B302)+1,"")</f>
        <v/>
      </c>
      <c r="E303">
        <f>IFERROR(MATCH(300,$B$4:$B$503,0),"")</f>
        <v/>
      </c>
    </row>
    <row r="304">
      <c r="A304">
        <f>IF(AND(LEN('Documents'!A304)&gt;0,ISNUMBER('Documents'!F304)),'Documents'!F304+301/100000,"")</f>
        <v/>
      </c>
      <c r="B304">
        <f>IF(AND(LEN('Documents'!A304)&gt;0,ISNUMBER('Documents'!F304)),MAX($B$3:B303)+1,"")</f>
        <v/>
      </c>
      <c r="E304">
        <f>IFERROR(MATCH(301,$B$4:$B$503,0),"")</f>
        <v/>
      </c>
    </row>
    <row r="305">
      <c r="A305">
        <f>IF(AND(LEN('Documents'!A305)&gt;0,ISNUMBER('Documents'!F305)),'Documents'!F305+302/100000,"")</f>
        <v/>
      </c>
      <c r="B305">
        <f>IF(AND(LEN('Documents'!A305)&gt;0,ISNUMBER('Documents'!F305)),MAX($B$3:B304)+1,"")</f>
        <v/>
      </c>
      <c r="E305">
        <f>IFERROR(MATCH(302,$B$4:$B$503,0),"")</f>
        <v/>
      </c>
    </row>
    <row r="306">
      <c r="A306">
        <f>IF(AND(LEN('Documents'!A306)&gt;0,ISNUMBER('Documents'!F306)),'Documents'!F306+303/100000,"")</f>
        <v/>
      </c>
      <c r="B306">
        <f>IF(AND(LEN('Documents'!A306)&gt;0,ISNUMBER('Documents'!F306)),MAX($B$3:B305)+1,"")</f>
        <v/>
      </c>
      <c r="E306">
        <f>IFERROR(MATCH(303,$B$4:$B$503,0),"")</f>
        <v/>
      </c>
    </row>
    <row r="307">
      <c r="A307">
        <f>IF(AND(LEN('Documents'!A307)&gt;0,ISNUMBER('Documents'!F307)),'Documents'!F307+304/100000,"")</f>
        <v/>
      </c>
      <c r="B307">
        <f>IF(AND(LEN('Documents'!A307)&gt;0,ISNUMBER('Documents'!F307)),MAX($B$3:B306)+1,"")</f>
        <v/>
      </c>
      <c r="E307">
        <f>IFERROR(MATCH(304,$B$4:$B$503,0),"")</f>
        <v/>
      </c>
    </row>
    <row r="308">
      <c r="A308">
        <f>IF(AND(LEN('Documents'!A308)&gt;0,ISNUMBER('Documents'!F308)),'Documents'!F308+305/100000,"")</f>
        <v/>
      </c>
      <c r="B308">
        <f>IF(AND(LEN('Documents'!A308)&gt;0,ISNUMBER('Documents'!F308)),MAX($B$3:B307)+1,"")</f>
        <v/>
      </c>
      <c r="E308">
        <f>IFERROR(MATCH(305,$B$4:$B$503,0),"")</f>
        <v/>
      </c>
    </row>
    <row r="309">
      <c r="A309">
        <f>IF(AND(LEN('Documents'!A309)&gt;0,ISNUMBER('Documents'!F309)),'Documents'!F309+306/100000,"")</f>
        <v/>
      </c>
      <c r="B309">
        <f>IF(AND(LEN('Documents'!A309)&gt;0,ISNUMBER('Documents'!F309)),MAX($B$3:B308)+1,"")</f>
        <v/>
      </c>
      <c r="E309">
        <f>IFERROR(MATCH(306,$B$4:$B$503,0),"")</f>
        <v/>
      </c>
    </row>
    <row r="310">
      <c r="A310">
        <f>IF(AND(LEN('Documents'!A310)&gt;0,ISNUMBER('Documents'!F310)),'Documents'!F310+307/100000,"")</f>
        <v/>
      </c>
      <c r="B310">
        <f>IF(AND(LEN('Documents'!A310)&gt;0,ISNUMBER('Documents'!F310)),MAX($B$3:B309)+1,"")</f>
        <v/>
      </c>
      <c r="E310">
        <f>IFERROR(MATCH(307,$B$4:$B$503,0),"")</f>
        <v/>
      </c>
    </row>
    <row r="311">
      <c r="A311">
        <f>IF(AND(LEN('Documents'!A311)&gt;0,ISNUMBER('Documents'!F311)),'Documents'!F311+308/100000,"")</f>
        <v/>
      </c>
      <c r="B311">
        <f>IF(AND(LEN('Documents'!A311)&gt;0,ISNUMBER('Documents'!F311)),MAX($B$3:B310)+1,"")</f>
        <v/>
      </c>
      <c r="E311">
        <f>IFERROR(MATCH(308,$B$4:$B$503,0),"")</f>
        <v/>
      </c>
    </row>
    <row r="312">
      <c r="A312">
        <f>IF(AND(LEN('Documents'!A312)&gt;0,ISNUMBER('Documents'!F312)),'Documents'!F312+309/100000,"")</f>
        <v/>
      </c>
      <c r="B312">
        <f>IF(AND(LEN('Documents'!A312)&gt;0,ISNUMBER('Documents'!F312)),MAX($B$3:B311)+1,"")</f>
        <v/>
      </c>
      <c r="E312">
        <f>IFERROR(MATCH(309,$B$4:$B$503,0),"")</f>
        <v/>
      </c>
    </row>
    <row r="313">
      <c r="A313">
        <f>IF(AND(LEN('Documents'!A313)&gt;0,ISNUMBER('Documents'!F313)),'Documents'!F313+310/100000,"")</f>
        <v/>
      </c>
      <c r="B313">
        <f>IF(AND(LEN('Documents'!A313)&gt;0,ISNUMBER('Documents'!F313)),MAX($B$3:B312)+1,"")</f>
        <v/>
      </c>
      <c r="E313">
        <f>IFERROR(MATCH(310,$B$4:$B$503,0),"")</f>
        <v/>
      </c>
    </row>
    <row r="314">
      <c r="A314">
        <f>IF(AND(LEN('Documents'!A314)&gt;0,ISNUMBER('Documents'!F314)),'Documents'!F314+311/100000,"")</f>
        <v/>
      </c>
      <c r="B314">
        <f>IF(AND(LEN('Documents'!A314)&gt;0,ISNUMBER('Documents'!F314)),MAX($B$3:B313)+1,"")</f>
        <v/>
      </c>
      <c r="E314">
        <f>IFERROR(MATCH(311,$B$4:$B$503,0),"")</f>
        <v/>
      </c>
    </row>
    <row r="315">
      <c r="A315">
        <f>IF(AND(LEN('Documents'!A315)&gt;0,ISNUMBER('Documents'!F315)),'Documents'!F315+312/100000,"")</f>
        <v/>
      </c>
      <c r="B315">
        <f>IF(AND(LEN('Documents'!A315)&gt;0,ISNUMBER('Documents'!F315)),MAX($B$3:B314)+1,"")</f>
        <v/>
      </c>
      <c r="E315">
        <f>IFERROR(MATCH(312,$B$4:$B$503,0),"")</f>
        <v/>
      </c>
    </row>
    <row r="316">
      <c r="A316">
        <f>IF(AND(LEN('Documents'!A316)&gt;0,ISNUMBER('Documents'!F316)),'Documents'!F316+313/100000,"")</f>
        <v/>
      </c>
      <c r="B316">
        <f>IF(AND(LEN('Documents'!A316)&gt;0,ISNUMBER('Documents'!F316)),MAX($B$3:B315)+1,"")</f>
        <v/>
      </c>
      <c r="E316">
        <f>IFERROR(MATCH(313,$B$4:$B$503,0),"")</f>
        <v/>
      </c>
    </row>
    <row r="317">
      <c r="A317">
        <f>IF(AND(LEN('Documents'!A317)&gt;0,ISNUMBER('Documents'!F317)),'Documents'!F317+314/100000,"")</f>
        <v/>
      </c>
      <c r="B317">
        <f>IF(AND(LEN('Documents'!A317)&gt;0,ISNUMBER('Documents'!F317)),MAX($B$3:B316)+1,"")</f>
        <v/>
      </c>
      <c r="E317">
        <f>IFERROR(MATCH(314,$B$4:$B$503,0),"")</f>
        <v/>
      </c>
    </row>
    <row r="318">
      <c r="A318">
        <f>IF(AND(LEN('Documents'!A318)&gt;0,ISNUMBER('Documents'!F318)),'Documents'!F318+315/100000,"")</f>
        <v/>
      </c>
      <c r="B318">
        <f>IF(AND(LEN('Documents'!A318)&gt;0,ISNUMBER('Documents'!F318)),MAX($B$3:B317)+1,"")</f>
        <v/>
      </c>
      <c r="E318">
        <f>IFERROR(MATCH(315,$B$4:$B$503,0),"")</f>
        <v/>
      </c>
    </row>
    <row r="319">
      <c r="A319">
        <f>IF(AND(LEN('Documents'!A319)&gt;0,ISNUMBER('Documents'!F319)),'Documents'!F319+316/100000,"")</f>
        <v/>
      </c>
      <c r="B319">
        <f>IF(AND(LEN('Documents'!A319)&gt;0,ISNUMBER('Documents'!F319)),MAX($B$3:B318)+1,"")</f>
        <v/>
      </c>
      <c r="E319">
        <f>IFERROR(MATCH(316,$B$4:$B$503,0),"")</f>
        <v/>
      </c>
    </row>
    <row r="320">
      <c r="A320">
        <f>IF(AND(LEN('Documents'!A320)&gt;0,ISNUMBER('Documents'!F320)),'Documents'!F320+317/100000,"")</f>
        <v/>
      </c>
      <c r="B320">
        <f>IF(AND(LEN('Documents'!A320)&gt;0,ISNUMBER('Documents'!F320)),MAX($B$3:B319)+1,"")</f>
        <v/>
      </c>
      <c r="E320">
        <f>IFERROR(MATCH(317,$B$4:$B$503,0),"")</f>
        <v/>
      </c>
    </row>
    <row r="321">
      <c r="A321">
        <f>IF(AND(LEN('Documents'!A321)&gt;0,ISNUMBER('Documents'!F321)),'Documents'!F321+318/100000,"")</f>
        <v/>
      </c>
      <c r="B321">
        <f>IF(AND(LEN('Documents'!A321)&gt;0,ISNUMBER('Documents'!F321)),MAX($B$3:B320)+1,"")</f>
        <v/>
      </c>
      <c r="E321">
        <f>IFERROR(MATCH(318,$B$4:$B$503,0),"")</f>
        <v/>
      </c>
    </row>
    <row r="322">
      <c r="A322">
        <f>IF(AND(LEN('Documents'!A322)&gt;0,ISNUMBER('Documents'!F322)),'Documents'!F322+319/100000,"")</f>
        <v/>
      </c>
      <c r="B322">
        <f>IF(AND(LEN('Documents'!A322)&gt;0,ISNUMBER('Documents'!F322)),MAX($B$3:B321)+1,"")</f>
        <v/>
      </c>
      <c r="E322">
        <f>IFERROR(MATCH(319,$B$4:$B$503,0),"")</f>
        <v/>
      </c>
    </row>
    <row r="323">
      <c r="A323">
        <f>IF(AND(LEN('Documents'!A323)&gt;0,ISNUMBER('Documents'!F323)),'Documents'!F323+320/100000,"")</f>
        <v/>
      </c>
      <c r="B323">
        <f>IF(AND(LEN('Documents'!A323)&gt;0,ISNUMBER('Documents'!F323)),MAX($B$3:B322)+1,"")</f>
        <v/>
      </c>
      <c r="E323">
        <f>IFERROR(MATCH(320,$B$4:$B$503,0),"")</f>
        <v/>
      </c>
    </row>
    <row r="324">
      <c r="A324">
        <f>IF(AND(LEN('Documents'!A324)&gt;0,ISNUMBER('Documents'!F324)),'Documents'!F324+321/100000,"")</f>
        <v/>
      </c>
      <c r="B324">
        <f>IF(AND(LEN('Documents'!A324)&gt;0,ISNUMBER('Documents'!F324)),MAX($B$3:B323)+1,"")</f>
        <v/>
      </c>
      <c r="E324">
        <f>IFERROR(MATCH(321,$B$4:$B$503,0),"")</f>
        <v/>
      </c>
    </row>
    <row r="325">
      <c r="A325">
        <f>IF(AND(LEN('Documents'!A325)&gt;0,ISNUMBER('Documents'!F325)),'Documents'!F325+322/100000,"")</f>
        <v/>
      </c>
      <c r="B325">
        <f>IF(AND(LEN('Documents'!A325)&gt;0,ISNUMBER('Documents'!F325)),MAX($B$3:B324)+1,"")</f>
        <v/>
      </c>
      <c r="E325">
        <f>IFERROR(MATCH(322,$B$4:$B$503,0),"")</f>
        <v/>
      </c>
    </row>
    <row r="326">
      <c r="A326">
        <f>IF(AND(LEN('Documents'!A326)&gt;0,ISNUMBER('Documents'!F326)),'Documents'!F326+323/100000,"")</f>
        <v/>
      </c>
      <c r="B326">
        <f>IF(AND(LEN('Documents'!A326)&gt;0,ISNUMBER('Documents'!F326)),MAX($B$3:B325)+1,"")</f>
        <v/>
      </c>
      <c r="E326">
        <f>IFERROR(MATCH(323,$B$4:$B$503,0),"")</f>
        <v/>
      </c>
    </row>
    <row r="327">
      <c r="A327">
        <f>IF(AND(LEN('Documents'!A327)&gt;0,ISNUMBER('Documents'!F327)),'Documents'!F327+324/100000,"")</f>
        <v/>
      </c>
      <c r="B327">
        <f>IF(AND(LEN('Documents'!A327)&gt;0,ISNUMBER('Documents'!F327)),MAX($B$3:B326)+1,"")</f>
        <v/>
      </c>
      <c r="E327">
        <f>IFERROR(MATCH(324,$B$4:$B$503,0),"")</f>
        <v/>
      </c>
    </row>
    <row r="328">
      <c r="A328">
        <f>IF(AND(LEN('Documents'!A328)&gt;0,ISNUMBER('Documents'!F328)),'Documents'!F328+325/100000,"")</f>
        <v/>
      </c>
      <c r="B328">
        <f>IF(AND(LEN('Documents'!A328)&gt;0,ISNUMBER('Documents'!F328)),MAX($B$3:B327)+1,"")</f>
        <v/>
      </c>
      <c r="E328">
        <f>IFERROR(MATCH(325,$B$4:$B$503,0),"")</f>
        <v/>
      </c>
    </row>
    <row r="329">
      <c r="A329">
        <f>IF(AND(LEN('Documents'!A329)&gt;0,ISNUMBER('Documents'!F329)),'Documents'!F329+326/100000,"")</f>
        <v/>
      </c>
      <c r="B329">
        <f>IF(AND(LEN('Documents'!A329)&gt;0,ISNUMBER('Documents'!F329)),MAX($B$3:B328)+1,"")</f>
        <v/>
      </c>
      <c r="E329">
        <f>IFERROR(MATCH(326,$B$4:$B$503,0),"")</f>
        <v/>
      </c>
    </row>
    <row r="330">
      <c r="A330">
        <f>IF(AND(LEN('Documents'!A330)&gt;0,ISNUMBER('Documents'!F330)),'Documents'!F330+327/100000,"")</f>
        <v/>
      </c>
      <c r="B330">
        <f>IF(AND(LEN('Documents'!A330)&gt;0,ISNUMBER('Documents'!F330)),MAX($B$3:B329)+1,"")</f>
        <v/>
      </c>
      <c r="E330">
        <f>IFERROR(MATCH(327,$B$4:$B$503,0),"")</f>
        <v/>
      </c>
    </row>
    <row r="331">
      <c r="A331">
        <f>IF(AND(LEN('Documents'!A331)&gt;0,ISNUMBER('Documents'!F331)),'Documents'!F331+328/100000,"")</f>
        <v/>
      </c>
      <c r="B331">
        <f>IF(AND(LEN('Documents'!A331)&gt;0,ISNUMBER('Documents'!F331)),MAX($B$3:B330)+1,"")</f>
        <v/>
      </c>
      <c r="E331">
        <f>IFERROR(MATCH(328,$B$4:$B$503,0),"")</f>
        <v/>
      </c>
    </row>
    <row r="332">
      <c r="A332">
        <f>IF(AND(LEN('Documents'!A332)&gt;0,ISNUMBER('Documents'!F332)),'Documents'!F332+329/100000,"")</f>
        <v/>
      </c>
      <c r="B332">
        <f>IF(AND(LEN('Documents'!A332)&gt;0,ISNUMBER('Documents'!F332)),MAX($B$3:B331)+1,"")</f>
        <v/>
      </c>
      <c r="E332">
        <f>IFERROR(MATCH(329,$B$4:$B$503,0),"")</f>
        <v/>
      </c>
    </row>
    <row r="333">
      <c r="A333">
        <f>IF(AND(LEN('Documents'!A333)&gt;0,ISNUMBER('Documents'!F333)),'Documents'!F333+330/100000,"")</f>
        <v/>
      </c>
      <c r="B333">
        <f>IF(AND(LEN('Documents'!A333)&gt;0,ISNUMBER('Documents'!F333)),MAX($B$3:B332)+1,"")</f>
        <v/>
      </c>
      <c r="E333">
        <f>IFERROR(MATCH(330,$B$4:$B$503,0),"")</f>
        <v/>
      </c>
    </row>
    <row r="334">
      <c r="A334">
        <f>IF(AND(LEN('Documents'!A334)&gt;0,ISNUMBER('Documents'!F334)),'Documents'!F334+331/100000,"")</f>
        <v/>
      </c>
      <c r="B334">
        <f>IF(AND(LEN('Documents'!A334)&gt;0,ISNUMBER('Documents'!F334)),MAX($B$3:B333)+1,"")</f>
        <v/>
      </c>
      <c r="E334">
        <f>IFERROR(MATCH(331,$B$4:$B$503,0),"")</f>
        <v/>
      </c>
    </row>
    <row r="335">
      <c r="A335">
        <f>IF(AND(LEN('Documents'!A335)&gt;0,ISNUMBER('Documents'!F335)),'Documents'!F335+332/100000,"")</f>
        <v/>
      </c>
      <c r="B335">
        <f>IF(AND(LEN('Documents'!A335)&gt;0,ISNUMBER('Documents'!F335)),MAX($B$3:B334)+1,"")</f>
        <v/>
      </c>
      <c r="E335">
        <f>IFERROR(MATCH(332,$B$4:$B$503,0),"")</f>
        <v/>
      </c>
    </row>
    <row r="336">
      <c r="A336">
        <f>IF(AND(LEN('Documents'!A336)&gt;0,ISNUMBER('Documents'!F336)),'Documents'!F336+333/100000,"")</f>
        <v/>
      </c>
      <c r="B336">
        <f>IF(AND(LEN('Documents'!A336)&gt;0,ISNUMBER('Documents'!F336)),MAX($B$3:B335)+1,"")</f>
        <v/>
      </c>
      <c r="E336">
        <f>IFERROR(MATCH(333,$B$4:$B$503,0),"")</f>
        <v/>
      </c>
    </row>
    <row r="337">
      <c r="A337">
        <f>IF(AND(LEN('Documents'!A337)&gt;0,ISNUMBER('Documents'!F337)),'Documents'!F337+334/100000,"")</f>
        <v/>
      </c>
      <c r="B337">
        <f>IF(AND(LEN('Documents'!A337)&gt;0,ISNUMBER('Documents'!F337)),MAX($B$3:B336)+1,"")</f>
        <v/>
      </c>
      <c r="E337">
        <f>IFERROR(MATCH(334,$B$4:$B$503,0),"")</f>
        <v/>
      </c>
    </row>
    <row r="338">
      <c r="A338">
        <f>IF(AND(LEN('Documents'!A338)&gt;0,ISNUMBER('Documents'!F338)),'Documents'!F338+335/100000,"")</f>
        <v/>
      </c>
      <c r="B338">
        <f>IF(AND(LEN('Documents'!A338)&gt;0,ISNUMBER('Documents'!F338)),MAX($B$3:B337)+1,"")</f>
        <v/>
      </c>
      <c r="E338">
        <f>IFERROR(MATCH(335,$B$4:$B$503,0),"")</f>
        <v/>
      </c>
    </row>
    <row r="339">
      <c r="A339">
        <f>IF(AND(LEN('Documents'!A339)&gt;0,ISNUMBER('Documents'!F339)),'Documents'!F339+336/100000,"")</f>
        <v/>
      </c>
      <c r="B339">
        <f>IF(AND(LEN('Documents'!A339)&gt;0,ISNUMBER('Documents'!F339)),MAX($B$3:B338)+1,"")</f>
        <v/>
      </c>
      <c r="E339">
        <f>IFERROR(MATCH(336,$B$4:$B$503,0),"")</f>
        <v/>
      </c>
    </row>
    <row r="340">
      <c r="A340">
        <f>IF(AND(LEN('Documents'!A340)&gt;0,ISNUMBER('Documents'!F340)),'Documents'!F340+337/100000,"")</f>
        <v/>
      </c>
      <c r="B340">
        <f>IF(AND(LEN('Documents'!A340)&gt;0,ISNUMBER('Documents'!F340)),MAX($B$3:B339)+1,"")</f>
        <v/>
      </c>
      <c r="E340">
        <f>IFERROR(MATCH(337,$B$4:$B$503,0),"")</f>
        <v/>
      </c>
    </row>
    <row r="341">
      <c r="A341">
        <f>IF(AND(LEN('Documents'!A341)&gt;0,ISNUMBER('Documents'!F341)),'Documents'!F341+338/100000,"")</f>
        <v/>
      </c>
      <c r="B341">
        <f>IF(AND(LEN('Documents'!A341)&gt;0,ISNUMBER('Documents'!F341)),MAX($B$3:B340)+1,"")</f>
        <v/>
      </c>
      <c r="E341">
        <f>IFERROR(MATCH(338,$B$4:$B$503,0),"")</f>
        <v/>
      </c>
    </row>
    <row r="342">
      <c r="A342">
        <f>IF(AND(LEN('Documents'!A342)&gt;0,ISNUMBER('Documents'!F342)),'Documents'!F342+339/100000,"")</f>
        <v/>
      </c>
      <c r="B342">
        <f>IF(AND(LEN('Documents'!A342)&gt;0,ISNUMBER('Documents'!F342)),MAX($B$3:B341)+1,"")</f>
        <v/>
      </c>
      <c r="E342">
        <f>IFERROR(MATCH(339,$B$4:$B$503,0),"")</f>
        <v/>
      </c>
    </row>
    <row r="343">
      <c r="A343">
        <f>IF(AND(LEN('Documents'!A343)&gt;0,ISNUMBER('Documents'!F343)),'Documents'!F343+340/100000,"")</f>
        <v/>
      </c>
      <c r="B343">
        <f>IF(AND(LEN('Documents'!A343)&gt;0,ISNUMBER('Documents'!F343)),MAX($B$3:B342)+1,"")</f>
        <v/>
      </c>
      <c r="E343">
        <f>IFERROR(MATCH(340,$B$4:$B$503,0),"")</f>
        <v/>
      </c>
    </row>
    <row r="344">
      <c r="A344">
        <f>IF(AND(LEN('Documents'!A344)&gt;0,ISNUMBER('Documents'!F344)),'Documents'!F344+341/100000,"")</f>
        <v/>
      </c>
      <c r="B344">
        <f>IF(AND(LEN('Documents'!A344)&gt;0,ISNUMBER('Documents'!F344)),MAX($B$3:B343)+1,"")</f>
        <v/>
      </c>
      <c r="E344">
        <f>IFERROR(MATCH(341,$B$4:$B$503,0),"")</f>
        <v/>
      </c>
    </row>
    <row r="345">
      <c r="A345">
        <f>IF(AND(LEN('Documents'!A345)&gt;0,ISNUMBER('Documents'!F345)),'Documents'!F345+342/100000,"")</f>
        <v/>
      </c>
      <c r="B345">
        <f>IF(AND(LEN('Documents'!A345)&gt;0,ISNUMBER('Documents'!F345)),MAX($B$3:B344)+1,"")</f>
        <v/>
      </c>
      <c r="E345">
        <f>IFERROR(MATCH(342,$B$4:$B$503,0),"")</f>
        <v/>
      </c>
    </row>
    <row r="346">
      <c r="A346">
        <f>IF(AND(LEN('Documents'!A346)&gt;0,ISNUMBER('Documents'!F346)),'Documents'!F346+343/100000,"")</f>
        <v/>
      </c>
      <c r="B346">
        <f>IF(AND(LEN('Documents'!A346)&gt;0,ISNUMBER('Documents'!F346)),MAX($B$3:B345)+1,"")</f>
        <v/>
      </c>
      <c r="E346">
        <f>IFERROR(MATCH(343,$B$4:$B$503,0),"")</f>
        <v/>
      </c>
    </row>
    <row r="347">
      <c r="A347">
        <f>IF(AND(LEN('Documents'!A347)&gt;0,ISNUMBER('Documents'!F347)),'Documents'!F347+344/100000,"")</f>
        <v/>
      </c>
      <c r="B347">
        <f>IF(AND(LEN('Documents'!A347)&gt;0,ISNUMBER('Documents'!F347)),MAX($B$3:B346)+1,"")</f>
        <v/>
      </c>
      <c r="E347">
        <f>IFERROR(MATCH(344,$B$4:$B$503,0),"")</f>
        <v/>
      </c>
    </row>
    <row r="348">
      <c r="A348">
        <f>IF(AND(LEN('Documents'!A348)&gt;0,ISNUMBER('Documents'!F348)),'Documents'!F348+345/100000,"")</f>
        <v/>
      </c>
      <c r="B348">
        <f>IF(AND(LEN('Documents'!A348)&gt;0,ISNUMBER('Documents'!F348)),MAX($B$3:B347)+1,"")</f>
        <v/>
      </c>
      <c r="E348">
        <f>IFERROR(MATCH(345,$B$4:$B$503,0),"")</f>
        <v/>
      </c>
    </row>
    <row r="349">
      <c r="A349">
        <f>IF(AND(LEN('Documents'!A349)&gt;0,ISNUMBER('Documents'!F349)),'Documents'!F349+346/100000,"")</f>
        <v/>
      </c>
      <c r="B349">
        <f>IF(AND(LEN('Documents'!A349)&gt;0,ISNUMBER('Documents'!F349)),MAX($B$3:B348)+1,"")</f>
        <v/>
      </c>
      <c r="E349">
        <f>IFERROR(MATCH(346,$B$4:$B$503,0),"")</f>
        <v/>
      </c>
    </row>
    <row r="350">
      <c r="A350">
        <f>IF(AND(LEN('Documents'!A350)&gt;0,ISNUMBER('Documents'!F350)),'Documents'!F350+347/100000,"")</f>
        <v/>
      </c>
      <c r="B350">
        <f>IF(AND(LEN('Documents'!A350)&gt;0,ISNUMBER('Documents'!F350)),MAX($B$3:B349)+1,"")</f>
        <v/>
      </c>
      <c r="E350">
        <f>IFERROR(MATCH(347,$B$4:$B$503,0),"")</f>
        <v/>
      </c>
    </row>
    <row r="351">
      <c r="A351">
        <f>IF(AND(LEN('Documents'!A351)&gt;0,ISNUMBER('Documents'!F351)),'Documents'!F351+348/100000,"")</f>
        <v/>
      </c>
      <c r="B351">
        <f>IF(AND(LEN('Documents'!A351)&gt;0,ISNUMBER('Documents'!F351)),MAX($B$3:B350)+1,"")</f>
        <v/>
      </c>
      <c r="E351">
        <f>IFERROR(MATCH(348,$B$4:$B$503,0),"")</f>
        <v/>
      </c>
    </row>
    <row r="352">
      <c r="A352">
        <f>IF(AND(LEN('Documents'!A352)&gt;0,ISNUMBER('Documents'!F352)),'Documents'!F352+349/100000,"")</f>
        <v/>
      </c>
      <c r="B352">
        <f>IF(AND(LEN('Documents'!A352)&gt;0,ISNUMBER('Documents'!F352)),MAX($B$3:B351)+1,"")</f>
        <v/>
      </c>
      <c r="E352">
        <f>IFERROR(MATCH(349,$B$4:$B$503,0),"")</f>
        <v/>
      </c>
    </row>
    <row r="353">
      <c r="A353">
        <f>IF(AND(LEN('Documents'!A353)&gt;0,ISNUMBER('Documents'!F353)),'Documents'!F353+350/100000,"")</f>
        <v/>
      </c>
      <c r="B353">
        <f>IF(AND(LEN('Documents'!A353)&gt;0,ISNUMBER('Documents'!F353)),MAX($B$3:B352)+1,"")</f>
        <v/>
      </c>
      <c r="E353">
        <f>IFERROR(MATCH(350,$B$4:$B$503,0),"")</f>
        <v/>
      </c>
    </row>
    <row r="354">
      <c r="A354">
        <f>IF(AND(LEN('Documents'!A354)&gt;0,ISNUMBER('Documents'!F354)),'Documents'!F354+351/100000,"")</f>
        <v/>
      </c>
      <c r="B354">
        <f>IF(AND(LEN('Documents'!A354)&gt;0,ISNUMBER('Documents'!F354)),MAX($B$3:B353)+1,"")</f>
        <v/>
      </c>
      <c r="E354">
        <f>IFERROR(MATCH(351,$B$4:$B$503,0),"")</f>
        <v/>
      </c>
    </row>
    <row r="355">
      <c r="A355">
        <f>IF(AND(LEN('Documents'!A355)&gt;0,ISNUMBER('Documents'!F355)),'Documents'!F355+352/100000,"")</f>
        <v/>
      </c>
      <c r="B355">
        <f>IF(AND(LEN('Documents'!A355)&gt;0,ISNUMBER('Documents'!F355)),MAX($B$3:B354)+1,"")</f>
        <v/>
      </c>
      <c r="E355">
        <f>IFERROR(MATCH(352,$B$4:$B$503,0),"")</f>
        <v/>
      </c>
    </row>
    <row r="356">
      <c r="A356">
        <f>IF(AND(LEN('Documents'!A356)&gt;0,ISNUMBER('Documents'!F356)),'Documents'!F356+353/100000,"")</f>
        <v/>
      </c>
      <c r="B356">
        <f>IF(AND(LEN('Documents'!A356)&gt;0,ISNUMBER('Documents'!F356)),MAX($B$3:B355)+1,"")</f>
        <v/>
      </c>
      <c r="E356">
        <f>IFERROR(MATCH(353,$B$4:$B$503,0),"")</f>
        <v/>
      </c>
    </row>
    <row r="357">
      <c r="A357">
        <f>IF(AND(LEN('Documents'!A357)&gt;0,ISNUMBER('Documents'!F357)),'Documents'!F357+354/100000,"")</f>
        <v/>
      </c>
      <c r="B357">
        <f>IF(AND(LEN('Documents'!A357)&gt;0,ISNUMBER('Documents'!F357)),MAX($B$3:B356)+1,"")</f>
        <v/>
      </c>
      <c r="E357">
        <f>IFERROR(MATCH(354,$B$4:$B$503,0),"")</f>
        <v/>
      </c>
    </row>
    <row r="358">
      <c r="A358">
        <f>IF(AND(LEN('Documents'!A358)&gt;0,ISNUMBER('Documents'!F358)),'Documents'!F358+355/100000,"")</f>
        <v/>
      </c>
      <c r="B358">
        <f>IF(AND(LEN('Documents'!A358)&gt;0,ISNUMBER('Documents'!F358)),MAX($B$3:B357)+1,"")</f>
        <v/>
      </c>
      <c r="E358">
        <f>IFERROR(MATCH(355,$B$4:$B$503,0),"")</f>
        <v/>
      </c>
    </row>
    <row r="359">
      <c r="A359">
        <f>IF(AND(LEN('Documents'!A359)&gt;0,ISNUMBER('Documents'!F359)),'Documents'!F359+356/100000,"")</f>
        <v/>
      </c>
      <c r="B359">
        <f>IF(AND(LEN('Documents'!A359)&gt;0,ISNUMBER('Documents'!F359)),MAX($B$3:B358)+1,"")</f>
        <v/>
      </c>
      <c r="E359">
        <f>IFERROR(MATCH(356,$B$4:$B$503,0),"")</f>
        <v/>
      </c>
    </row>
    <row r="360">
      <c r="A360">
        <f>IF(AND(LEN('Documents'!A360)&gt;0,ISNUMBER('Documents'!F360)),'Documents'!F360+357/100000,"")</f>
        <v/>
      </c>
      <c r="B360">
        <f>IF(AND(LEN('Documents'!A360)&gt;0,ISNUMBER('Documents'!F360)),MAX($B$3:B359)+1,"")</f>
        <v/>
      </c>
      <c r="E360">
        <f>IFERROR(MATCH(357,$B$4:$B$503,0),"")</f>
        <v/>
      </c>
    </row>
    <row r="361">
      <c r="A361">
        <f>IF(AND(LEN('Documents'!A361)&gt;0,ISNUMBER('Documents'!F361)),'Documents'!F361+358/100000,"")</f>
        <v/>
      </c>
      <c r="B361">
        <f>IF(AND(LEN('Documents'!A361)&gt;0,ISNUMBER('Documents'!F361)),MAX($B$3:B360)+1,"")</f>
        <v/>
      </c>
      <c r="E361">
        <f>IFERROR(MATCH(358,$B$4:$B$503,0),"")</f>
        <v/>
      </c>
    </row>
    <row r="362">
      <c r="A362">
        <f>IF(AND(LEN('Documents'!A362)&gt;0,ISNUMBER('Documents'!F362)),'Documents'!F362+359/100000,"")</f>
        <v/>
      </c>
      <c r="B362">
        <f>IF(AND(LEN('Documents'!A362)&gt;0,ISNUMBER('Documents'!F362)),MAX($B$3:B361)+1,"")</f>
        <v/>
      </c>
      <c r="E362">
        <f>IFERROR(MATCH(359,$B$4:$B$503,0),"")</f>
        <v/>
      </c>
    </row>
    <row r="363">
      <c r="A363">
        <f>IF(AND(LEN('Documents'!A363)&gt;0,ISNUMBER('Documents'!F363)),'Documents'!F363+360/100000,"")</f>
        <v/>
      </c>
      <c r="B363">
        <f>IF(AND(LEN('Documents'!A363)&gt;0,ISNUMBER('Documents'!F363)),MAX($B$3:B362)+1,"")</f>
        <v/>
      </c>
      <c r="E363">
        <f>IFERROR(MATCH(360,$B$4:$B$503,0),"")</f>
        <v/>
      </c>
    </row>
    <row r="364">
      <c r="A364">
        <f>IF(AND(LEN('Documents'!A364)&gt;0,ISNUMBER('Documents'!F364)),'Documents'!F364+361/100000,"")</f>
        <v/>
      </c>
      <c r="B364">
        <f>IF(AND(LEN('Documents'!A364)&gt;0,ISNUMBER('Documents'!F364)),MAX($B$3:B363)+1,"")</f>
        <v/>
      </c>
      <c r="E364">
        <f>IFERROR(MATCH(361,$B$4:$B$503,0),"")</f>
        <v/>
      </c>
    </row>
    <row r="365">
      <c r="A365">
        <f>IF(AND(LEN('Documents'!A365)&gt;0,ISNUMBER('Documents'!F365)),'Documents'!F365+362/100000,"")</f>
        <v/>
      </c>
      <c r="B365">
        <f>IF(AND(LEN('Documents'!A365)&gt;0,ISNUMBER('Documents'!F365)),MAX($B$3:B364)+1,"")</f>
        <v/>
      </c>
      <c r="E365">
        <f>IFERROR(MATCH(362,$B$4:$B$503,0),"")</f>
        <v/>
      </c>
    </row>
    <row r="366">
      <c r="A366">
        <f>IF(AND(LEN('Documents'!A366)&gt;0,ISNUMBER('Documents'!F366)),'Documents'!F366+363/100000,"")</f>
        <v/>
      </c>
      <c r="B366">
        <f>IF(AND(LEN('Documents'!A366)&gt;0,ISNUMBER('Documents'!F366)),MAX($B$3:B365)+1,"")</f>
        <v/>
      </c>
      <c r="E366">
        <f>IFERROR(MATCH(363,$B$4:$B$503,0),"")</f>
        <v/>
      </c>
    </row>
    <row r="367">
      <c r="A367">
        <f>IF(AND(LEN('Documents'!A367)&gt;0,ISNUMBER('Documents'!F367)),'Documents'!F367+364/100000,"")</f>
        <v/>
      </c>
      <c r="B367">
        <f>IF(AND(LEN('Documents'!A367)&gt;0,ISNUMBER('Documents'!F367)),MAX($B$3:B366)+1,"")</f>
        <v/>
      </c>
      <c r="E367">
        <f>IFERROR(MATCH(364,$B$4:$B$503,0),"")</f>
        <v/>
      </c>
    </row>
    <row r="368">
      <c r="A368">
        <f>IF(AND(LEN('Documents'!A368)&gt;0,ISNUMBER('Documents'!F368)),'Documents'!F368+365/100000,"")</f>
        <v/>
      </c>
      <c r="B368">
        <f>IF(AND(LEN('Documents'!A368)&gt;0,ISNUMBER('Documents'!F368)),MAX($B$3:B367)+1,"")</f>
        <v/>
      </c>
      <c r="E368">
        <f>IFERROR(MATCH(365,$B$4:$B$503,0),"")</f>
        <v/>
      </c>
    </row>
    <row r="369">
      <c r="A369">
        <f>IF(AND(LEN('Documents'!A369)&gt;0,ISNUMBER('Documents'!F369)),'Documents'!F369+366/100000,"")</f>
        <v/>
      </c>
      <c r="B369">
        <f>IF(AND(LEN('Documents'!A369)&gt;0,ISNUMBER('Documents'!F369)),MAX($B$3:B368)+1,"")</f>
        <v/>
      </c>
      <c r="E369">
        <f>IFERROR(MATCH(366,$B$4:$B$503,0),"")</f>
        <v/>
      </c>
    </row>
    <row r="370">
      <c r="A370">
        <f>IF(AND(LEN('Documents'!A370)&gt;0,ISNUMBER('Documents'!F370)),'Documents'!F370+367/100000,"")</f>
        <v/>
      </c>
      <c r="B370">
        <f>IF(AND(LEN('Documents'!A370)&gt;0,ISNUMBER('Documents'!F370)),MAX($B$3:B369)+1,"")</f>
        <v/>
      </c>
      <c r="E370">
        <f>IFERROR(MATCH(367,$B$4:$B$503,0),"")</f>
        <v/>
      </c>
    </row>
    <row r="371">
      <c r="A371">
        <f>IF(AND(LEN('Documents'!A371)&gt;0,ISNUMBER('Documents'!F371)),'Documents'!F371+368/100000,"")</f>
        <v/>
      </c>
      <c r="B371">
        <f>IF(AND(LEN('Documents'!A371)&gt;0,ISNUMBER('Documents'!F371)),MAX($B$3:B370)+1,"")</f>
        <v/>
      </c>
      <c r="E371">
        <f>IFERROR(MATCH(368,$B$4:$B$503,0),"")</f>
        <v/>
      </c>
    </row>
    <row r="372">
      <c r="A372">
        <f>IF(AND(LEN('Documents'!A372)&gt;0,ISNUMBER('Documents'!F372)),'Documents'!F372+369/100000,"")</f>
        <v/>
      </c>
      <c r="B372">
        <f>IF(AND(LEN('Documents'!A372)&gt;0,ISNUMBER('Documents'!F372)),MAX($B$3:B371)+1,"")</f>
        <v/>
      </c>
      <c r="E372">
        <f>IFERROR(MATCH(369,$B$4:$B$503,0),"")</f>
        <v/>
      </c>
    </row>
    <row r="373">
      <c r="A373">
        <f>IF(AND(LEN('Documents'!A373)&gt;0,ISNUMBER('Documents'!F373)),'Documents'!F373+370/100000,"")</f>
        <v/>
      </c>
      <c r="B373">
        <f>IF(AND(LEN('Documents'!A373)&gt;0,ISNUMBER('Documents'!F373)),MAX($B$3:B372)+1,"")</f>
        <v/>
      </c>
      <c r="E373">
        <f>IFERROR(MATCH(370,$B$4:$B$503,0),"")</f>
        <v/>
      </c>
    </row>
    <row r="374">
      <c r="A374">
        <f>IF(AND(LEN('Documents'!A374)&gt;0,ISNUMBER('Documents'!F374)),'Documents'!F374+371/100000,"")</f>
        <v/>
      </c>
      <c r="B374">
        <f>IF(AND(LEN('Documents'!A374)&gt;0,ISNUMBER('Documents'!F374)),MAX($B$3:B373)+1,"")</f>
        <v/>
      </c>
      <c r="E374">
        <f>IFERROR(MATCH(371,$B$4:$B$503,0),"")</f>
        <v/>
      </c>
    </row>
    <row r="375">
      <c r="A375">
        <f>IF(AND(LEN('Documents'!A375)&gt;0,ISNUMBER('Documents'!F375)),'Documents'!F375+372/100000,"")</f>
        <v/>
      </c>
      <c r="B375">
        <f>IF(AND(LEN('Documents'!A375)&gt;0,ISNUMBER('Documents'!F375)),MAX($B$3:B374)+1,"")</f>
        <v/>
      </c>
      <c r="E375">
        <f>IFERROR(MATCH(372,$B$4:$B$503,0),"")</f>
        <v/>
      </c>
    </row>
    <row r="376">
      <c r="A376">
        <f>IF(AND(LEN('Documents'!A376)&gt;0,ISNUMBER('Documents'!F376)),'Documents'!F376+373/100000,"")</f>
        <v/>
      </c>
      <c r="B376">
        <f>IF(AND(LEN('Documents'!A376)&gt;0,ISNUMBER('Documents'!F376)),MAX($B$3:B375)+1,"")</f>
        <v/>
      </c>
      <c r="E376">
        <f>IFERROR(MATCH(373,$B$4:$B$503,0),"")</f>
        <v/>
      </c>
    </row>
    <row r="377">
      <c r="A377">
        <f>IF(AND(LEN('Documents'!A377)&gt;0,ISNUMBER('Documents'!F377)),'Documents'!F377+374/100000,"")</f>
        <v/>
      </c>
      <c r="B377">
        <f>IF(AND(LEN('Documents'!A377)&gt;0,ISNUMBER('Documents'!F377)),MAX($B$3:B376)+1,"")</f>
        <v/>
      </c>
      <c r="E377">
        <f>IFERROR(MATCH(374,$B$4:$B$503,0),"")</f>
        <v/>
      </c>
    </row>
    <row r="378">
      <c r="A378">
        <f>IF(AND(LEN('Documents'!A378)&gt;0,ISNUMBER('Documents'!F378)),'Documents'!F378+375/100000,"")</f>
        <v/>
      </c>
      <c r="B378">
        <f>IF(AND(LEN('Documents'!A378)&gt;0,ISNUMBER('Documents'!F378)),MAX($B$3:B377)+1,"")</f>
        <v/>
      </c>
      <c r="E378">
        <f>IFERROR(MATCH(375,$B$4:$B$503,0),"")</f>
        <v/>
      </c>
    </row>
    <row r="379">
      <c r="A379">
        <f>IF(AND(LEN('Documents'!A379)&gt;0,ISNUMBER('Documents'!F379)),'Documents'!F379+376/100000,"")</f>
        <v/>
      </c>
      <c r="B379">
        <f>IF(AND(LEN('Documents'!A379)&gt;0,ISNUMBER('Documents'!F379)),MAX($B$3:B378)+1,"")</f>
        <v/>
      </c>
      <c r="E379">
        <f>IFERROR(MATCH(376,$B$4:$B$503,0),"")</f>
        <v/>
      </c>
    </row>
    <row r="380">
      <c r="A380">
        <f>IF(AND(LEN('Documents'!A380)&gt;0,ISNUMBER('Documents'!F380)),'Documents'!F380+377/100000,"")</f>
        <v/>
      </c>
      <c r="B380">
        <f>IF(AND(LEN('Documents'!A380)&gt;0,ISNUMBER('Documents'!F380)),MAX($B$3:B379)+1,"")</f>
        <v/>
      </c>
      <c r="E380">
        <f>IFERROR(MATCH(377,$B$4:$B$503,0),"")</f>
        <v/>
      </c>
    </row>
    <row r="381">
      <c r="A381">
        <f>IF(AND(LEN('Documents'!A381)&gt;0,ISNUMBER('Documents'!F381)),'Documents'!F381+378/100000,"")</f>
        <v/>
      </c>
      <c r="B381">
        <f>IF(AND(LEN('Documents'!A381)&gt;0,ISNUMBER('Documents'!F381)),MAX($B$3:B380)+1,"")</f>
        <v/>
      </c>
      <c r="E381">
        <f>IFERROR(MATCH(378,$B$4:$B$503,0),"")</f>
        <v/>
      </c>
    </row>
    <row r="382">
      <c r="A382">
        <f>IF(AND(LEN('Documents'!A382)&gt;0,ISNUMBER('Documents'!F382)),'Documents'!F382+379/100000,"")</f>
        <v/>
      </c>
      <c r="B382">
        <f>IF(AND(LEN('Documents'!A382)&gt;0,ISNUMBER('Documents'!F382)),MAX($B$3:B381)+1,"")</f>
        <v/>
      </c>
      <c r="E382">
        <f>IFERROR(MATCH(379,$B$4:$B$503,0),"")</f>
        <v/>
      </c>
    </row>
    <row r="383">
      <c r="A383">
        <f>IF(AND(LEN('Documents'!A383)&gt;0,ISNUMBER('Documents'!F383)),'Documents'!F383+380/100000,"")</f>
        <v/>
      </c>
      <c r="B383">
        <f>IF(AND(LEN('Documents'!A383)&gt;0,ISNUMBER('Documents'!F383)),MAX($B$3:B382)+1,"")</f>
        <v/>
      </c>
      <c r="E383">
        <f>IFERROR(MATCH(380,$B$4:$B$503,0),"")</f>
        <v/>
      </c>
    </row>
    <row r="384">
      <c r="A384">
        <f>IF(AND(LEN('Documents'!A384)&gt;0,ISNUMBER('Documents'!F384)),'Documents'!F384+381/100000,"")</f>
        <v/>
      </c>
      <c r="B384">
        <f>IF(AND(LEN('Documents'!A384)&gt;0,ISNUMBER('Documents'!F384)),MAX($B$3:B383)+1,"")</f>
        <v/>
      </c>
      <c r="E384">
        <f>IFERROR(MATCH(381,$B$4:$B$503,0),"")</f>
        <v/>
      </c>
    </row>
    <row r="385">
      <c r="A385">
        <f>IF(AND(LEN('Documents'!A385)&gt;0,ISNUMBER('Documents'!F385)),'Documents'!F385+382/100000,"")</f>
        <v/>
      </c>
      <c r="B385">
        <f>IF(AND(LEN('Documents'!A385)&gt;0,ISNUMBER('Documents'!F385)),MAX($B$3:B384)+1,"")</f>
        <v/>
      </c>
      <c r="E385">
        <f>IFERROR(MATCH(382,$B$4:$B$503,0),"")</f>
        <v/>
      </c>
    </row>
    <row r="386">
      <c r="A386">
        <f>IF(AND(LEN('Documents'!A386)&gt;0,ISNUMBER('Documents'!F386)),'Documents'!F386+383/100000,"")</f>
        <v/>
      </c>
      <c r="B386">
        <f>IF(AND(LEN('Documents'!A386)&gt;0,ISNUMBER('Documents'!F386)),MAX($B$3:B385)+1,"")</f>
        <v/>
      </c>
      <c r="E386">
        <f>IFERROR(MATCH(383,$B$4:$B$503,0),"")</f>
        <v/>
      </c>
    </row>
    <row r="387">
      <c r="A387">
        <f>IF(AND(LEN('Documents'!A387)&gt;0,ISNUMBER('Documents'!F387)),'Documents'!F387+384/100000,"")</f>
        <v/>
      </c>
      <c r="B387">
        <f>IF(AND(LEN('Documents'!A387)&gt;0,ISNUMBER('Documents'!F387)),MAX($B$3:B386)+1,"")</f>
        <v/>
      </c>
      <c r="E387">
        <f>IFERROR(MATCH(384,$B$4:$B$503,0),"")</f>
        <v/>
      </c>
    </row>
    <row r="388">
      <c r="A388">
        <f>IF(AND(LEN('Documents'!A388)&gt;0,ISNUMBER('Documents'!F388)),'Documents'!F388+385/100000,"")</f>
        <v/>
      </c>
      <c r="B388">
        <f>IF(AND(LEN('Documents'!A388)&gt;0,ISNUMBER('Documents'!F388)),MAX($B$3:B387)+1,"")</f>
        <v/>
      </c>
      <c r="E388">
        <f>IFERROR(MATCH(385,$B$4:$B$503,0),"")</f>
        <v/>
      </c>
    </row>
    <row r="389">
      <c r="A389">
        <f>IF(AND(LEN('Documents'!A389)&gt;0,ISNUMBER('Documents'!F389)),'Documents'!F389+386/100000,"")</f>
        <v/>
      </c>
      <c r="B389">
        <f>IF(AND(LEN('Documents'!A389)&gt;0,ISNUMBER('Documents'!F389)),MAX($B$3:B388)+1,"")</f>
        <v/>
      </c>
      <c r="E389">
        <f>IFERROR(MATCH(386,$B$4:$B$503,0),"")</f>
        <v/>
      </c>
    </row>
    <row r="390">
      <c r="A390">
        <f>IF(AND(LEN('Documents'!A390)&gt;0,ISNUMBER('Documents'!F390)),'Documents'!F390+387/100000,"")</f>
        <v/>
      </c>
      <c r="B390">
        <f>IF(AND(LEN('Documents'!A390)&gt;0,ISNUMBER('Documents'!F390)),MAX($B$3:B389)+1,"")</f>
        <v/>
      </c>
      <c r="E390">
        <f>IFERROR(MATCH(387,$B$4:$B$503,0),"")</f>
        <v/>
      </c>
    </row>
    <row r="391">
      <c r="A391">
        <f>IF(AND(LEN('Documents'!A391)&gt;0,ISNUMBER('Documents'!F391)),'Documents'!F391+388/100000,"")</f>
        <v/>
      </c>
      <c r="B391">
        <f>IF(AND(LEN('Documents'!A391)&gt;0,ISNUMBER('Documents'!F391)),MAX($B$3:B390)+1,"")</f>
        <v/>
      </c>
      <c r="E391">
        <f>IFERROR(MATCH(388,$B$4:$B$503,0),"")</f>
        <v/>
      </c>
    </row>
    <row r="392">
      <c r="A392">
        <f>IF(AND(LEN('Documents'!A392)&gt;0,ISNUMBER('Documents'!F392)),'Documents'!F392+389/100000,"")</f>
        <v/>
      </c>
      <c r="B392">
        <f>IF(AND(LEN('Documents'!A392)&gt;0,ISNUMBER('Documents'!F392)),MAX($B$3:B391)+1,"")</f>
        <v/>
      </c>
      <c r="E392">
        <f>IFERROR(MATCH(389,$B$4:$B$503,0),"")</f>
        <v/>
      </c>
    </row>
    <row r="393">
      <c r="A393">
        <f>IF(AND(LEN('Documents'!A393)&gt;0,ISNUMBER('Documents'!F393)),'Documents'!F393+390/100000,"")</f>
        <v/>
      </c>
      <c r="B393">
        <f>IF(AND(LEN('Documents'!A393)&gt;0,ISNUMBER('Documents'!F393)),MAX($B$3:B392)+1,"")</f>
        <v/>
      </c>
      <c r="E393">
        <f>IFERROR(MATCH(390,$B$4:$B$503,0),"")</f>
        <v/>
      </c>
    </row>
    <row r="394">
      <c r="A394">
        <f>IF(AND(LEN('Documents'!A394)&gt;0,ISNUMBER('Documents'!F394)),'Documents'!F394+391/100000,"")</f>
        <v/>
      </c>
      <c r="B394">
        <f>IF(AND(LEN('Documents'!A394)&gt;0,ISNUMBER('Documents'!F394)),MAX($B$3:B393)+1,"")</f>
        <v/>
      </c>
      <c r="E394">
        <f>IFERROR(MATCH(391,$B$4:$B$503,0),"")</f>
        <v/>
      </c>
    </row>
    <row r="395">
      <c r="A395">
        <f>IF(AND(LEN('Documents'!A395)&gt;0,ISNUMBER('Documents'!F395)),'Documents'!F395+392/100000,"")</f>
        <v/>
      </c>
      <c r="B395">
        <f>IF(AND(LEN('Documents'!A395)&gt;0,ISNUMBER('Documents'!F395)),MAX($B$3:B394)+1,"")</f>
        <v/>
      </c>
      <c r="E395">
        <f>IFERROR(MATCH(392,$B$4:$B$503,0),"")</f>
        <v/>
      </c>
    </row>
    <row r="396">
      <c r="A396">
        <f>IF(AND(LEN('Documents'!A396)&gt;0,ISNUMBER('Documents'!F396)),'Documents'!F396+393/100000,"")</f>
        <v/>
      </c>
      <c r="B396">
        <f>IF(AND(LEN('Documents'!A396)&gt;0,ISNUMBER('Documents'!F396)),MAX($B$3:B395)+1,"")</f>
        <v/>
      </c>
      <c r="E396">
        <f>IFERROR(MATCH(393,$B$4:$B$503,0),"")</f>
        <v/>
      </c>
    </row>
    <row r="397">
      <c r="A397">
        <f>IF(AND(LEN('Documents'!A397)&gt;0,ISNUMBER('Documents'!F397)),'Documents'!F397+394/100000,"")</f>
        <v/>
      </c>
      <c r="B397">
        <f>IF(AND(LEN('Documents'!A397)&gt;0,ISNUMBER('Documents'!F397)),MAX($B$3:B396)+1,"")</f>
        <v/>
      </c>
      <c r="E397">
        <f>IFERROR(MATCH(394,$B$4:$B$503,0),"")</f>
        <v/>
      </c>
    </row>
    <row r="398">
      <c r="A398">
        <f>IF(AND(LEN('Documents'!A398)&gt;0,ISNUMBER('Documents'!F398)),'Documents'!F398+395/100000,"")</f>
        <v/>
      </c>
      <c r="B398">
        <f>IF(AND(LEN('Documents'!A398)&gt;0,ISNUMBER('Documents'!F398)),MAX($B$3:B397)+1,"")</f>
        <v/>
      </c>
      <c r="E398">
        <f>IFERROR(MATCH(395,$B$4:$B$503,0),"")</f>
        <v/>
      </c>
    </row>
    <row r="399">
      <c r="A399">
        <f>IF(AND(LEN('Documents'!A399)&gt;0,ISNUMBER('Documents'!F399)),'Documents'!F399+396/100000,"")</f>
        <v/>
      </c>
      <c r="B399">
        <f>IF(AND(LEN('Documents'!A399)&gt;0,ISNUMBER('Documents'!F399)),MAX($B$3:B398)+1,"")</f>
        <v/>
      </c>
      <c r="E399">
        <f>IFERROR(MATCH(396,$B$4:$B$503,0),"")</f>
        <v/>
      </c>
    </row>
    <row r="400">
      <c r="A400">
        <f>IF(AND(LEN('Documents'!A400)&gt;0,ISNUMBER('Documents'!F400)),'Documents'!F400+397/100000,"")</f>
        <v/>
      </c>
      <c r="B400">
        <f>IF(AND(LEN('Documents'!A400)&gt;0,ISNUMBER('Documents'!F400)),MAX($B$3:B399)+1,"")</f>
        <v/>
      </c>
      <c r="E400">
        <f>IFERROR(MATCH(397,$B$4:$B$503,0),"")</f>
        <v/>
      </c>
    </row>
    <row r="401">
      <c r="A401">
        <f>IF(AND(LEN('Documents'!A401)&gt;0,ISNUMBER('Documents'!F401)),'Documents'!F401+398/100000,"")</f>
        <v/>
      </c>
      <c r="B401">
        <f>IF(AND(LEN('Documents'!A401)&gt;0,ISNUMBER('Documents'!F401)),MAX($B$3:B400)+1,"")</f>
        <v/>
      </c>
      <c r="E401">
        <f>IFERROR(MATCH(398,$B$4:$B$503,0),"")</f>
        <v/>
      </c>
    </row>
    <row r="402">
      <c r="A402">
        <f>IF(AND(LEN('Documents'!A402)&gt;0,ISNUMBER('Documents'!F402)),'Documents'!F402+399/100000,"")</f>
        <v/>
      </c>
      <c r="B402">
        <f>IF(AND(LEN('Documents'!A402)&gt;0,ISNUMBER('Documents'!F402)),MAX($B$3:B401)+1,"")</f>
        <v/>
      </c>
      <c r="E402">
        <f>IFERROR(MATCH(399,$B$4:$B$503,0),"")</f>
        <v/>
      </c>
    </row>
    <row r="403">
      <c r="A403">
        <f>IF(AND(LEN('Documents'!A403)&gt;0,ISNUMBER('Documents'!F403)),'Documents'!F403+400/100000,"")</f>
        <v/>
      </c>
      <c r="B403">
        <f>IF(AND(LEN('Documents'!A403)&gt;0,ISNUMBER('Documents'!F403)),MAX($B$3:B402)+1,"")</f>
        <v/>
      </c>
      <c r="E403">
        <f>IFERROR(MATCH(400,$B$4:$B$503,0),"")</f>
        <v/>
      </c>
    </row>
    <row r="404">
      <c r="A404">
        <f>IF(AND(LEN('Documents'!A404)&gt;0,ISNUMBER('Documents'!F404)),'Documents'!F404+401/100000,"")</f>
        <v/>
      </c>
      <c r="B404">
        <f>IF(AND(LEN('Documents'!A404)&gt;0,ISNUMBER('Documents'!F404)),MAX($B$3:B403)+1,"")</f>
        <v/>
      </c>
      <c r="E404">
        <f>IFERROR(MATCH(401,$B$4:$B$503,0),"")</f>
        <v/>
      </c>
    </row>
    <row r="405">
      <c r="A405">
        <f>IF(AND(LEN('Documents'!A405)&gt;0,ISNUMBER('Documents'!F405)),'Documents'!F405+402/100000,"")</f>
        <v/>
      </c>
      <c r="B405">
        <f>IF(AND(LEN('Documents'!A405)&gt;0,ISNUMBER('Documents'!F405)),MAX($B$3:B404)+1,"")</f>
        <v/>
      </c>
      <c r="E405">
        <f>IFERROR(MATCH(402,$B$4:$B$503,0),"")</f>
        <v/>
      </c>
    </row>
    <row r="406">
      <c r="A406">
        <f>IF(AND(LEN('Documents'!A406)&gt;0,ISNUMBER('Documents'!F406)),'Documents'!F406+403/100000,"")</f>
        <v/>
      </c>
      <c r="B406">
        <f>IF(AND(LEN('Documents'!A406)&gt;0,ISNUMBER('Documents'!F406)),MAX($B$3:B405)+1,"")</f>
        <v/>
      </c>
      <c r="E406">
        <f>IFERROR(MATCH(403,$B$4:$B$503,0),"")</f>
        <v/>
      </c>
    </row>
    <row r="407">
      <c r="A407">
        <f>IF(AND(LEN('Documents'!A407)&gt;0,ISNUMBER('Documents'!F407)),'Documents'!F407+404/100000,"")</f>
        <v/>
      </c>
      <c r="B407">
        <f>IF(AND(LEN('Documents'!A407)&gt;0,ISNUMBER('Documents'!F407)),MAX($B$3:B406)+1,"")</f>
        <v/>
      </c>
      <c r="E407">
        <f>IFERROR(MATCH(404,$B$4:$B$503,0),"")</f>
        <v/>
      </c>
    </row>
    <row r="408">
      <c r="A408">
        <f>IF(AND(LEN('Documents'!A408)&gt;0,ISNUMBER('Documents'!F408)),'Documents'!F408+405/100000,"")</f>
        <v/>
      </c>
      <c r="B408">
        <f>IF(AND(LEN('Documents'!A408)&gt;0,ISNUMBER('Documents'!F408)),MAX($B$3:B407)+1,"")</f>
        <v/>
      </c>
      <c r="E408">
        <f>IFERROR(MATCH(405,$B$4:$B$503,0),"")</f>
        <v/>
      </c>
    </row>
    <row r="409">
      <c r="A409">
        <f>IF(AND(LEN('Documents'!A409)&gt;0,ISNUMBER('Documents'!F409)),'Documents'!F409+406/100000,"")</f>
        <v/>
      </c>
      <c r="B409">
        <f>IF(AND(LEN('Documents'!A409)&gt;0,ISNUMBER('Documents'!F409)),MAX($B$3:B408)+1,"")</f>
        <v/>
      </c>
      <c r="E409">
        <f>IFERROR(MATCH(406,$B$4:$B$503,0),"")</f>
        <v/>
      </c>
    </row>
    <row r="410">
      <c r="A410">
        <f>IF(AND(LEN('Documents'!A410)&gt;0,ISNUMBER('Documents'!F410)),'Documents'!F410+407/100000,"")</f>
        <v/>
      </c>
      <c r="B410">
        <f>IF(AND(LEN('Documents'!A410)&gt;0,ISNUMBER('Documents'!F410)),MAX($B$3:B409)+1,"")</f>
        <v/>
      </c>
      <c r="E410">
        <f>IFERROR(MATCH(407,$B$4:$B$503,0),"")</f>
        <v/>
      </c>
    </row>
    <row r="411">
      <c r="A411">
        <f>IF(AND(LEN('Documents'!A411)&gt;0,ISNUMBER('Documents'!F411)),'Documents'!F411+408/100000,"")</f>
        <v/>
      </c>
      <c r="B411">
        <f>IF(AND(LEN('Documents'!A411)&gt;0,ISNUMBER('Documents'!F411)),MAX($B$3:B410)+1,"")</f>
        <v/>
      </c>
      <c r="E411">
        <f>IFERROR(MATCH(408,$B$4:$B$503,0),"")</f>
        <v/>
      </c>
    </row>
    <row r="412">
      <c r="A412">
        <f>IF(AND(LEN('Documents'!A412)&gt;0,ISNUMBER('Documents'!F412)),'Documents'!F412+409/100000,"")</f>
        <v/>
      </c>
      <c r="B412">
        <f>IF(AND(LEN('Documents'!A412)&gt;0,ISNUMBER('Documents'!F412)),MAX($B$3:B411)+1,"")</f>
        <v/>
      </c>
      <c r="E412">
        <f>IFERROR(MATCH(409,$B$4:$B$503,0),"")</f>
        <v/>
      </c>
    </row>
    <row r="413">
      <c r="A413">
        <f>IF(AND(LEN('Documents'!A413)&gt;0,ISNUMBER('Documents'!F413)),'Documents'!F413+410/100000,"")</f>
        <v/>
      </c>
      <c r="B413">
        <f>IF(AND(LEN('Documents'!A413)&gt;0,ISNUMBER('Documents'!F413)),MAX($B$3:B412)+1,"")</f>
        <v/>
      </c>
      <c r="E413">
        <f>IFERROR(MATCH(410,$B$4:$B$503,0),"")</f>
        <v/>
      </c>
    </row>
    <row r="414">
      <c r="A414">
        <f>IF(AND(LEN('Documents'!A414)&gt;0,ISNUMBER('Documents'!F414)),'Documents'!F414+411/100000,"")</f>
        <v/>
      </c>
      <c r="B414">
        <f>IF(AND(LEN('Documents'!A414)&gt;0,ISNUMBER('Documents'!F414)),MAX($B$3:B413)+1,"")</f>
        <v/>
      </c>
      <c r="E414">
        <f>IFERROR(MATCH(411,$B$4:$B$503,0),"")</f>
        <v/>
      </c>
    </row>
    <row r="415">
      <c r="A415">
        <f>IF(AND(LEN('Documents'!A415)&gt;0,ISNUMBER('Documents'!F415)),'Documents'!F415+412/100000,"")</f>
        <v/>
      </c>
      <c r="B415">
        <f>IF(AND(LEN('Documents'!A415)&gt;0,ISNUMBER('Documents'!F415)),MAX($B$3:B414)+1,"")</f>
        <v/>
      </c>
      <c r="E415">
        <f>IFERROR(MATCH(412,$B$4:$B$503,0),"")</f>
        <v/>
      </c>
    </row>
    <row r="416">
      <c r="A416">
        <f>IF(AND(LEN('Documents'!A416)&gt;0,ISNUMBER('Documents'!F416)),'Documents'!F416+413/100000,"")</f>
        <v/>
      </c>
      <c r="B416">
        <f>IF(AND(LEN('Documents'!A416)&gt;0,ISNUMBER('Documents'!F416)),MAX($B$3:B415)+1,"")</f>
        <v/>
      </c>
      <c r="E416">
        <f>IFERROR(MATCH(413,$B$4:$B$503,0),"")</f>
        <v/>
      </c>
    </row>
    <row r="417">
      <c r="A417">
        <f>IF(AND(LEN('Documents'!A417)&gt;0,ISNUMBER('Documents'!F417)),'Documents'!F417+414/100000,"")</f>
        <v/>
      </c>
      <c r="B417">
        <f>IF(AND(LEN('Documents'!A417)&gt;0,ISNUMBER('Documents'!F417)),MAX($B$3:B416)+1,"")</f>
        <v/>
      </c>
      <c r="E417">
        <f>IFERROR(MATCH(414,$B$4:$B$503,0),"")</f>
        <v/>
      </c>
    </row>
    <row r="418">
      <c r="A418">
        <f>IF(AND(LEN('Documents'!A418)&gt;0,ISNUMBER('Documents'!F418)),'Documents'!F418+415/100000,"")</f>
        <v/>
      </c>
      <c r="B418">
        <f>IF(AND(LEN('Documents'!A418)&gt;0,ISNUMBER('Documents'!F418)),MAX($B$3:B417)+1,"")</f>
        <v/>
      </c>
      <c r="E418">
        <f>IFERROR(MATCH(415,$B$4:$B$503,0),"")</f>
        <v/>
      </c>
    </row>
    <row r="419">
      <c r="A419">
        <f>IF(AND(LEN('Documents'!A419)&gt;0,ISNUMBER('Documents'!F419)),'Documents'!F419+416/100000,"")</f>
        <v/>
      </c>
      <c r="B419">
        <f>IF(AND(LEN('Documents'!A419)&gt;0,ISNUMBER('Documents'!F419)),MAX($B$3:B418)+1,"")</f>
        <v/>
      </c>
      <c r="E419">
        <f>IFERROR(MATCH(416,$B$4:$B$503,0),"")</f>
        <v/>
      </c>
    </row>
    <row r="420">
      <c r="A420">
        <f>IF(AND(LEN('Documents'!A420)&gt;0,ISNUMBER('Documents'!F420)),'Documents'!F420+417/100000,"")</f>
        <v/>
      </c>
      <c r="B420">
        <f>IF(AND(LEN('Documents'!A420)&gt;0,ISNUMBER('Documents'!F420)),MAX($B$3:B419)+1,"")</f>
        <v/>
      </c>
      <c r="E420">
        <f>IFERROR(MATCH(417,$B$4:$B$503,0),"")</f>
        <v/>
      </c>
    </row>
    <row r="421">
      <c r="A421">
        <f>IF(AND(LEN('Documents'!A421)&gt;0,ISNUMBER('Documents'!F421)),'Documents'!F421+418/100000,"")</f>
        <v/>
      </c>
      <c r="B421">
        <f>IF(AND(LEN('Documents'!A421)&gt;0,ISNUMBER('Documents'!F421)),MAX($B$3:B420)+1,"")</f>
        <v/>
      </c>
      <c r="E421">
        <f>IFERROR(MATCH(418,$B$4:$B$503,0),"")</f>
        <v/>
      </c>
    </row>
    <row r="422">
      <c r="A422">
        <f>IF(AND(LEN('Documents'!A422)&gt;0,ISNUMBER('Documents'!F422)),'Documents'!F422+419/100000,"")</f>
        <v/>
      </c>
      <c r="B422">
        <f>IF(AND(LEN('Documents'!A422)&gt;0,ISNUMBER('Documents'!F422)),MAX($B$3:B421)+1,"")</f>
        <v/>
      </c>
      <c r="E422">
        <f>IFERROR(MATCH(419,$B$4:$B$503,0),"")</f>
        <v/>
      </c>
    </row>
    <row r="423">
      <c r="A423">
        <f>IF(AND(LEN('Documents'!A423)&gt;0,ISNUMBER('Documents'!F423)),'Documents'!F423+420/100000,"")</f>
        <v/>
      </c>
      <c r="B423">
        <f>IF(AND(LEN('Documents'!A423)&gt;0,ISNUMBER('Documents'!F423)),MAX($B$3:B422)+1,"")</f>
        <v/>
      </c>
      <c r="E423">
        <f>IFERROR(MATCH(420,$B$4:$B$503,0),"")</f>
        <v/>
      </c>
    </row>
    <row r="424">
      <c r="A424">
        <f>IF(AND(LEN('Documents'!A424)&gt;0,ISNUMBER('Documents'!F424)),'Documents'!F424+421/100000,"")</f>
        <v/>
      </c>
      <c r="B424">
        <f>IF(AND(LEN('Documents'!A424)&gt;0,ISNUMBER('Documents'!F424)),MAX($B$3:B423)+1,"")</f>
        <v/>
      </c>
      <c r="E424">
        <f>IFERROR(MATCH(421,$B$4:$B$503,0),"")</f>
        <v/>
      </c>
    </row>
    <row r="425">
      <c r="A425">
        <f>IF(AND(LEN('Documents'!A425)&gt;0,ISNUMBER('Documents'!F425)),'Documents'!F425+422/100000,"")</f>
        <v/>
      </c>
      <c r="B425">
        <f>IF(AND(LEN('Documents'!A425)&gt;0,ISNUMBER('Documents'!F425)),MAX($B$3:B424)+1,"")</f>
        <v/>
      </c>
      <c r="E425">
        <f>IFERROR(MATCH(422,$B$4:$B$503,0),"")</f>
        <v/>
      </c>
    </row>
    <row r="426">
      <c r="A426">
        <f>IF(AND(LEN('Documents'!A426)&gt;0,ISNUMBER('Documents'!F426)),'Documents'!F426+423/100000,"")</f>
        <v/>
      </c>
      <c r="B426">
        <f>IF(AND(LEN('Documents'!A426)&gt;0,ISNUMBER('Documents'!F426)),MAX($B$3:B425)+1,"")</f>
        <v/>
      </c>
      <c r="E426">
        <f>IFERROR(MATCH(423,$B$4:$B$503,0),"")</f>
        <v/>
      </c>
    </row>
    <row r="427">
      <c r="A427">
        <f>IF(AND(LEN('Documents'!A427)&gt;0,ISNUMBER('Documents'!F427)),'Documents'!F427+424/100000,"")</f>
        <v/>
      </c>
      <c r="B427">
        <f>IF(AND(LEN('Documents'!A427)&gt;0,ISNUMBER('Documents'!F427)),MAX($B$3:B426)+1,"")</f>
        <v/>
      </c>
      <c r="E427">
        <f>IFERROR(MATCH(424,$B$4:$B$503,0),"")</f>
        <v/>
      </c>
    </row>
    <row r="428">
      <c r="A428">
        <f>IF(AND(LEN('Documents'!A428)&gt;0,ISNUMBER('Documents'!F428)),'Documents'!F428+425/100000,"")</f>
        <v/>
      </c>
      <c r="B428">
        <f>IF(AND(LEN('Documents'!A428)&gt;0,ISNUMBER('Documents'!F428)),MAX($B$3:B427)+1,"")</f>
        <v/>
      </c>
      <c r="E428">
        <f>IFERROR(MATCH(425,$B$4:$B$503,0),"")</f>
        <v/>
      </c>
    </row>
    <row r="429">
      <c r="A429">
        <f>IF(AND(LEN('Documents'!A429)&gt;0,ISNUMBER('Documents'!F429)),'Documents'!F429+426/100000,"")</f>
        <v/>
      </c>
      <c r="B429">
        <f>IF(AND(LEN('Documents'!A429)&gt;0,ISNUMBER('Documents'!F429)),MAX($B$3:B428)+1,"")</f>
        <v/>
      </c>
      <c r="E429">
        <f>IFERROR(MATCH(426,$B$4:$B$503,0),"")</f>
        <v/>
      </c>
    </row>
    <row r="430">
      <c r="A430">
        <f>IF(AND(LEN('Documents'!A430)&gt;0,ISNUMBER('Documents'!F430)),'Documents'!F430+427/100000,"")</f>
        <v/>
      </c>
      <c r="B430">
        <f>IF(AND(LEN('Documents'!A430)&gt;0,ISNUMBER('Documents'!F430)),MAX($B$3:B429)+1,"")</f>
        <v/>
      </c>
      <c r="E430">
        <f>IFERROR(MATCH(427,$B$4:$B$503,0),"")</f>
        <v/>
      </c>
    </row>
    <row r="431">
      <c r="A431">
        <f>IF(AND(LEN('Documents'!A431)&gt;0,ISNUMBER('Documents'!F431)),'Documents'!F431+428/100000,"")</f>
        <v/>
      </c>
      <c r="B431">
        <f>IF(AND(LEN('Documents'!A431)&gt;0,ISNUMBER('Documents'!F431)),MAX($B$3:B430)+1,"")</f>
        <v/>
      </c>
      <c r="E431">
        <f>IFERROR(MATCH(428,$B$4:$B$503,0),"")</f>
        <v/>
      </c>
    </row>
    <row r="432">
      <c r="A432">
        <f>IF(AND(LEN('Documents'!A432)&gt;0,ISNUMBER('Documents'!F432)),'Documents'!F432+429/100000,"")</f>
        <v/>
      </c>
      <c r="B432">
        <f>IF(AND(LEN('Documents'!A432)&gt;0,ISNUMBER('Documents'!F432)),MAX($B$3:B431)+1,"")</f>
        <v/>
      </c>
      <c r="E432">
        <f>IFERROR(MATCH(429,$B$4:$B$503,0),"")</f>
        <v/>
      </c>
    </row>
    <row r="433">
      <c r="A433">
        <f>IF(AND(LEN('Documents'!A433)&gt;0,ISNUMBER('Documents'!F433)),'Documents'!F433+430/100000,"")</f>
        <v/>
      </c>
      <c r="B433">
        <f>IF(AND(LEN('Documents'!A433)&gt;0,ISNUMBER('Documents'!F433)),MAX($B$3:B432)+1,"")</f>
        <v/>
      </c>
      <c r="E433">
        <f>IFERROR(MATCH(430,$B$4:$B$503,0),"")</f>
        <v/>
      </c>
    </row>
    <row r="434">
      <c r="A434">
        <f>IF(AND(LEN('Documents'!A434)&gt;0,ISNUMBER('Documents'!F434)),'Documents'!F434+431/100000,"")</f>
        <v/>
      </c>
      <c r="B434">
        <f>IF(AND(LEN('Documents'!A434)&gt;0,ISNUMBER('Documents'!F434)),MAX($B$3:B433)+1,"")</f>
        <v/>
      </c>
      <c r="E434">
        <f>IFERROR(MATCH(431,$B$4:$B$503,0),"")</f>
        <v/>
      </c>
    </row>
    <row r="435">
      <c r="A435">
        <f>IF(AND(LEN('Documents'!A435)&gt;0,ISNUMBER('Documents'!F435)),'Documents'!F435+432/100000,"")</f>
        <v/>
      </c>
      <c r="B435">
        <f>IF(AND(LEN('Documents'!A435)&gt;0,ISNUMBER('Documents'!F435)),MAX($B$3:B434)+1,"")</f>
        <v/>
      </c>
      <c r="E435">
        <f>IFERROR(MATCH(432,$B$4:$B$503,0),"")</f>
        <v/>
      </c>
    </row>
    <row r="436">
      <c r="A436">
        <f>IF(AND(LEN('Documents'!A436)&gt;0,ISNUMBER('Documents'!F436)),'Documents'!F436+433/100000,"")</f>
        <v/>
      </c>
      <c r="B436">
        <f>IF(AND(LEN('Documents'!A436)&gt;0,ISNUMBER('Documents'!F436)),MAX($B$3:B435)+1,"")</f>
        <v/>
      </c>
      <c r="E436">
        <f>IFERROR(MATCH(433,$B$4:$B$503,0),"")</f>
        <v/>
      </c>
    </row>
    <row r="437">
      <c r="A437">
        <f>IF(AND(LEN('Documents'!A437)&gt;0,ISNUMBER('Documents'!F437)),'Documents'!F437+434/100000,"")</f>
        <v/>
      </c>
      <c r="B437">
        <f>IF(AND(LEN('Documents'!A437)&gt;0,ISNUMBER('Documents'!F437)),MAX($B$3:B436)+1,"")</f>
        <v/>
      </c>
      <c r="E437">
        <f>IFERROR(MATCH(434,$B$4:$B$503,0),"")</f>
        <v/>
      </c>
    </row>
    <row r="438">
      <c r="A438">
        <f>IF(AND(LEN('Documents'!A438)&gt;0,ISNUMBER('Documents'!F438)),'Documents'!F438+435/100000,"")</f>
        <v/>
      </c>
      <c r="B438">
        <f>IF(AND(LEN('Documents'!A438)&gt;0,ISNUMBER('Documents'!F438)),MAX($B$3:B437)+1,"")</f>
        <v/>
      </c>
      <c r="E438">
        <f>IFERROR(MATCH(435,$B$4:$B$503,0),"")</f>
        <v/>
      </c>
    </row>
    <row r="439">
      <c r="A439">
        <f>IF(AND(LEN('Documents'!A439)&gt;0,ISNUMBER('Documents'!F439)),'Documents'!F439+436/100000,"")</f>
        <v/>
      </c>
      <c r="B439">
        <f>IF(AND(LEN('Documents'!A439)&gt;0,ISNUMBER('Documents'!F439)),MAX($B$3:B438)+1,"")</f>
        <v/>
      </c>
      <c r="E439">
        <f>IFERROR(MATCH(436,$B$4:$B$503,0),"")</f>
        <v/>
      </c>
    </row>
    <row r="440">
      <c r="A440">
        <f>IF(AND(LEN('Documents'!A440)&gt;0,ISNUMBER('Documents'!F440)),'Documents'!F440+437/100000,"")</f>
        <v/>
      </c>
      <c r="B440">
        <f>IF(AND(LEN('Documents'!A440)&gt;0,ISNUMBER('Documents'!F440)),MAX($B$3:B439)+1,"")</f>
        <v/>
      </c>
      <c r="E440">
        <f>IFERROR(MATCH(437,$B$4:$B$503,0),"")</f>
        <v/>
      </c>
    </row>
    <row r="441">
      <c r="A441">
        <f>IF(AND(LEN('Documents'!A441)&gt;0,ISNUMBER('Documents'!F441)),'Documents'!F441+438/100000,"")</f>
        <v/>
      </c>
      <c r="B441">
        <f>IF(AND(LEN('Documents'!A441)&gt;0,ISNUMBER('Documents'!F441)),MAX($B$3:B440)+1,"")</f>
        <v/>
      </c>
      <c r="E441">
        <f>IFERROR(MATCH(438,$B$4:$B$503,0),"")</f>
        <v/>
      </c>
    </row>
    <row r="442">
      <c r="A442">
        <f>IF(AND(LEN('Documents'!A442)&gt;0,ISNUMBER('Documents'!F442)),'Documents'!F442+439/100000,"")</f>
        <v/>
      </c>
      <c r="B442">
        <f>IF(AND(LEN('Documents'!A442)&gt;0,ISNUMBER('Documents'!F442)),MAX($B$3:B441)+1,"")</f>
        <v/>
      </c>
      <c r="E442">
        <f>IFERROR(MATCH(439,$B$4:$B$503,0),"")</f>
        <v/>
      </c>
    </row>
    <row r="443">
      <c r="A443">
        <f>IF(AND(LEN('Documents'!A443)&gt;0,ISNUMBER('Documents'!F443)),'Documents'!F443+440/100000,"")</f>
        <v/>
      </c>
      <c r="B443">
        <f>IF(AND(LEN('Documents'!A443)&gt;0,ISNUMBER('Documents'!F443)),MAX($B$3:B442)+1,"")</f>
        <v/>
      </c>
      <c r="E443">
        <f>IFERROR(MATCH(440,$B$4:$B$503,0),"")</f>
        <v/>
      </c>
    </row>
    <row r="444">
      <c r="A444">
        <f>IF(AND(LEN('Documents'!A444)&gt;0,ISNUMBER('Documents'!F444)),'Documents'!F444+441/100000,"")</f>
        <v/>
      </c>
      <c r="B444">
        <f>IF(AND(LEN('Documents'!A444)&gt;0,ISNUMBER('Documents'!F444)),MAX($B$3:B443)+1,"")</f>
        <v/>
      </c>
      <c r="E444">
        <f>IFERROR(MATCH(441,$B$4:$B$503,0),"")</f>
        <v/>
      </c>
    </row>
    <row r="445">
      <c r="A445">
        <f>IF(AND(LEN('Documents'!A445)&gt;0,ISNUMBER('Documents'!F445)),'Documents'!F445+442/100000,"")</f>
        <v/>
      </c>
      <c r="B445">
        <f>IF(AND(LEN('Documents'!A445)&gt;0,ISNUMBER('Documents'!F445)),MAX($B$3:B444)+1,"")</f>
        <v/>
      </c>
      <c r="E445">
        <f>IFERROR(MATCH(442,$B$4:$B$503,0),"")</f>
        <v/>
      </c>
    </row>
    <row r="446">
      <c r="A446">
        <f>IF(AND(LEN('Documents'!A446)&gt;0,ISNUMBER('Documents'!F446)),'Documents'!F446+443/100000,"")</f>
        <v/>
      </c>
      <c r="B446">
        <f>IF(AND(LEN('Documents'!A446)&gt;0,ISNUMBER('Documents'!F446)),MAX($B$3:B445)+1,"")</f>
        <v/>
      </c>
      <c r="E446">
        <f>IFERROR(MATCH(443,$B$4:$B$503,0),"")</f>
        <v/>
      </c>
    </row>
    <row r="447">
      <c r="A447">
        <f>IF(AND(LEN('Documents'!A447)&gt;0,ISNUMBER('Documents'!F447)),'Documents'!F447+444/100000,"")</f>
        <v/>
      </c>
      <c r="B447">
        <f>IF(AND(LEN('Documents'!A447)&gt;0,ISNUMBER('Documents'!F447)),MAX($B$3:B446)+1,"")</f>
        <v/>
      </c>
      <c r="E447">
        <f>IFERROR(MATCH(444,$B$4:$B$503,0),"")</f>
        <v/>
      </c>
    </row>
    <row r="448">
      <c r="A448">
        <f>IF(AND(LEN('Documents'!A448)&gt;0,ISNUMBER('Documents'!F448)),'Documents'!F448+445/100000,"")</f>
        <v/>
      </c>
      <c r="B448">
        <f>IF(AND(LEN('Documents'!A448)&gt;0,ISNUMBER('Documents'!F448)),MAX($B$3:B447)+1,"")</f>
        <v/>
      </c>
      <c r="E448">
        <f>IFERROR(MATCH(445,$B$4:$B$503,0),"")</f>
        <v/>
      </c>
    </row>
    <row r="449">
      <c r="A449">
        <f>IF(AND(LEN('Documents'!A449)&gt;0,ISNUMBER('Documents'!F449)),'Documents'!F449+446/100000,"")</f>
        <v/>
      </c>
      <c r="B449">
        <f>IF(AND(LEN('Documents'!A449)&gt;0,ISNUMBER('Documents'!F449)),MAX($B$3:B448)+1,"")</f>
        <v/>
      </c>
      <c r="E449">
        <f>IFERROR(MATCH(446,$B$4:$B$503,0),"")</f>
        <v/>
      </c>
    </row>
    <row r="450">
      <c r="A450">
        <f>IF(AND(LEN('Documents'!A450)&gt;0,ISNUMBER('Documents'!F450)),'Documents'!F450+447/100000,"")</f>
        <v/>
      </c>
      <c r="B450">
        <f>IF(AND(LEN('Documents'!A450)&gt;0,ISNUMBER('Documents'!F450)),MAX($B$3:B449)+1,"")</f>
        <v/>
      </c>
      <c r="E450">
        <f>IFERROR(MATCH(447,$B$4:$B$503,0),"")</f>
        <v/>
      </c>
    </row>
    <row r="451">
      <c r="A451">
        <f>IF(AND(LEN('Documents'!A451)&gt;0,ISNUMBER('Documents'!F451)),'Documents'!F451+448/100000,"")</f>
        <v/>
      </c>
      <c r="B451">
        <f>IF(AND(LEN('Documents'!A451)&gt;0,ISNUMBER('Documents'!F451)),MAX($B$3:B450)+1,"")</f>
        <v/>
      </c>
      <c r="E451">
        <f>IFERROR(MATCH(448,$B$4:$B$503,0),"")</f>
        <v/>
      </c>
    </row>
    <row r="452">
      <c r="A452">
        <f>IF(AND(LEN('Documents'!A452)&gt;0,ISNUMBER('Documents'!F452)),'Documents'!F452+449/100000,"")</f>
        <v/>
      </c>
      <c r="B452">
        <f>IF(AND(LEN('Documents'!A452)&gt;0,ISNUMBER('Documents'!F452)),MAX($B$3:B451)+1,"")</f>
        <v/>
      </c>
      <c r="E452">
        <f>IFERROR(MATCH(449,$B$4:$B$503,0),"")</f>
        <v/>
      </c>
    </row>
    <row r="453">
      <c r="A453">
        <f>IF(AND(LEN('Documents'!A453)&gt;0,ISNUMBER('Documents'!F453)),'Documents'!F453+450/100000,"")</f>
        <v/>
      </c>
      <c r="B453">
        <f>IF(AND(LEN('Documents'!A453)&gt;0,ISNUMBER('Documents'!F453)),MAX($B$3:B452)+1,"")</f>
        <v/>
      </c>
      <c r="E453">
        <f>IFERROR(MATCH(450,$B$4:$B$503,0),"")</f>
        <v/>
      </c>
    </row>
    <row r="454">
      <c r="A454">
        <f>IF(AND(LEN('Documents'!A454)&gt;0,ISNUMBER('Documents'!F454)),'Documents'!F454+451/100000,"")</f>
        <v/>
      </c>
      <c r="B454">
        <f>IF(AND(LEN('Documents'!A454)&gt;0,ISNUMBER('Documents'!F454)),MAX($B$3:B453)+1,"")</f>
        <v/>
      </c>
      <c r="E454">
        <f>IFERROR(MATCH(451,$B$4:$B$503,0),"")</f>
        <v/>
      </c>
    </row>
    <row r="455">
      <c r="A455">
        <f>IF(AND(LEN('Documents'!A455)&gt;0,ISNUMBER('Documents'!F455)),'Documents'!F455+452/100000,"")</f>
        <v/>
      </c>
      <c r="B455">
        <f>IF(AND(LEN('Documents'!A455)&gt;0,ISNUMBER('Documents'!F455)),MAX($B$3:B454)+1,"")</f>
        <v/>
      </c>
      <c r="E455">
        <f>IFERROR(MATCH(452,$B$4:$B$503,0),"")</f>
        <v/>
      </c>
    </row>
    <row r="456">
      <c r="A456">
        <f>IF(AND(LEN('Documents'!A456)&gt;0,ISNUMBER('Documents'!F456)),'Documents'!F456+453/100000,"")</f>
        <v/>
      </c>
      <c r="B456">
        <f>IF(AND(LEN('Documents'!A456)&gt;0,ISNUMBER('Documents'!F456)),MAX($B$3:B455)+1,"")</f>
        <v/>
      </c>
      <c r="E456">
        <f>IFERROR(MATCH(453,$B$4:$B$503,0),"")</f>
        <v/>
      </c>
    </row>
    <row r="457">
      <c r="A457">
        <f>IF(AND(LEN('Documents'!A457)&gt;0,ISNUMBER('Documents'!F457)),'Documents'!F457+454/100000,"")</f>
        <v/>
      </c>
      <c r="B457">
        <f>IF(AND(LEN('Documents'!A457)&gt;0,ISNUMBER('Documents'!F457)),MAX($B$3:B456)+1,"")</f>
        <v/>
      </c>
      <c r="E457">
        <f>IFERROR(MATCH(454,$B$4:$B$503,0),"")</f>
        <v/>
      </c>
    </row>
    <row r="458">
      <c r="A458">
        <f>IF(AND(LEN('Documents'!A458)&gt;0,ISNUMBER('Documents'!F458)),'Documents'!F458+455/100000,"")</f>
        <v/>
      </c>
      <c r="B458">
        <f>IF(AND(LEN('Documents'!A458)&gt;0,ISNUMBER('Documents'!F458)),MAX($B$3:B457)+1,"")</f>
        <v/>
      </c>
      <c r="E458">
        <f>IFERROR(MATCH(455,$B$4:$B$503,0),"")</f>
        <v/>
      </c>
    </row>
    <row r="459">
      <c r="A459">
        <f>IF(AND(LEN('Documents'!A459)&gt;0,ISNUMBER('Documents'!F459)),'Documents'!F459+456/100000,"")</f>
        <v/>
      </c>
      <c r="B459">
        <f>IF(AND(LEN('Documents'!A459)&gt;0,ISNUMBER('Documents'!F459)),MAX($B$3:B458)+1,"")</f>
        <v/>
      </c>
      <c r="E459">
        <f>IFERROR(MATCH(456,$B$4:$B$503,0),"")</f>
        <v/>
      </c>
    </row>
    <row r="460">
      <c r="A460">
        <f>IF(AND(LEN('Documents'!A460)&gt;0,ISNUMBER('Documents'!F460)),'Documents'!F460+457/100000,"")</f>
        <v/>
      </c>
      <c r="B460">
        <f>IF(AND(LEN('Documents'!A460)&gt;0,ISNUMBER('Documents'!F460)),MAX($B$3:B459)+1,"")</f>
        <v/>
      </c>
      <c r="E460">
        <f>IFERROR(MATCH(457,$B$4:$B$503,0),"")</f>
        <v/>
      </c>
    </row>
    <row r="461">
      <c r="A461">
        <f>IF(AND(LEN('Documents'!A461)&gt;0,ISNUMBER('Documents'!F461)),'Documents'!F461+458/100000,"")</f>
        <v/>
      </c>
      <c r="B461">
        <f>IF(AND(LEN('Documents'!A461)&gt;0,ISNUMBER('Documents'!F461)),MAX($B$3:B460)+1,"")</f>
        <v/>
      </c>
      <c r="E461">
        <f>IFERROR(MATCH(458,$B$4:$B$503,0),"")</f>
        <v/>
      </c>
    </row>
    <row r="462">
      <c r="A462">
        <f>IF(AND(LEN('Documents'!A462)&gt;0,ISNUMBER('Documents'!F462)),'Documents'!F462+459/100000,"")</f>
        <v/>
      </c>
      <c r="B462">
        <f>IF(AND(LEN('Documents'!A462)&gt;0,ISNUMBER('Documents'!F462)),MAX($B$3:B461)+1,"")</f>
        <v/>
      </c>
      <c r="E462">
        <f>IFERROR(MATCH(459,$B$4:$B$503,0),"")</f>
        <v/>
      </c>
    </row>
    <row r="463">
      <c r="A463">
        <f>IF(AND(LEN('Documents'!A463)&gt;0,ISNUMBER('Documents'!F463)),'Documents'!F463+460/100000,"")</f>
        <v/>
      </c>
      <c r="B463">
        <f>IF(AND(LEN('Documents'!A463)&gt;0,ISNUMBER('Documents'!F463)),MAX($B$3:B462)+1,"")</f>
        <v/>
      </c>
      <c r="E463">
        <f>IFERROR(MATCH(460,$B$4:$B$503,0),"")</f>
        <v/>
      </c>
    </row>
    <row r="464">
      <c r="A464">
        <f>IF(AND(LEN('Documents'!A464)&gt;0,ISNUMBER('Documents'!F464)),'Documents'!F464+461/100000,"")</f>
        <v/>
      </c>
      <c r="B464">
        <f>IF(AND(LEN('Documents'!A464)&gt;0,ISNUMBER('Documents'!F464)),MAX($B$3:B463)+1,"")</f>
        <v/>
      </c>
      <c r="E464">
        <f>IFERROR(MATCH(461,$B$4:$B$503,0),"")</f>
        <v/>
      </c>
    </row>
    <row r="465">
      <c r="A465">
        <f>IF(AND(LEN('Documents'!A465)&gt;0,ISNUMBER('Documents'!F465)),'Documents'!F465+462/100000,"")</f>
        <v/>
      </c>
      <c r="B465">
        <f>IF(AND(LEN('Documents'!A465)&gt;0,ISNUMBER('Documents'!F465)),MAX($B$3:B464)+1,"")</f>
        <v/>
      </c>
      <c r="E465">
        <f>IFERROR(MATCH(462,$B$4:$B$503,0),"")</f>
        <v/>
      </c>
    </row>
    <row r="466">
      <c r="A466">
        <f>IF(AND(LEN('Documents'!A466)&gt;0,ISNUMBER('Documents'!F466)),'Documents'!F466+463/100000,"")</f>
        <v/>
      </c>
      <c r="B466">
        <f>IF(AND(LEN('Documents'!A466)&gt;0,ISNUMBER('Documents'!F466)),MAX($B$3:B465)+1,"")</f>
        <v/>
      </c>
      <c r="E466">
        <f>IFERROR(MATCH(463,$B$4:$B$503,0),"")</f>
        <v/>
      </c>
    </row>
    <row r="467">
      <c r="A467">
        <f>IF(AND(LEN('Documents'!A467)&gt;0,ISNUMBER('Documents'!F467)),'Documents'!F467+464/100000,"")</f>
        <v/>
      </c>
      <c r="B467">
        <f>IF(AND(LEN('Documents'!A467)&gt;0,ISNUMBER('Documents'!F467)),MAX($B$3:B466)+1,"")</f>
        <v/>
      </c>
      <c r="E467">
        <f>IFERROR(MATCH(464,$B$4:$B$503,0),"")</f>
        <v/>
      </c>
    </row>
    <row r="468">
      <c r="A468">
        <f>IF(AND(LEN('Documents'!A468)&gt;0,ISNUMBER('Documents'!F468)),'Documents'!F468+465/100000,"")</f>
        <v/>
      </c>
      <c r="B468">
        <f>IF(AND(LEN('Documents'!A468)&gt;0,ISNUMBER('Documents'!F468)),MAX($B$3:B467)+1,"")</f>
        <v/>
      </c>
      <c r="E468">
        <f>IFERROR(MATCH(465,$B$4:$B$503,0),"")</f>
        <v/>
      </c>
    </row>
    <row r="469">
      <c r="A469">
        <f>IF(AND(LEN('Documents'!A469)&gt;0,ISNUMBER('Documents'!F469)),'Documents'!F469+466/100000,"")</f>
        <v/>
      </c>
      <c r="B469">
        <f>IF(AND(LEN('Documents'!A469)&gt;0,ISNUMBER('Documents'!F469)),MAX($B$3:B468)+1,"")</f>
        <v/>
      </c>
      <c r="E469">
        <f>IFERROR(MATCH(466,$B$4:$B$503,0),"")</f>
        <v/>
      </c>
    </row>
    <row r="470">
      <c r="A470">
        <f>IF(AND(LEN('Documents'!A470)&gt;0,ISNUMBER('Documents'!F470)),'Documents'!F470+467/100000,"")</f>
        <v/>
      </c>
      <c r="B470">
        <f>IF(AND(LEN('Documents'!A470)&gt;0,ISNUMBER('Documents'!F470)),MAX($B$3:B469)+1,"")</f>
        <v/>
      </c>
      <c r="E470">
        <f>IFERROR(MATCH(467,$B$4:$B$503,0),"")</f>
        <v/>
      </c>
    </row>
    <row r="471">
      <c r="A471">
        <f>IF(AND(LEN('Documents'!A471)&gt;0,ISNUMBER('Documents'!F471)),'Documents'!F471+468/100000,"")</f>
        <v/>
      </c>
      <c r="B471">
        <f>IF(AND(LEN('Documents'!A471)&gt;0,ISNUMBER('Documents'!F471)),MAX($B$3:B470)+1,"")</f>
        <v/>
      </c>
      <c r="E471">
        <f>IFERROR(MATCH(468,$B$4:$B$503,0),"")</f>
        <v/>
      </c>
    </row>
    <row r="472">
      <c r="A472">
        <f>IF(AND(LEN('Documents'!A472)&gt;0,ISNUMBER('Documents'!F472)),'Documents'!F472+469/100000,"")</f>
        <v/>
      </c>
      <c r="B472">
        <f>IF(AND(LEN('Documents'!A472)&gt;0,ISNUMBER('Documents'!F472)),MAX($B$3:B471)+1,"")</f>
        <v/>
      </c>
      <c r="E472">
        <f>IFERROR(MATCH(469,$B$4:$B$503,0),"")</f>
        <v/>
      </c>
    </row>
    <row r="473">
      <c r="A473">
        <f>IF(AND(LEN('Documents'!A473)&gt;0,ISNUMBER('Documents'!F473)),'Documents'!F473+470/100000,"")</f>
        <v/>
      </c>
      <c r="B473">
        <f>IF(AND(LEN('Documents'!A473)&gt;0,ISNUMBER('Documents'!F473)),MAX($B$3:B472)+1,"")</f>
        <v/>
      </c>
      <c r="E473">
        <f>IFERROR(MATCH(470,$B$4:$B$503,0),"")</f>
        <v/>
      </c>
    </row>
    <row r="474">
      <c r="A474">
        <f>IF(AND(LEN('Documents'!A474)&gt;0,ISNUMBER('Documents'!F474)),'Documents'!F474+471/100000,"")</f>
        <v/>
      </c>
      <c r="B474">
        <f>IF(AND(LEN('Documents'!A474)&gt;0,ISNUMBER('Documents'!F474)),MAX($B$3:B473)+1,"")</f>
        <v/>
      </c>
      <c r="E474">
        <f>IFERROR(MATCH(471,$B$4:$B$503,0),"")</f>
        <v/>
      </c>
    </row>
    <row r="475">
      <c r="A475">
        <f>IF(AND(LEN('Documents'!A475)&gt;0,ISNUMBER('Documents'!F475)),'Documents'!F475+472/100000,"")</f>
        <v/>
      </c>
      <c r="B475">
        <f>IF(AND(LEN('Documents'!A475)&gt;0,ISNUMBER('Documents'!F475)),MAX($B$3:B474)+1,"")</f>
        <v/>
      </c>
      <c r="E475">
        <f>IFERROR(MATCH(472,$B$4:$B$503,0),"")</f>
        <v/>
      </c>
    </row>
    <row r="476">
      <c r="A476">
        <f>IF(AND(LEN('Documents'!A476)&gt;0,ISNUMBER('Documents'!F476)),'Documents'!F476+473/100000,"")</f>
        <v/>
      </c>
      <c r="B476">
        <f>IF(AND(LEN('Documents'!A476)&gt;0,ISNUMBER('Documents'!F476)),MAX($B$3:B475)+1,"")</f>
        <v/>
      </c>
      <c r="E476">
        <f>IFERROR(MATCH(473,$B$4:$B$503,0),"")</f>
        <v/>
      </c>
    </row>
    <row r="477">
      <c r="A477">
        <f>IF(AND(LEN('Documents'!A477)&gt;0,ISNUMBER('Documents'!F477)),'Documents'!F477+474/100000,"")</f>
        <v/>
      </c>
      <c r="B477">
        <f>IF(AND(LEN('Documents'!A477)&gt;0,ISNUMBER('Documents'!F477)),MAX($B$3:B476)+1,"")</f>
        <v/>
      </c>
      <c r="E477">
        <f>IFERROR(MATCH(474,$B$4:$B$503,0),"")</f>
        <v/>
      </c>
    </row>
    <row r="478">
      <c r="A478">
        <f>IF(AND(LEN('Documents'!A478)&gt;0,ISNUMBER('Documents'!F478)),'Documents'!F478+475/100000,"")</f>
        <v/>
      </c>
      <c r="B478">
        <f>IF(AND(LEN('Documents'!A478)&gt;0,ISNUMBER('Documents'!F478)),MAX($B$3:B477)+1,"")</f>
        <v/>
      </c>
      <c r="E478">
        <f>IFERROR(MATCH(475,$B$4:$B$503,0),"")</f>
        <v/>
      </c>
    </row>
    <row r="479">
      <c r="A479">
        <f>IF(AND(LEN('Documents'!A479)&gt;0,ISNUMBER('Documents'!F479)),'Documents'!F479+476/100000,"")</f>
        <v/>
      </c>
      <c r="B479">
        <f>IF(AND(LEN('Documents'!A479)&gt;0,ISNUMBER('Documents'!F479)),MAX($B$3:B478)+1,"")</f>
        <v/>
      </c>
      <c r="E479">
        <f>IFERROR(MATCH(476,$B$4:$B$503,0),"")</f>
        <v/>
      </c>
    </row>
    <row r="480">
      <c r="A480">
        <f>IF(AND(LEN('Documents'!A480)&gt;0,ISNUMBER('Documents'!F480)),'Documents'!F480+477/100000,"")</f>
        <v/>
      </c>
      <c r="B480">
        <f>IF(AND(LEN('Documents'!A480)&gt;0,ISNUMBER('Documents'!F480)),MAX($B$3:B479)+1,"")</f>
        <v/>
      </c>
      <c r="E480">
        <f>IFERROR(MATCH(477,$B$4:$B$503,0),"")</f>
        <v/>
      </c>
    </row>
    <row r="481">
      <c r="A481">
        <f>IF(AND(LEN('Documents'!A481)&gt;0,ISNUMBER('Documents'!F481)),'Documents'!F481+478/100000,"")</f>
        <v/>
      </c>
      <c r="B481">
        <f>IF(AND(LEN('Documents'!A481)&gt;0,ISNUMBER('Documents'!F481)),MAX($B$3:B480)+1,"")</f>
        <v/>
      </c>
      <c r="E481">
        <f>IFERROR(MATCH(478,$B$4:$B$503,0),"")</f>
        <v/>
      </c>
    </row>
    <row r="482">
      <c r="A482">
        <f>IF(AND(LEN('Documents'!A482)&gt;0,ISNUMBER('Documents'!F482)),'Documents'!F482+479/100000,"")</f>
        <v/>
      </c>
      <c r="B482">
        <f>IF(AND(LEN('Documents'!A482)&gt;0,ISNUMBER('Documents'!F482)),MAX($B$3:B481)+1,"")</f>
        <v/>
      </c>
      <c r="E482">
        <f>IFERROR(MATCH(479,$B$4:$B$503,0),"")</f>
        <v/>
      </c>
    </row>
    <row r="483">
      <c r="A483">
        <f>IF(AND(LEN('Documents'!A483)&gt;0,ISNUMBER('Documents'!F483)),'Documents'!F483+480/100000,"")</f>
        <v/>
      </c>
      <c r="B483">
        <f>IF(AND(LEN('Documents'!A483)&gt;0,ISNUMBER('Documents'!F483)),MAX($B$3:B482)+1,"")</f>
        <v/>
      </c>
      <c r="E483">
        <f>IFERROR(MATCH(480,$B$4:$B$503,0),"")</f>
        <v/>
      </c>
    </row>
    <row r="484">
      <c r="A484">
        <f>IF(AND(LEN('Documents'!A484)&gt;0,ISNUMBER('Documents'!F484)),'Documents'!F484+481/100000,"")</f>
        <v/>
      </c>
      <c r="B484">
        <f>IF(AND(LEN('Documents'!A484)&gt;0,ISNUMBER('Documents'!F484)),MAX($B$3:B483)+1,"")</f>
        <v/>
      </c>
      <c r="E484">
        <f>IFERROR(MATCH(481,$B$4:$B$503,0),"")</f>
        <v/>
      </c>
    </row>
    <row r="485">
      <c r="A485">
        <f>IF(AND(LEN('Documents'!A485)&gt;0,ISNUMBER('Documents'!F485)),'Documents'!F485+482/100000,"")</f>
        <v/>
      </c>
      <c r="B485">
        <f>IF(AND(LEN('Documents'!A485)&gt;0,ISNUMBER('Documents'!F485)),MAX($B$3:B484)+1,"")</f>
        <v/>
      </c>
      <c r="E485">
        <f>IFERROR(MATCH(482,$B$4:$B$503,0),"")</f>
        <v/>
      </c>
    </row>
    <row r="486">
      <c r="A486">
        <f>IF(AND(LEN('Documents'!A486)&gt;0,ISNUMBER('Documents'!F486)),'Documents'!F486+483/100000,"")</f>
        <v/>
      </c>
      <c r="B486">
        <f>IF(AND(LEN('Documents'!A486)&gt;0,ISNUMBER('Documents'!F486)),MAX($B$3:B485)+1,"")</f>
        <v/>
      </c>
      <c r="E486">
        <f>IFERROR(MATCH(483,$B$4:$B$503,0),"")</f>
        <v/>
      </c>
    </row>
    <row r="487">
      <c r="A487">
        <f>IF(AND(LEN('Documents'!A487)&gt;0,ISNUMBER('Documents'!F487)),'Documents'!F487+484/100000,"")</f>
        <v/>
      </c>
      <c r="B487">
        <f>IF(AND(LEN('Documents'!A487)&gt;0,ISNUMBER('Documents'!F487)),MAX($B$3:B486)+1,"")</f>
        <v/>
      </c>
      <c r="E487">
        <f>IFERROR(MATCH(484,$B$4:$B$503,0),"")</f>
        <v/>
      </c>
    </row>
    <row r="488">
      <c r="A488">
        <f>IF(AND(LEN('Documents'!A488)&gt;0,ISNUMBER('Documents'!F488)),'Documents'!F488+485/100000,"")</f>
        <v/>
      </c>
      <c r="B488">
        <f>IF(AND(LEN('Documents'!A488)&gt;0,ISNUMBER('Documents'!F488)),MAX($B$3:B487)+1,"")</f>
        <v/>
      </c>
      <c r="E488">
        <f>IFERROR(MATCH(485,$B$4:$B$503,0),"")</f>
        <v/>
      </c>
    </row>
    <row r="489">
      <c r="A489">
        <f>IF(AND(LEN('Documents'!A489)&gt;0,ISNUMBER('Documents'!F489)),'Documents'!F489+486/100000,"")</f>
        <v/>
      </c>
      <c r="B489">
        <f>IF(AND(LEN('Documents'!A489)&gt;0,ISNUMBER('Documents'!F489)),MAX($B$3:B488)+1,"")</f>
        <v/>
      </c>
      <c r="E489">
        <f>IFERROR(MATCH(486,$B$4:$B$503,0),"")</f>
        <v/>
      </c>
    </row>
    <row r="490">
      <c r="A490">
        <f>IF(AND(LEN('Documents'!A490)&gt;0,ISNUMBER('Documents'!F490)),'Documents'!F490+487/100000,"")</f>
        <v/>
      </c>
      <c r="B490">
        <f>IF(AND(LEN('Documents'!A490)&gt;0,ISNUMBER('Documents'!F490)),MAX($B$3:B489)+1,"")</f>
        <v/>
      </c>
      <c r="E490">
        <f>IFERROR(MATCH(487,$B$4:$B$503,0),"")</f>
        <v/>
      </c>
    </row>
    <row r="491">
      <c r="A491">
        <f>IF(AND(LEN('Documents'!A491)&gt;0,ISNUMBER('Documents'!F491)),'Documents'!F491+488/100000,"")</f>
        <v/>
      </c>
      <c r="B491">
        <f>IF(AND(LEN('Documents'!A491)&gt;0,ISNUMBER('Documents'!F491)),MAX($B$3:B490)+1,"")</f>
        <v/>
      </c>
      <c r="E491">
        <f>IFERROR(MATCH(488,$B$4:$B$503,0),"")</f>
        <v/>
      </c>
    </row>
    <row r="492">
      <c r="A492">
        <f>IF(AND(LEN('Documents'!A492)&gt;0,ISNUMBER('Documents'!F492)),'Documents'!F492+489/100000,"")</f>
        <v/>
      </c>
      <c r="B492">
        <f>IF(AND(LEN('Documents'!A492)&gt;0,ISNUMBER('Documents'!F492)),MAX($B$3:B491)+1,"")</f>
        <v/>
      </c>
      <c r="E492">
        <f>IFERROR(MATCH(489,$B$4:$B$503,0),"")</f>
        <v/>
      </c>
    </row>
    <row r="493">
      <c r="A493">
        <f>IF(AND(LEN('Documents'!A493)&gt;0,ISNUMBER('Documents'!F493)),'Documents'!F493+490/100000,"")</f>
        <v/>
      </c>
      <c r="B493">
        <f>IF(AND(LEN('Documents'!A493)&gt;0,ISNUMBER('Documents'!F493)),MAX($B$3:B492)+1,"")</f>
        <v/>
      </c>
      <c r="E493">
        <f>IFERROR(MATCH(490,$B$4:$B$503,0),"")</f>
        <v/>
      </c>
    </row>
    <row r="494">
      <c r="A494">
        <f>IF(AND(LEN('Documents'!A494)&gt;0,ISNUMBER('Documents'!F494)),'Documents'!F494+491/100000,"")</f>
        <v/>
      </c>
      <c r="B494">
        <f>IF(AND(LEN('Documents'!A494)&gt;0,ISNUMBER('Documents'!F494)),MAX($B$3:B493)+1,"")</f>
        <v/>
      </c>
      <c r="E494">
        <f>IFERROR(MATCH(491,$B$4:$B$503,0),"")</f>
        <v/>
      </c>
    </row>
    <row r="495">
      <c r="A495">
        <f>IF(AND(LEN('Documents'!A495)&gt;0,ISNUMBER('Documents'!F495)),'Documents'!F495+492/100000,"")</f>
        <v/>
      </c>
      <c r="B495">
        <f>IF(AND(LEN('Documents'!A495)&gt;0,ISNUMBER('Documents'!F495)),MAX($B$3:B494)+1,"")</f>
        <v/>
      </c>
      <c r="E495">
        <f>IFERROR(MATCH(492,$B$4:$B$503,0),"")</f>
        <v/>
      </c>
    </row>
    <row r="496">
      <c r="A496">
        <f>IF(AND(LEN('Documents'!A496)&gt;0,ISNUMBER('Documents'!F496)),'Documents'!F496+493/100000,"")</f>
        <v/>
      </c>
      <c r="B496">
        <f>IF(AND(LEN('Documents'!A496)&gt;0,ISNUMBER('Documents'!F496)),MAX($B$3:B495)+1,"")</f>
        <v/>
      </c>
      <c r="E496">
        <f>IFERROR(MATCH(493,$B$4:$B$503,0),"")</f>
        <v/>
      </c>
    </row>
    <row r="497">
      <c r="A497">
        <f>IF(AND(LEN('Documents'!A497)&gt;0,ISNUMBER('Documents'!F497)),'Documents'!F497+494/100000,"")</f>
        <v/>
      </c>
      <c r="B497">
        <f>IF(AND(LEN('Documents'!A497)&gt;0,ISNUMBER('Documents'!F497)),MAX($B$3:B496)+1,"")</f>
        <v/>
      </c>
      <c r="E497">
        <f>IFERROR(MATCH(494,$B$4:$B$503,0),"")</f>
        <v/>
      </c>
    </row>
    <row r="498">
      <c r="A498">
        <f>IF(AND(LEN('Documents'!A498)&gt;0,ISNUMBER('Documents'!F498)),'Documents'!F498+495/100000,"")</f>
        <v/>
      </c>
      <c r="B498">
        <f>IF(AND(LEN('Documents'!A498)&gt;0,ISNUMBER('Documents'!F498)),MAX($B$3:B497)+1,"")</f>
        <v/>
      </c>
      <c r="E498">
        <f>IFERROR(MATCH(495,$B$4:$B$503,0),"")</f>
        <v/>
      </c>
    </row>
    <row r="499">
      <c r="A499">
        <f>IF(AND(LEN('Documents'!A499)&gt;0,ISNUMBER('Documents'!F499)),'Documents'!F499+496/100000,"")</f>
        <v/>
      </c>
      <c r="B499">
        <f>IF(AND(LEN('Documents'!A499)&gt;0,ISNUMBER('Documents'!F499)),MAX($B$3:B498)+1,"")</f>
        <v/>
      </c>
      <c r="E499">
        <f>IFERROR(MATCH(496,$B$4:$B$503,0),"")</f>
        <v/>
      </c>
    </row>
    <row r="500">
      <c r="A500">
        <f>IF(AND(LEN('Documents'!A500)&gt;0,ISNUMBER('Documents'!F500)),'Documents'!F500+497/100000,"")</f>
        <v/>
      </c>
      <c r="B500">
        <f>IF(AND(LEN('Documents'!A500)&gt;0,ISNUMBER('Documents'!F500)),MAX($B$3:B499)+1,"")</f>
        <v/>
      </c>
      <c r="E500">
        <f>IFERROR(MATCH(497,$B$4:$B$503,0),"")</f>
        <v/>
      </c>
    </row>
    <row r="501">
      <c r="A501">
        <f>IF(AND(LEN('Documents'!A501)&gt;0,ISNUMBER('Documents'!F501)),'Documents'!F501+498/100000,"")</f>
        <v/>
      </c>
      <c r="B501">
        <f>IF(AND(LEN('Documents'!A501)&gt;0,ISNUMBER('Documents'!F501)),MAX($B$3:B500)+1,"")</f>
        <v/>
      </c>
      <c r="E501">
        <f>IFERROR(MATCH(498,$B$4:$B$503,0),"")</f>
        <v/>
      </c>
    </row>
    <row r="502">
      <c r="A502">
        <f>IF(AND(LEN('Documents'!A502)&gt;0,ISNUMBER('Documents'!F502)),'Documents'!F502+499/100000,"")</f>
        <v/>
      </c>
      <c r="B502">
        <f>IF(AND(LEN('Documents'!A502)&gt;0,ISNUMBER('Documents'!F502)),MAX($B$3:B501)+1,"")</f>
        <v/>
      </c>
      <c r="E502">
        <f>IFERROR(MATCH(499,$B$4:$B$503,0),"")</f>
        <v/>
      </c>
    </row>
    <row r="503">
      <c r="A503">
        <f>IF(AND(LEN('Documents'!A503)&gt;0,ISNUMBER('Documents'!F503)),'Documents'!F503+500/100000,"")</f>
        <v/>
      </c>
      <c r="B503">
        <f>IF(AND(LEN('Documents'!A503)&gt;0,ISNUMBER('Documents'!F503)),MAX($B$3:B502)+1,"")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Vendor &amp; contractor document tracker (free template)</dc:title>
  <dc:description xmlns:dc="http://purl.org/dc/elements/1.1/">Free template from expiryedge.com/templates/. September 2026 edition.</dc:description>
  <dc:subject xmlns:dc="http://purl.org/dc/elements/1.1/">Insurance certificates, accreditations and other documents you collect from contractors, with a request-by date for each.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